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5.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6.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drawings/drawing7.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drawings/drawing8.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Mariana Costa\Documents\Docs Drive\Compostagem\PRR - ROUND 3\MR 4\"/>
    </mc:Choice>
  </mc:AlternateContent>
  <xr:revisionPtr revIDLastSave="0" documentId="13_ncr:1_{20DFC744-A886-499C-9961-40C4B07CA6D9}" xr6:coauthVersionLast="47" xr6:coauthVersionMax="47" xr10:uidLastSave="{00000000-0000-0000-0000-000000000000}"/>
  <bookViews>
    <workbookView xWindow="-120" yWindow="-120" windowWidth="20730" windowHeight="11040" tabRatio="813" xr2:uid="{00000000-000D-0000-FFFF-FFFF00000000}"/>
  </bookViews>
  <sheets>
    <sheet name="Emission reductions" sheetId="3" r:id="rId1"/>
    <sheet name="Monitored Parameters" sheetId="2" r:id="rId2"/>
    <sheet name="ER - Altenor " sheetId="4" r:id="rId3"/>
    <sheet name="BE - Altenor" sheetId="5" r:id="rId4"/>
    <sheet name="Animal Data - Altenor" sheetId="6" r:id="rId5"/>
    <sheet name="PE - Altenor" sheetId="7" r:id="rId6"/>
    <sheet name="OT pump_UMAC - Altenor" sheetId="9" r:id="rId7"/>
    <sheet name="EF - Altenor" sheetId="10" r:id="rId8"/>
    <sheet name="ER - Santa Lúcia" sheetId="11" r:id="rId9"/>
    <sheet name="BE - Santa Lúcia" sheetId="12" r:id="rId10"/>
    <sheet name="Animal Data - Santa Lúcia" sheetId="13" r:id="rId11"/>
    <sheet name="PE - Santa Lúcia" sheetId="14" r:id="rId12"/>
    <sheet name="OT pump_UMAC - Santa Lúcia" sheetId="15" r:id="rId13"/>
    <sheet name="EF - Santa Lúcia" sheetId="16" r:id="rId14"/>
    <sheet name="ER - Granja Silva" sheetId="17" r:id="rId15"/>
    <sheet name="BE - Granja Silva" sheetId="29" r:id="rId16"/>
    <sheet name="Animal Data - Granja Silva" sheetId="19" r:id="rId17"/>
    <sheet name="PE - Granja Silva" sheetId="20" r:id="rId18"/>
    <sheet name="OT pump_UMAC - Granja Silva" sheetId="21" r:id="rId19"/>
    <sheet name="EF - Granja Silva" sheetId="22" r:id="rId20"/>
    <sheet name="ER - Ramella" sheetId="23" r:id="rId21"/>
    <sheet name="BE - Ramella" sheetId="24" r:id="rId22"/>
    <sheet name="Animal Data - Ramella" sheetId="25" r:id="rId23"/>
    <sheet name="PE - Ramella" sheetId="26" r:id="rId24"/>
    <sheet name="OT pump_UMAC - Ramella" sheetId="27" r:id="rId25"/>
    <sheet name="EF - Ramella" sheetId="28"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20" l="1"/>
  <c r="Q30" i="12"/>
  <c r="M5" i="6"/>
  <c r="D26" i="3"/>
  <c r="C16" i="17" l="1"/>
  <c r="G16" i="3"/>
  <c r="R25" i="29"/>
  <c r="R26" i="29"/>
  <c r="R27" i="29"/>
  <c r="R28" i="29"/>
  <c r="R29" i="29"/>
  <c r="R30" i="29"/>
  <c r="R24" i="29"/>
  <c r="Q25" i="29"/>
  <c r="Q26" i="29"/>
  <c r="Q27" i="29"/>
  <c r="Q28" i="29"/>
  <c r="Q29" i="29"/>
  <c r="Q30" i="29"/>
  <c r="Q24" i="29"/>
  <c r="R25" i="12"/>
  <c r="R26" i="12"/>
  <c r="R27" i="12"/>
  <c r="R28" i="12"/>
  <c r="R29" i="12"/>
  <c r="R30" i="12"/>
  <c r="R24" i="12"/>
  <c r="Q25" i="12"/>
  <c r="Q26" i="12"/>
  <c r="Q27" i="12"/>
  <c r="Q28" i="12"/>
  <c r="Q29" i="12"/>
  <c r="Q24" i="12"/>
  <c r="D30" i="13"/>
  <c r="E30" i="13"/>
  <c r="D31" i="13"/>
  <c r="E31" i="13"/>
  <c r="D32" i="13"/>
  <c r="E32" i="13"/>
  <c r="D33" i="13"/>
  <c r="E33" i="13"/>
  <c r="D34" i="13"/>
  <c r="E34" i="13"/>
  <c r="D35" i="13"/>
  <c r="E35" i="13"/>
  <c r="R25" i="5"/>
  <c r="R26" i="5"/>
  <c r="R27" i="5"/>
  <c r="R28" i="5"/>
  <c r="R29" i="5"/>
  <c r="R30" i="5"/>
  <c r="R24" i="5"/>
  <c r="Q25" i="5"/>
  <c r="Q26" i="5"/>
  <c r="Q27" i="5"/>
  <c r="Q28" i="5"/>
  <c r="Q29" i="5"/>
  <c r="Q30" i="5"/>
  <c r="Q24" i="5"/>
  <c r="R7" i="5"/>
  <c r="R8" i="5"/>
  <c r="R9" i="5"/>
  <c r="R10" i="5"/>
  <c r="R11" i="5"/>
  <c r="R6" i="5"/>
  <c r="Q7" i="5"/>
  <c r="Q8" i="5"/>
  <c r="Q9" i="5"/>
  <c r="Q10" i="5"/>
  <c r="Q11" i="5"/>
  <c r="Q6" i="5"/>
  <c r="L43" i="19" l="1"/>
  <c r="L42" i="19"/>
  <c r="L41" i="19"/>
  <c r="L40" i="19"/>
  <c r="J40" i="19"/>
  <c r="D56" i="19" l="1"/>
  <c r="J43" i="19"/>
  <c r="J42" i="19"/>
  <c r="J41" i="19"/>
  <c r="E27" i="25" l="1"/>
  <c r="P27" i="9" l="1"/>
  <c r="J644" i="9"/>
  <c r="E5" i="6" l="1"/>
  <c r="Q51" i="29"/>
  <c r="D32" i="2"/>
  <c r="D31" i="2"/>
  <c r="J10" i="2" l="1"/>
  <c r="K5" i="2" l="1"/>
  <c r="K17" i="26"/>
  <c r="K16" i="26"/>
  <c r="R9" i="26"/>
  <c r="R8" i="26"/>
  <c r="R52" i="24"/>
  <c r="J26" i="2" s="1"/>
  <c r="Q52" i="24"/>
  <c r="J12" i="2" s="1"/>
  <c r="R51" i="24"/>
  <c r="Q51" i="24"/>
  <c r="J11" i="2" s="1"/>
  <c r="R11" i="24"/>
  <c r="Q11" i="24"/>
  <c r="R10" i="24"/>
  <c r="Q10" i="24"/>
  <c r="R9" i="24"/>
  <c r="Q9" i="24"/>
  <c r="R7" i="24"/>
  <c r="Q7" i="24"/>
  <c r="R6" i="24"/>
  <c r="Q6" i="24"/>
  <c r="M6" i="26" l="1"/>
  <c r="M8" i="26"/>
  <c r="M7" i="26"/>
  <c r="M5" i="26"/>
  <c r="J25" i="2"/>
  <c r="M7" i="20"/>
  <c r="M5" i="20"/>
  <c r="E39" i="21" l="1"/>
  <c r="B39" i="21"/>
  <c r="H39" i="21" s="1"/>
  <c r="O33" i="21"/>
  <c r="N33" i="21"/>
  <c r="P33" i="21" s="1" a="1"/>
  <c r="P33" i="21" s="1"/>
  <c r="M33" i="21"/>
  <c r="L33" i="21"/>
  <c r="K33" i="21"/>
  <c r="J33" i="21"/>
  <c r="I33" i="21"/>
  <c r="O32" i="21"/>
  <c r="P32" i="21" s="1" a="1"/>
  <c r="P32" i="21" s="1"/>
  <c r="N32" i="21"/>
  <c r="M32" i="21"/>
  <c r="L32" i="21"/>
  <c r="K32" i="21"/>
  <c r="J32" i="21"/>
  <c r="I32" i="21"/>
  <c r="O31" i="21"/>
  <c r="N31" i="21"/>
  <c r="P31" i="21" s="1" a="1"/>
  <c r="P31" i="21" s="1"/>
  <c r="M31" i="21"/>
  <c r="L31" i="21"/>
  <c r="K31" i="21"/>
  <c r="J31" i="21"/>
  <c r="I31" i="21"/>
  <c r="O30" i="21"/>
  <c r="N30" i="21"/>
  <c r="P30" i="21" s="1" a="1"/>
  <c r="P30" i="21" s="1"/>
  <c r="M30" i="21"/>
  <c r="L30" i="21"/>
  <c r="K30" i="21"/>
  <c r="J30" i="21"/>
  <c r="I30" i="21"/>
  <c r="P29" i="21" a="1"/>
  <c r="P29" i="21" s="1"/>
  <c r="O29" i="21"/>
  <c r="N29" i="21"/>
  <c r="M29" i="21"/>
  <c r="L29" i="21"/>
  <c r="K29" i="21"/>
  <c r="J29" i="21"/>
  <c r="I29" i="21"/>
  <c r="O28" i="21"/>
  <c r="M28" i="21"/>
  <c r="L28" i="21"/>
  <c r="K28" i="21"/>
  <c r="J28" i="21"/>
  <c r="I28" i="21"/>
  <c r="N28" i="21" s="1"/>
  <c r="P28" i="21" s="1" a="1"/>
  <c r="P28" i="21" s="1"/>
  <c r="O27" i="21"/>
  <c r="M27" i="21"/>
  <c r="L27" i="21"/>
  <c r="K27" i="21"/>
  <c r="J27" i="21"/>
  <c r="G39" i="21" s="1"/>
  <c r="I39" i="21" s="1"/>
  <c r="I27" i="21"/>
  <c r="D39" i="21" s="1"/>
  <c r="F39" i="21" s="1"/>
  <c r="G17" i="21"/>
  <c r="F17" i="21"/>
  <c r="G16" i="21"/>
  <c r="F16" i="21"/>
  <c r="G15" i="21"/>
  <c r="F15" i="21"/>
  <c r="G14" i="21"/>
  <c r="F14" i="21"/>
  <c r="G13" i="21"/>
  <c r="F13" i="21"/>
  <c r="G12" i="21"/>
  <c r="F12" i="21"/>
  <c r="G11" i="21"/>
  <c r="F11" i="21"/>
  <c r="G10" i="21"/>
  <c r="F10" i="21"/>
  <c r="G9" i="21"/>
  <c r="F9" i="21"/>
  <c r="J8" i="21"/>
  <c r="G8" i="21"/>
  <c r="F8" i="21"/>
  <c r="G7" i="21"/>
  <c r="F7" i="21"/>
  <c r="G6" i="21"/>
  <c r="F6" i="21"/>
  <c r="G5" i="21"/>
  <c r="F5" i="21"/>
  <c r="K17" i="20"/>
  <c r="K16" i="20"/>
  <c r="R9" i="20"/>
  <c r="R8" i="20"/>
  <c r="K13" i="20"/>
  <c r="G7" i="20"/>
  <c r="F7" i="20"/>
  <c r="E7" i="20"/>
  <c r="R53" i="29"/>
  <c r="J23" i="2" s="1"/>
  <c r="Q53" i="29"/>
  <c r="J9" i="2" s="1"/>
  <c r="R52" i="29"/>
  <c r="Q52" i="29"/>
  <c r="J7" i="2" s="1"/>
  <c r="R51" i="29"/>
  <c r="R12" i="29"/>
  <c r="Q12" i="29"/>
  <c r="R11" i="29"/>
  <c r="Q11" i="29"/>
  <c r="S11" i="29" s="1"/>
  <c r="R8" i="29"/>
  <c r="F22" i="2" s="1"/>
  <c r="Q8" i="29"/>
  <c r="R6" i="29"/>
  <c r="F20" i="2" s="1"/>
  <c r="Q6" i="29"/>
  <c r="F6" i="2" s="1"/>
  <c r="R51" i="12"/>
  <c r="J27" i="2" s="1"/>
  <c r="Q51" i="12"/>
  <c r="J13" i="2" s="1"/>
  <c r="Q6" i="12"/>
  <c r="R6" i="12"/>
  <c r="R7" i="12"/>
  <c r="R8" i="12"/>
  <c r="R9" i="12"/>
  <c r="R10" i="12"/>
  <c r="R11" i="12"/>
  <c r="Q7" i="12"/>
  <c r="Q8" i="12"/>
  <c r="S8" i="12" s="1"/>
  <c r="Q9" i="12"/>
  <c r="Q10" i="12"/>
  <c r="S10" i="12" s="1"/>
  <c r="Q11" i="12"/>
  <c r="R9" i="14"/>
  <c r="R8" i="14"/>
  <c r="K17" i="14"/>
  <c r="K16" i="14"/>
  <c r="R8" i="7"/>
  <c r="M5" i="7"/>
  <c r="K17" i="7"/>
  <c r="K16" i="7"/>
  <c r="M8" i="7"/>
  <c r="M7" i="7"/>
  <c r="R51" i="5"/>
  <c r="J19" i="2" s="1"/>
  <c r="Q51" i="5"/>
  <c r="J5" i="2" s="1"/>
  <c r="S53" i="29" l="1"/>
  <c r="G22" i="2"/>
  <c r="G6" i="2"/>
  <c r="G20" i="2"/>
  <c r="S6" i="29"/>
  <c r="S29" i="29"/>
  <c r="S11" i="12"/>
  <c r="S7" i="12"/>
  <c r="S9" i="12"/>
  <c r="K12" i="7"/>
  <c r="M6" i="7"/>
  <c r="S12" i="29"/>
  <c r="J24" i="2"/>
  <c r="M8" i="20"/>
  <c r="M6" i="20"/>
  <c r="K14" i="20" s="1"/>
  <c r="K15" i="20" s="1"/>
  <c r="S8" i="29"/>
  <c r="F8" i="2"/>
  <c r="S52" i="29"/>
  <c r="J21" i="2"/>
  <c r="K22" i="20"/>
  <c r="L6" i="2"/>
  <c r="N27" i="21"/>
  <c r="P27" i="21" s="1" a="1"/>
  <c r="P27" i="21" s="1"/>
  <c r="J39" i="21" s="1"/>
  <c r="F9" i="20"/>
  <c r="F8" i="20"/>
  <c r="G8" i="20"/>
  <c r="G9" i="20" s="1"/>
  <c r="E8" i="20"/>
  <c r="E9" i="20" s="1"/>
  <c r="I8" i="29"/>
  <c r="S24" i="29"/>
  <c r="S51" i="29"/>
  <c r="S6" i="12"/>
  <c r="R33" i="28"/>
  <c r="L35" i="28" s="1"/>
  <c r="R15" i="28"/>
  <c r="L17" i="28" s="1"/>
  <c r="B643" i="27"/>
  <c r="O637" i="27"/>
  <c r="M637" i="27"/>
  <c r="P637" i="27" s="1"/>
  <c r="J637" i="27"/>
  <c r="I637" i="27"/>
  <c r="N637" i="27" s="1"/>
  <c r="C637" i="27"/>
  <c r="P636" i="27"/>
  <c r="O636" i="27"/>
  <c r="N636" i="27"/>
  <c r="M636" i="27"/>
  <c r="J636" i="27"/>
  <c r="I636" i="27"/>
  <c r="C636" i="27"/>
  <c r="O635" i="27"/>
  <c r="M635" i="27"/>
  <c r="P635" i="27" s="1"/>
  <c r="J635" i="27"/>
  <c r="I635" i="27"/>
  <c r="N635" i="27" s="1"/>
  <c r="C635" i="27"/>
  <c r="O634" i="27"/>
  <c r="N634" i="27"/>
  <c r="M634" i="27"/>
  <c r="P634" i="27" s="1"/>
  <c r="J634" i="27"/>
  <c r="I634" i="27"/>
  <c r="C634" i="27"/>
  <c r="O633" i="27"/>
  <c r="M633" i="27"/>
  <c r="J633" i="27"/>
  <c r="I633" i="27"/>
  <c r="N633" i="27" s="1"/>
  <c r="C633" i="27"/>
  <c r="P632" i="27"/>
  <c r="O632" i="27"/>
  <c r="N632" i="27"/>
  <c r="M632" i="27"/>
  <c r="J632" i="27"/>
  <c r="I632" i="27"/>
  <c r="C632" i="27"/>
  <c r="O631" i="27"/>
  <c r="M631" i="27"/>
  <c r="P631" i="27" s="1"/>
  <c r="J631" i="27"/>
  <c r="I631" i="27"/>
  <c r="N631" i="27" s="1"/>
  <c r="C631" i="27"/>
  <c r="P630" i="27"/>
  <c r="O630" i="27"/>
  <c r="N630" i="27"/>
  <c r="M630" i="27"/>
  <c r="J630" i="27"/>
  <c r="I630" i="27"/>
  <c r="C630" i="27"/>
  <c r="O629" i="27"/>
  <c r="M629" i="27"/>
  <c r="J629" i="27"/>
  <c r="I629" i="27"/>
  <c r="N629" i="27" s="1"/>
  <c r="C629" i="27"/>
  <c r="P628" i="27"/>
  <c r="O628" i="27"/>
  <c r="N628" i="27"/>
  <c r="M628" i="27"/>
  <c r="J628" i="27"/>
  <c r="I628" i="27"/>
  <c r="C628" i="27"/>
  <c r="O627" i="27"/>
  <c r="M627" i="27"/>
  <c r="J627" i="27"/>
  <c r="I627" i="27"/>
  <c r="N627" i="27" s="1"/>
  <c r="C627" i="27"/>
  <c r="O626" i="27"/>
  <c r="N626" i="27"/>
  <c r="M626" i="27"/>
  <c r="J626" i="27"/>
  <c r="I626" i="27"/>
  <c r="C626" i="27"/>
  <c r="O625" i="27"/>
  <c r="M625" i="27"/>
  <c r="J625" i="27"/>
  <c r="I625" i="27"/>
  <c r="N625" i="27" s="1"/>
  <c r="C625" i="27"/>
  <c r="P624" i="27"/>
  <c r="O624" i="27"/>
  <c r="N624" i="27"/>
  <c r="M624" i="27"/>
  <c r="J624" i="27"/>
  <c r="I624" i="27"/>
  <c r="C624" i="27"/>
  <c r="O623" i="27"/>
  <c r="M623" i="27"/>
  <c r="P623" i="27" s="1"/>
  <c r="J623" i="27"/>
  <c r="I623" i="27"/>
  <c r="N623" i="27" s="1"/>
  <c r="C623" i="27"/>
  <c r="P622" i="27"/>
  <c r="O622" i="27"/>
  <c r="N622" i="27"/>
  <c r="M622" i="27"/>
  <c r="J622" i="27"/>
  <c r="I622" i="27"/>
  <c r="C622" i="27"/>
  <c r="O621" i="27"/>
  <c r="M621" i="27"/>
  <c r="P621" i="27" s="1"/>
  <c r="J621" i="27"/>
  <c r="I621" i="27"/>
  <c r="N621" i="27" s="1"/>
  <c r="C621" i="27"/>
  <c r="P620" i="27"/>
  <c r="O620" i="27"/>
  <c r="N620" i="27"/>
  <c r="M620" i="27"/>
  <c r="J620" i="27"/>
  <c r="I620" i="27"/>
  <c r="C620" i="27"/>
  <c r="O619" i="27"/>
  <c r="M619" i="27"/>
  <c r="J619" i="27"/>
  <c r="I619" i="27"/>
  <c r="N619" i="27" s="1"/>
  <c r="C619" i="27"/>
  <c r="O618" i="27"/>
  <c r="N618" i="27"/>
  <c r="M618" i="27"/>
  <c r="P618" i="27" s="1"/>
  <c r="J618" i="27"/>
  <c r="I618" i="27"/>
  <c r="C618" i="27"/>
  <c r="O617" i="27"/>
  <c r="M617" i="27"/>
  <c r="J617" i="27"/>
  <c r="I617" i="27"/>
  <c r="N617" i="27" s="1"/>
  <c r="C617" i="27"/>
  <c r="P616" i="27"/>
  <c r="O616" i="27"/>
  <c r="N616" i="27"/>
  <c r="M616" i="27"/>
  <c r="J616" i="27"/>
  <c r="I616" i="27"/>
  <c r="C616" i="27"/>
  <c r="O615" i="27"/>
  <c r="M615" i="27"/>
  <c r="J615" i="27"/>
  <c r="I615" i="27"/>
  <c r="N615" i="27" s="1"/>
  <c r="C615" i="27"/>
  <c r="P614" i="27"/>
  <c r="O614" i="27"/>
  <c r="N614" i="27"/>
  <c r="M614" i="27"/>
  <c r="J614" i="27"/>
  <c r="I614" i="27"/>
  <c r="C614" i="27"/>
  <c r="O613" i="27"/>
  <c r="M613" i="27"/>
  <c r="J613" i="27"/>
  <c r="I613" i="27"/>
  <c r="N613" i="27" s="1"/>
  <c r="C613" i="27"/>
  <c r="P612" i="27"/>
  <c r="O612" i="27"/>
  <c r="N612" i="27"/>
  <c r="M612" i="27"/>
  <c r="J612" i="27"/>
  <c r="I612" i="27"/>
  <c r="C612" i="27"/>
  <c r="O611" i="27"/>
  <c r="M611" i="27"/>
  <c r="P611" i="27" s="1"/>
  <c r="J611" i="27"/>
  <c r="I611" i="27"/>
  <c r="N611" i="27" s="1"/>
  <c r="C611" i="27"/>
  <c r="O610" i="27"/>
  <c r="N610" i="27"/>
  <c r="M610" i="27"/>
  <c r="J610" i="27"/>
  <c r="I610" i="27"/>
  <c r="C610" i="27"/>
  <c r="O609" i="27"/>
  <c r="M609" i="27"/>
  <c r="P609" i="27" s="1"/>
  <c r="J609" i="27"/>
  <c r="I609" i="27"/>
  <c r="N609" i="27" s="1"/>
  <c r="C609" i="27"/>
  <c r="P608" i="27"/>
  <c r="O608" i="27"/>
  <c r="N608" i="27"/>
  <c r="M608" i="27"/>
  <c r="J608" i="27"/>
  <c r="I608" i="27"/>
  <c r="C608" i="27"/>
  <c r="O607" i="27"/>
  <c r="M607" i="27"/>
  <c r="J607" i="27"/>
  <c r="I607" i="27"/>
  <c r="N607" i="27" s="1"/>
  <c r="C607" i="27"/>
  <c r="P606" i="27"/>
  <c r="O606" i="27"/>
  <c r="N606" i="27"/>
  <c r="M606" i="27"/>
  <c r="J606" i="27"/>
  <c r="I606" i="27"/>
  <c r="C606" i="27"/>
  <c r="O605" i="27"/>
  <c r="M605" i="27"/>
  <c r="P605" i="27" s="1"/>
  <c r="J605" i="27"/>
  <c r="I605" i="27"/>
  <c r="N605" i="27" s="1"/>
  <c r="C605" i="27"/>
  <c r="P604" i="27"/>
  <c r="O604" i="27"/>
  <c r="N604" i="27"/>
  <c r="M604" i="27"/>
  <c r="J604" i="27"/>
  <c r="I604" i="27"/>
  <c r="C604" i="27"/>
  <c r="O603" i="27"/>
  <c r="M603" i="27"/>
  <c r="J603" i="27"/>
  <c r="I603" i="27"/>
  <c r="N603" i="27" s="1"/>
  <c r="C603" i="27"/>
  <c r="O602" i="27"/>
  <c r="N602" i="27"/>
  <c r="M602" i="27"/>
  <c r="P602" i="27" s="1"/>
  <c r="J602" i="27"/>
  <c r="I602" i="27"/>
  <c r="C602" i="27"/>
  <c r="O601" i="27"/>
  <c r="M601" i="27"/>
  <c r="J601" i="27"/>
  <c r="I601" i="27"/>
  <c r="N601" i="27" s="1"/>
  <c r="C601" i="27"/>
  <c r="P600" i="27"/>
  <c r="O600" i="27"/>
  <c r="N600" i="27"/>
  <c r="M600" i="27"/>
  <c r="J600" i="27"/>
  <c r="I600" i="27"/>
  <c r="C600" i="27"/>
  <c r="O599" i="27"/>
  <c r="M599" i="27"/>
  <c r="P599" i="27" s="1"/>
  <c r="J599" i="27"/>
  <c r="I599" i="27"/>
  <c r="N599" i="27" s="1"/>
  <c r="C599" i="27"/>
  <c r="P598" i="27"/>
  <c r="O598" i="27"/>
  <c r="N598" i="27"/>
  <c r="M598" i="27"/>
  <c r="J598" i="27"/>
  <c r="I598" i="27"/>
  <c r="C598" i="27"/>
  <c r="O597" i="27"/>
  <c r="M597" i="27"/>
  <c r="P597" i="27" s="1"/>
  <c r="J597" i="27"/>
  <c r="I597" i="27"/>
  <c r="N597" i="27" s="1"/>
  <c r="C597" i="27"/>
  <c r="P596" i="27"/>
  <c r="O596" i="27"/>
  <c r="N596" i="27"/>
  <c r="M596" i="27"/>
  <c r="J596" i="27"/>
  <c r="I596" i="27"/>
  <c r="C596" i="27"/>
  <c r="O595" i="27"/>
  <c r="M595" i="27"/>
  <c r="J595" i="27"/>
  <c r="I595" i="27"/>
  <c r="N595" i="27" s="1"/>
  <c r="C595" i="27"/>
  <c r="O594" i="27"/>
  <c r="N594" i="27"/>
  <c r="M594" i="27"/>
  <c r="J594" i="27"/>
  <c r="I594" i="27"/>
  <c r="C594" i="27"/>
  <c r="O593" i="27"/>
  <c r="M593" i="27"/>
  <c r="P593" i="27" s="1"/>
  <c r="J593" i="27"/>
  <c r="I593" i="27"/>
  <c r="N593" i="27" s="1"/>
  <c r="C593" i="27"/>
  <c r="P592" i="27"/>
  <c r="O592" i="27"/>
  <c r="N592" i="27"/>
  <c r="M592" i="27"/>
  <c r="J592" i="27"/>
  <c r="I592" i="27"/>
  <c r="C592" i="27"/>
  <c r="O591" i="27"/>
  <c r="M591" i="27"/>
  <c r="J591" i="27"/>
  <c r="I591" i="27"/>
  <c r="N591" i="27" s="1"/>
  <c r="C591" i="27"/>
  <c r="O590" i="27"/>
  <c r="N590" i="27"/>
  <c r="P590" i="27" s="1"/>
  <c r="M590" i="27"/>
  <c r="J590" i="27"/>
  <c r="I590" i="27"/>
  <c r="C590" i="27"/>
  <c r="O589" i="27"/>
  <c r="M589" i="27"/>
  <c r="P589" i="27" s="1"/>
  <c r="J589" i="27"/>
  <c r="I589" i="27"/>
  <c r="N589" i="27" s="1"/>
  <c r="C589" i="27"/>
  <c r="P588" i="27"/>
  <c r="O588" i="27"/>
  <c r="N588" i="27"/>
  <c r="M588" i="27"/>
  <c r="J588" i="27"/>
  <c r="I588" i="27"/>
  <c r="C588" i="27"/>
  <c r="O587" i="27"/>
  <c r="M587" i="27"/>
  <c r="J587" i="27"/>
  <c r="I587" i="27"/>
  <c r="N587" i="27" s="1"/>
  <c r="C587" i="27"/>
  <c r="O586" i="27"/>
  <c r="N586" i="27"/>
  <c r="M586" i="27"/>
  <c r="J586" i="27"/>
  <c r="I586" i="27"/>
  <c r="C586" i="27"/>
  <c r="O585" i="27"/>
  <c r="M585" i="27"/>
  <c r="P585" i="27" s="1"/>
  <c r="J585" i="27"/>
  <c r="I585" i="27"/>
  <c r="N585" i="27" s="1"/>
  <c r="C585" i="27"/>
  <c r="P584" i="27"/>
  <c r="O584" i="27"/>
  <c r="N584" i="27"/>
  <c r="M584" i="27"/>
  <c r="J584" i="27"/>
  <c r="I584" i="27"/>
  <c r="C584" i="27"/>
  <c r="O583" i="27"/>
  <c r="M583" i="27"/>
  <c r="J583" i="27"/>
  <c r="I583" i="27"/>
  <c r="N583" i="27" s="1"/>
  <c r="C583" i="27"/>
  <c r="O582" i="27"/>
  <c r="N582" i="27"/>
  <c r="P582" i="27" s="1"/>
  <c r="M582" i="27"/>
  <c r="J582" i="27"/>
  <c r="I582" i="27"/>
  <c r="C582" i="27"/>
  <c r="O581" i="27"/>
  <c r="M581" i="27"/>
  <c r="P581" i="27" s="1"/>
  <c r="J581" i="27"/>
  <c r="I581" i="27"/>
  <c r="N581" i="27" s="1"/>
  <c r="C581" i="27"/>
  <c r="P580" i="27"/>
  <c r="O580" i="27"/>
  <c r="N580" i="27"/>
  <c r="M580" i="27"/>
  <c r="J580" i="27"/>
  <c r="I580" i="27"/>
  <c r="C580" i="27"/>
  <c r="O579" i="27"/>
  <c r="M579" i="27"/>
  <c r="J579" i="27"/>
  <c r="I579" i="27"/>
  <c r="N579" i="27" s="1"/>
  <c r="C579" i="27"/>
  <c r="O578" i="27"/>
  <c r="N578" i="27"/>
  <c r="M578" i="27"/>
  <c r="J578" i="27"/>
  <c r="I578" i="27"/>
  <c r="C578" i="27"/>
  <c r="O577" i="27"/>
  <c r="M577" i="27"/>
  <c r="P577" i="27" s="1"/>
  <c r="J577" i="27"/>
  <c r="I577" i="27"/>
  <c r="N577" i="27" s="1"/>
  <c r="C577" i="27"/>
  <c r="P576" i="27"/>
  <c r="O576" i="27"/>
  <c r="N576" i="27"/>
  <c r="M576" i="27"/>
  <c r="J576" i="27"/>
  <c r="I576" i="27"/>
  <c r="C576" i="27"/>
  <c r="O575" i="27"/>
  <c r="M575" i="27"/>
  <c r="J575" i="27"/>
  <c r="I575" i="27"/>
  <c r="N575" i="27" s="1"/>
  <c r="C575" i="27"/>
  <c r="O574" i="27"/>
  <c r="N574" i="27"/>
  <c r="P574" i="27" s="1"/>
  <c r="M574" i="27"/>
  <c r="J574" i="27"/>
  <c r="I574" i="27"/>
  <c r="C574" i="27"/>
  <c r="O573" i="27"/>
  <c r="M573" i="27"/>
  <c r="P573" i="27" s="1"/>
  <c r="J573" i="27"/>
  <c r="I573" i="27"/>
  <c r="N573" i="27" s="1"/>
  <c r="C573" i="27"/>
  <c r="P572" i="27"/>
  <c r="O572" i="27"/>
  <c r="N572" i="27"/>
  <c r="M572" i="27"/>
  <c r="J572" i="27"/>
  <c r="I572" i="27"/>
  <c r="C572" i="27"/>
  <c r="O571" i="27"/>
  <c r="M571" i="27"/>
  <c r="J571" i="27"/>
  <c r="I571" i="27"/>
  <c r="N571" i="27" s="1"/>
  <c r="C571" i="27"/>
  <c r="O570" i="27"/>
  <c r="N570" i="27"/>
  <c r="M570" i="27"/>
  <c r="J570" i="27"/>
  <c r="I570" i="27"/>
  <c r="C570" i="27"/>
  <c r="O569" i="27"/>
  <c r="M569" i="27"/>
  <c r="P569" i="27" s="1"/>
  <c r="J569" i="27"/>
  <c r="I569" i="27"/>
  <c r="N569" i="27" s="1"/>
  <c r="C569" i="27"/>
  <c r="P568" i="27"/>
  <c r="O568" i="27"/>
  <c r="N568" i="27"/>
  <c r="M568" i="27"/>
  <c r="J568" i="27"/>
  <c r="I568" i="27"/>
  <c r="C568" i="27"/>
  <c r="O567" i="27"/>
  <c r="M567" i="27"/>
  <c r="J567" i="27"/>
  <c r="I567" i="27"/>
  <c r="N567" i="27" s="1"/>
  <c r="C567" i="27"/>
  <c r="O566" i="27"/>
  <c r="N566" i="27"/>
  <c r="P566" i="27" s="1"/>
  <c r="M566" i="27"/>
  <c r="J566" i="27"/>
  <c r="I566" i="27"/>
  <c r="C566" i="27"/>
  <c r="O565" i="27"/>
  <c r="M565" i="27"/>
  <c r="P565" i="27" s="1"/>
  <c r="J565" i="27"/>
  <c r="I565" i="27"/>
  <c r="N565" i="27" s="1"/>
  <c r="C565" i="27"/>
  <c r="P564" i="27"/>
  <c r="O564" i="27"/>
  <c r="N564" i="27"/>
  <c r="M564" i="27"/>
  <c r="J564" i="27"/>
  <c r="I564" i="27"/>
  <c r="C564" i="27"/>
  <c r="O563" i="27"/>
  <c r="M563" i="27"/>
  <c r="J563" i="27"/>
  <c r="I563" i="27"/>
  <c r="N563" i="27" s="1"/>
  <c r="C563" i="27"/>
  <c r="O562" i="27"/>
  <c r="N562" i="27"/>
  <c r="M562" i="27"/>
  <c r="J562" i="27"/>
  <c r="I562" i="27"/>
  <c r="C562" i="27"/>
  <c r="O561" i="27"/>
  <c r="M561" i="27"/>
  <c r="P561" i="27" s="1"/>
  <c r="J561" i="27"/>
  <c r="I561" i="27"/>
  <c r="N561" i="27" s="1"/>
  <c r="C561" i="27"/>
  <c r="P560" i="27"/>
  <c r="O560" i="27"/>
  <c r="N560" i="27"/>
  <c r="M560" i="27"/>
  <c r="J560" i="27"/>
  <c r="I560" i="27"/>
  <c r="C560" i="27"/>
  <c r="O559" i="27"/>
  <c r="M559" i="27"/>
  <c r="J559" i="27"/>
  <c r="I559" i="27"/>
  <c r="N559" i="27" s="1"/>
  <c r="C559" i="27"/>
  <c r="O558" i="27"/>
  <c r="N558" i="27"/>
  <c r="P558" i="27" s="1"/>
  <c r="M558" i="27"/>
  <c r="J558" i="27"/>
  <c r="I558" i="27"/>
  <c r="C558" i="27"/>
  <c r="O557" i="27"/>
  <c r="M557" i="27"/>
  <c r="J557" i="27"/>
  <c r="I557" i="27"/>
  <c r="N557" i="27" s="1"/>
  <c r="C557" i="27"/>
  <c r="P556" i="27"/>
  <c r="O556" i="27"/>
  <c r="N556" i="27"/>
  <c r="M556" i="27"/>
  <c r="J556" i="27"/>
  <c r="I556" i="27"/>
  <c r="C556" i="27"/>
  <c r="O555" i="27"/>
  <c r="M555" i="27"/>
  <c r="J555" i="27"/>
  <c r="I555" i="27"/>
  <c r="N555" i="27" s="1"/>
  <c r="C555" i="27"/>
  <c r="O554" i="27"/>
  <c r="N554" i="27"/>
  <c r="M554" i="27"/>
  <c r="J554" i="27"/>
  <c r="I554" i="27"/>
  <c r="C554" i="27"/>
  <c r="O553" i="27"/>
  <c r="M553" i="27"/>
  <c r="P553" i="27" s="1"/>
  <c r="J553" i="27"/>
  <c r="I553" i="27"/>
  <c r="N553" i="27" s="1"/>
  <c r="C553" i="27"/>
  <c r="P552" i="27"/>
  <c r="O552" i="27"/>
  <c r="N552" i="27"/>
  <c r="M552" i="27"/>
  <c r="J552" i="27"/>
  <c r="I552" i="27"/>
  <c r="C552" i="27"/>
  <c r="O551" i="27"/>
  <c r="M551" i="27"/>
  <c r="J551" i="27"/>
  <c r="I551" i="27"/>
  <c r="N551" i="27" s="1"/>
  <c r="C551" i="27"/>
  <c r="O550" i="27"/>
  <c r="N550" i="27"/>
  <c r="P550" i="27" s="1"/>
  <c r="M550" i="27"/>
  <c r="J550" i="27"/>
  <c r="I550" i="27"/>
  <c r="C550" i="27"/>
  <c r="O549" i="27"/>
  <c r="M549" i="27"/>
  <c r="J549" i="27"/>
  <c r="I549" i="27"/>
  <c r="N549" i="27" s="1"/>
  <c r="C549" i="27"/>
  <c r="P548" i="27"/>
  <c r="O548" i="27"/>
  <c r="N548" i="27"/>
  <c r="M548" i="27"/>
  <c r="J548" i="27"/>
  <c r="I548" i="27"/>
  <c r="C548" i="27"/>
  <c r="O547" i="27"/>
  <c r="M547" i="27"/>
  <c r="J547" i="27"/>
  <c r="I547" i="27"/>
  <c r="N547" i="27" s="1"/>
  <c r="C547" i="27"/>
  <c r="O546" i="27"/>
  <c r="N546" i="27"/>
  <c r="P546" i="27" s="1"/>
  <c r="M546" i="27"/>
  <c r="J546" i="27"/>
  <c r="I546" i="27"/>
  <c r="C546" i="27"/>
  <c r="O545" i="27"/>
  <c r="M545" i="27"/>
  <c r="P545" i="27" s="1"/>
  <c r="J545" i="27"/>
  <c r="I545" i="27"/>
  <c r="N545" i="27" s="1"/>
  <c r="C545" i="27"/>
  <c r="P544" i="27"/>
  <c r="O544" i="27"/>
  <c r="N544" i="27"/>
  <c r="M544" i="27"/>
  <c r="J544" i="27"/>
  <c r="I544" i="27"/>
  <c r="C544" i="27"/>
  <c r="O543" i="27"/>
  <c r="M543" i="27"/>
  <c r="J543" i="27"/>
  <c r="I543" i="27"/>
  <c r="N543" i="27" s="1"/>
  <c r="C543" i="27"/>
  <c r="O542" i="27"/>
  <c r="N542" i="27"/>
  <c r="P542" i="27" s="1"/>
  <c r="M542" i="27"/>
  <c r="J542" i="27"/>
  <c r="I542" i="27"/>
  <c r="C542" i="27"/>
  <c r="O541" i="27"/>
  <c r="M541" i="27"/>
  <c r="J541" i="27"/>
  <c r="I541" i="27"/>
  <c r="N541" i="27" s="1"/>
  <c r="C541" i="27"/>
  <c r="P540" i="27"/>
  <c r="O540" i="27"/>
  <c r="N540" i="27"/>
  <c r="M540" i="27"/>
  <c r="J540" i="27"/>
  <c r="I540" i="27"/>
  <c r="C540" i="27"/>
  <c r="O539" i="27"/>
  <c r="M539" i="27"/>
  <c r="J539" i="27"/>
  <c r="I539" i="27"/>
  <c r="N539" i="27" s="1"/>
  <c r="C539" i="27"/>
  <c r="O538" i="27"/>
  <c r="N538" i="27"/>
  <c r="P538" i="27" s="1"/>
  <c r="M538" i="27"/>
  <c r="J538" i="27"/>
  <c r="I538" i="27"/>
  <c r="C538" i="27"/>
  <c r="O537" i="27"/>
  <c r="M537" i="27"/>
  <c r="P537" i="27" s="1"/>
  <c r="J537" i="27"/>
  <c r="I537" i="27"/>
  <c r="N537" i="27" s="1"/>
  <c r="C537" i="27"/>
  <c r="P536" i="27"/>
  <c r="O536" i="27"/>
  <c r="N536" i="27"/>
  <c r="M536" i="27"/>
  <c r="J536" i="27"/>
  <c r="I536" i="27"/>
  <c r="C536" i="27"/>
  <c r="O535" i="27"/>
  <c r="M535" i="27"/>
  <c r="J535" i="27"/>
  <c r="I535" i="27"/>
  <c r="N535" i="27" s="1"/>
  <c r="C535" i="27"/>
  <c r="O534" i="27"/>
  <c r="N534" i="27"/>
  <c r="P534" i="27" s="1"/>
  <c r="M534" i="27"/>
  <c r="J534" i="27"/>
  <c r="I534" i="27"/>
  <c r="C534" i="27"/>
  <c r="O533" i="27"/>
  <c r="M533" i="27"/>
  <c r="J533" i="27"/>
  <c r="I533" i="27"/>
  <c r="N533" i="27" s="1"/>
  <c r="C533" i="27"/>
  <c r="P532" i="27"/>
  <c r="O532" i="27"/>
  <c r="N532" i="27"/>
  <c r="M532" i="27"/>
  <c r="J532" i="27"/>
  <c r="I532" i="27"/>
  <c r="C532" i="27"/>
  <c r="O531" i="27"/>
  <c r="M531" i="27"/>
  <c r="J531" i="27"/>
  <c r="I531" i="27"/>
  <c r="N531" i="27" s="1"/>
  <c r="C531" i="27"/>
  <c r="O530" i="27"/>
  <c r="N530" i="27"/>
  <c r="P530" i="27" s="1"/>
  <c r="M530" i="27"/>
  <c r="J530" i="27"/>
  <c r="I530" i="27"/>
  <c r="C530" i="27"/>
  <c r="O529" i="27"/>
  <c r="M529" i="27"/>
  <c r="P529" i="27" s="1"/>
  <c r="J529" i="27"/>
  <c r="I529" i="27"/>
  <c r="N529" i="27" s="1"/>
  <c r="C529" i="27"/>
  <c r="P528" i="27"/>
  <c r="O528" i="27"/>
  <c r="N528" i="27"/>
  <c r="M528" i="27"/>
  <c r="J528" i="27"/>
  <c r="I528" i="27"/>
  <c r="C528" i="27"/>
  <c r="O527" i="27"/>
  <c r="M527" i="27"/>
  <c r="J527" i="27"/>
  <c r="I527" i="27"/>
  <c r="N527" i="27" s="1"/>
  <c r="C527" i="27"/>
  <c r="P526" i="27"/>
  <c r="O526" i="27"/>
  <c r="N526" i="27"/>
  <c r="M526" i="27"/>
  <c r="J526" i="27"/>
  <c r="I526" i="27"/>
  <c r="C526" i="27"/>
  <c r="O525" i="27"/>
  <c r="M525" i="27"/>
  <c r="P525" i="27" s="1"/>
  <c r="J525" i="27"/>
  <c r="I525" i="27"/>
  <c r="N525" i="27" s="1"/>
  <c r="C525" i="27"/>
  <c r="P524" i="27"/>
  <c r="O524" i="27"/>
  <c r="N524" i="27"/>
  <c r="M524" i="27"/>
  <c r="J524" i="27"/>
  <c r="I524" i="27"/>
  <c r="C524" i="27"/>
  <c r="O523" i="27"/>
  <c r="M523" i="27"/>
  <c r="P523" i="27" s="1"/>
  <c r="J523" i="27"/>
  <c r="I523" i="27"/>
  <c r="N523" i="27" s="1"/>
  <c r="C523" i="27"/>
  <c r="O522" i="27"/>
  <c r="N522" i="27"/>
  <c r="P522" i="27" s="1"/>
  <c r="M522" i="27"/>
  <c r="J522" i="27"/>
  <c r="I522" i="27"/>
  <c r="C522" i="27"/>
  <c r="O521" i="27"/>
  <c r="M521" i="27"/>
  <c r="J521" i="27"/>
  <c r="I521" i="27"/>
  <c r="N521" i="27" s="1"/>
  <c r="C521" i="27"/>
  <c r="P520" i="27"/>
  <c r="O520" i="27"/>
  <c r="N520" i="27"/>
  <c r="M520" i="27"/>
  <c r="J520" i="27"/>
  <c r="I520" i="27"/>
  <c r="C520" i="27"/>
  <c r="O519" i="27"/>
  <c r="M519" i="27"/>
  <c r="J519" i="27"/>
  <c r="I519" i="27"/>
  <c r="N519" i="27" s="1"/>
  <c r="C519" i="27"/>
  <c r="P518" i="27"/>
  <c r="O518" i="27"/>
  <c r="N518" i="27"/>
  <c r="M518" i="27"/>
  <c r="J518" i="27"/>
  <c r="I518" i="27"/>
  <c r="C518" i="27"/>
  <c r="O517" i="27"/>
  <c r="M517" i="27"/>
  <c r="J517" i="27"/>
  <c r="I517" i="27"/>
  <c r="N517" i="27" s="1"/>
  <c r="C517" i="27"/>
  <c r="P516" i="27"/>
  <c r="O516" i="27"/>
  <c r="N516" i="27"/>
  <c r="M516" i="27"/>
  <c r="J516" i="27"/>
  <c r="I516" i="27"/>
  <c r="C516" i="27"/>
  <c r="O515" i="27"/>
  <c r="M515" i="27"/>
  <c r="P515" i="27" s="1"/>
  <c r="J515" i="27"/>
  <c r="I515" i="27"/>
  <c r="N515" i="27" s="1"/>
  <c r="C515" i="27"/>
  <c r="O514" i="27"/>
  <c r="N514" i="27"/>
  <c r="P514" i="27" s="1"/>
  <c r="M514" i="27"/>
  <c r="J514" i="27"/>
  <c r="I514" i="27"/>
  <c r="C514" i="27"/>
  <c r="O513" i="27"/>
  <c r="M513" i="27"/>
  <c r="J513" i="27"/>
  <c r="I513" i="27"/>
  <c r="N513" i="27" s="1"/>
  <c r="C513" i="27"/>
  <c r="P512" i="27"/>
  <c r="O512" i="27"/>
  <c r="N512" i="27"/>
  <c r="M512" i="27"/>
  <c r="J512" i="27"/>
  <c r="I512" i="27"/>
  <c r="C512" i="27"/>
  <c r="O511" i="27"/>
  <c r="M511" i="27"/>
  <c r="P511" i="27" s="1"/>
  <c r="J511" i="27"/>
  <c r="I511" i="27"/>
  <c r="N511" i="27" s="1"/>
  <c r="C511" i="27"/>
  <c r="P510" i="27"/>
  <c r="O510" i="27"/>
  <c r="N510" i="27"/>
  <c r="M510" i="27"/>
  <c r="J510" i="27"/>
  <c r="I510" i="27"/>
  <c r="C510" i="27"/>
  <c r="O509" i="27"/>
  <c r="M509" i="27"/>
  <c r="P509" i="27" s="1"/>
  <c r="J509" i="27"/>
  <c r="I509" i="27"/>
  <c r="N509" i="27" s="1"/>
  <c r="C509" i="27"/>
  <c r="P508" i="27"/>
  <c r="O508" i="27"/>
  <c r="N508" i="27"/>
  <c r="M508" i="27"/>
  <c r="J508" i="27"/>
  <c r="I508" i="27"/>
  <c r="C508" i="27"/>
  <c r="O507" i="27"/>
  <c r="M507" i="27"/>
  <c r="P507" i="27" s="1"/>
  <c r="J507" i="27"/>
  <c r="I507" i="27"/>
  <c r="N507" i="27" s="1"/>
  <c r="C507" i="27"/>
  <c r="O506" i="27"/>
  <c r="N506" i="27"/>
  <c r="P506" i="27" s="1"/>
  <c r="M506" i="27"/>
  <c r="J506" i="27"/>
  <c r="I506" i="27"/>
  <c r="C506" i="27"/>
  <c r="O505" i="27"/>
  <c r="M505" i="27"/>
  <c r="J505" i="27"/>
  <c r="I505" i="27"/>
  <c r="N505" i="27" s="1"/>
  <c r="C505" i="27"/>
  <c r="O504" i="27"/>
  <c r="N504" i="27"/>
  <c r="P504" i="27" s="1"/>
  <c r="M504" i="27"/>
  <c r="J504" i="27"/>
  <c r="I504" i="27"/>
  <c r="C504" i="27"/>
  <c r="O503" i="27"/>
  <c r="M503" i="27"/>
  <c r="J503" i="27"/>
  <c r="I503" i="27"/>
  <c r="N503" i="27" s="1"/>
  <c r="C503" i="27"/>
  <c r="O502" i="27"/>
  <c r="N502" i="27"/>
  <c r="P502" i="27" s="1"/>
  <c r="M502" i="27"/>
  <c r="J502" i="27"/>
  <c r="I502" i="27"/>
  <c r="C502" i="27"/>
  <c r="O501" i="27"/>
  <c r="M501" i="27"/>
  <c r="J501" i="27"/>
  <c r="I501" i="27"/>
  <c r="N501" i="27" s="1"/>
  <c r="C501" i="27"/>
  <c r="P500" i="27"/>
  <c r="O500" i="27"/>
  <c r="N500" i="27"/>
  <c r="M500" i="27"/>
  <c r="J500" i="27"/>
  <c r="I500" i="27"/>
  <c r="C500" i="27"/>
  <c r="O499" i="27"/>
  <c r="M499" i="27"/>
  <c r="J499" i="27"/>
  <c r="I499" i="27"/>
  <c r="N499" i="27" s="1"/>
  <c r="C499" i="27"/>
  <c r="O498" i="27"/>
  <c r="N498" i="27"/>
  <c r="P498" i="27" s="1"/>
  <c r="M498" i="27"/>
  <c r="J498" i="27"/>
  <c r="I498" i="27"/>
  <c r="C498" i="27"/>
  <c r="O497" i="27"/>
  <c r="M497" i="27"/>
  <c r="P497" i="27" s="1"/>
  <c r="J497" i="27"/>
  <c r="I497" i="27"/>
  <c r="N497" i="27" s="1"/>
  <c r="C497" i="27"/>
  <c r="O496" i="27"/>
  <c r="N496" i="27"/>
  <c r="P496" i="27" s="1"/>
  <c r="M496" i="27"/>
  <c r="J496" i="27"/>
  <c r="I496" i="27"/>
  <c r="C496" i="27"/>
  <c r="O495" i="27"/>
  <c r="M495" i="27"/>
  <c r="P495" i="27" s="1"/>
  <c r="J495" i="27"/>
  <c r="I495" i="27"/>
  <c r="N495" i="27" s="1"/>
  <c r="C495" i="27"/>
  <c r="O494" i="27"/>
  <c r="N494" i="27"/>
  <c r="P494" i="27" s="1"/>
  <c r="M494" i="27"/>
  <c r="J494" i="27"/>
  <c r="I494" i="27"/>
  <c r="C494" i="27"/>
  <c r="O493" i="27"/>
  <c r="M493" i="27"/>
  <c r="P493" i="27" s="1"/>
  <c r="J493" i="27"/>
  <c r="I493" i="27"/>
  <c r="N493" i="27" s="1"/>
  <c r="C493" i="27"/>
  <c r="P492" i="27"/>
  <c r="O492" i="27"/>
  <c r="N492" i="27"/>
  <c r="M492" i="27"/>
  <c r="J492" i="27"/>
  <c r="I492" i="27"/>
  <c r="C492" i="27"/>
  <c r="O491" i="27"/>
  <c r="M491" i="27"/>
  <c r="P491" i="27" s="1"/>
  <c r="J491" i="27"/>
  <c r="I491" i="27"/>
  <c r="N491" i="27" s="1"/>
  <c r="C491" i="27"/>
  <c r="O490" i="27"/>
  <c r="N490" i="27"/>
  <c r="P490" i="27" s="1"/>
  <c r="M490" i="27"/>
  <c r="J490" i="27"/>
  <c r="I490" i="27"/>
  <c r="C490" i="27"/>
  <c r="O489" i="27"/>
  <c r="M489" i="27"/>
  <c r="J489" i="27"/>
  <c r="I489" i="27"/>
  <c r="N489" i="27" s="1"/>
  <c r="C489" i="27"/>
  <c r="O488" i="27"/>
  <c r="N488" i="27"/>
  <c r="P488" i="27" s="1"/>
  <c r="M488" i="27"/>
  <c r="J488" i="27"/>
  <c r="I488" i="27"/>
  <c r="C488" i="27"/>
  <c r="O487" i="27"/>
  <c r="M487" i="27"/>
  <c r="J487" i="27"/>
  <c r="I487" i="27"/>
  <c r="N487" i="27" s="1"/>
  <c r="C487" i="27"/>
  <c r="P486" i="27"/>
  <c r="O486" i="27"/>
  <c r="N486" i="27"/>
  <c r="M486" i="27"/>
  <c r="J486" i="27"/>
  <c r="I486" i="27"/>
  <c r="C486" i="27"/>
  <c r="O485" i="27"/>
  <c r="M485" i="27"/>
  <c r="J485" i="27"/>
  <c r="I485" i="27"/>
  <c r="N485" i="27" s="1"/>
  <c r="C485" i="27"/>
  <c r="P484" i="27"/>
  <c r="O484" i="27"/>
  <c r="N484" i="27"/>
  <c r="M484" i="27"/>
  <c r="J484" i="27"/>
  <c r="I484" i="27"/>
  <c r="C484" i="27"/>
  <c r="O483" i="27"/>
  <c r="M483" i="27"/>
  <c r="J483" i="27"/>
  <c r="I483" i="27"/>
  <c r="N483" i="27" s="1"/>
  <c r="C483" i="27"/>
  <c r="O482" i="27"/>
  <c r="N482" i="27"/>
  <c r="P482" i="27" s="1"/>
  <c r="M482" i="27"/>
  <c r="J482" i="27"/>
  <c r="I482" i="27"/>
  <c r="C482" i="27"/>
  <c r="O481" i="27"/>
  <c r="M481" i="27"/>
  <c r="P481" i="27" s="1"/>
  <c r="J481" i="27"/>
  <c r="I481" i="27"/>
  <c r="N481" i="27" s="1"/>
  <c r="C481" i="27"/>
  <c r="P480" i="27"/>
  <c r="O480" i="27"/>
  <c r="N480" i="27"/>
  <c r="M480" i="27"/>
  <c r="J480" i="27"/>
  <c r="I480" i="27"/>
  <c r="C480" i="27"/>
  <c r="O479" i="27"/>
  <c r="M479" i="27"/>
  <c r="P479" i="27" s="1"/>
  <c r="J479" i="27"/>
  <c r="I479" i="27"/>
  <c r="N479" i="27" s="1"/>
  <c r="C479" i="27"/>
  <c r="O478" i="27"/>
  <c r="N478" i="27"/>
  <c r="P478" i="27" s="1"/>
  <c r="M478" i="27"/>
  <c r="J478" i="27"/>
  <c r="I478" i="27"/>
  <c r="C478" i="27"/>
  <c r="O477" i="27"/>
  <c r="M477" i="27"/>
  <c r="J477" i="27"/>
  <c r="I477" i="27"/>
  <c r="N477" i="27" s="1"/>
  <c r="C477" i="27"/>
  <c r="O476" i="27"/>
  <c r="N476" i="27"/>
  <c r="P476" i="27" s="1"/>
  <c r="M476" i="27"/>
  <c r="J476" i="27"/>
  <c r="I476" i="27"/>
  <c r="C476" i="27"/>
  <c r="O475" i="27"/>
  <c r="M475" i="27"/>
  <c r="J475" i="27"/>
  <c r="I475" i="27"/>
  <c r="N475" i="27" s="1"/>
  <c r="C475" i="27"/>
  <c r="O474" i="27"/>
  <c r="N474" i="27"/>
  <c r="M474" i="27"/>
  <c r="P474" i="27" s="1"/>
  <c r="J474" i="27"/>
  <c r="I474" i="27"/>
  <c r="C474" i="27"/>
  <c r="O473" i="27"/>
  <c r="M473" i="27"/>
  <c r="J473" i="27"/>
  <c r="I473" i="27"/>
  <c r="N473" i="27" s="1"/>
  <c r="C473" i="27"/>
  <c r="P472" i="27"/>
  <c r="O472" i="27"/>
  <c r="N472" i="27"/>
  <c r="M472" i="27"/>
  <c r="J472" i="27"/>
  <c r="I472" i="27"/>
  <c r="C472" i="27"/>
  <c r="P471" i="27"/>
  <c r="O471" i="27"/>
  <c r="M471" i="27"/>
  <c r="J471" i="27"/>
  <c r="I471" i="27"/>
  <c r="N471" i="27" s="1"/>
  <c r="C471" i="27"/>
  <c r="O470" i="27"/>
  <c r="M470" i="27"/>
  <c r="P470" i="27" s="1"/>
  <c r="J470" i="27"/>
  <c r="I470" i="27"/>
  <c r="N470" i="27" s="1"/>
  <c r="C470" i="27"/>
  <c r="O469" i="27"/>
  <c r="M469" i="27"/>
  <c r="P469" i="27" s="1"/>
  <c r="J469" i="27"/>
  <c r="I469" i="27"/>
  <c r="N469" i="27" s="1"/>
  <c r="C469" i="27"/>
  <c r="P468" i="27"/>
  <c r="O468" i="27"/>
  <c r="N468" i="27"/>
  <c r="M468" i="27"/>
  <c r="J468" i="27"/>
  <c r="I468" i="27"/>
  <c r="C468" i="27"/>
  <c r="O467" i="27"/>
  <c r="M467" i="27"/>
  <c r="P467" i="27" s="1"/>
  <c r="J467" i="27"/>
  <c r="I467" i="27"/>
  <c r="N467" i="27" s="1"/>
  <c r="C467" i="27"/>
  <c r="O466" i="27"/>
  <c r="N466" i="27"/>
  <c r="P466" i="27" s="1"/>
  <c r="M466" i="27"/>
  <c r="J466" i="27"/>
  <c r="I466" i="27"/>
  <c r="C466" i="27"/>
  <c r="O465" i="27"/>
  <c r="M465" i="27"/>
  <c r="J465" i="27"/>
  <c r="I465" i="27"/>
  <c r="N465" i="27" s="1"/>
  <c r="C465" i="27"/>
  <c r="O464" i="27"/>
  <c r="N464" i="27"/>
  <c r="P464" i="27" s="1"/>
  <c r="M464" i="27"/>
  <c r="J464" i="27"/>
  <c r="I464" i="27"/>
  <c r="C464" i="27"/>
  <c r="O463" i="27"/>
  <c r="M463" i="27"/>
  <c r="P463" i="27" s="1"/>
  <c r="J463" i="27"/>
  <c r="I463" i="27"/>
  <c r="N463" i="27" s="1"/>
  <c r="C463" i="27"/>
  <c r="P462" i="27"/>
  <c r="O462" i="27"/>
  <c r="N462" i="27"/>
  <c r="M462" i="27"/>
  <c r="J462" i="27"/>
  <c r="I462" i="27"/>
  <c r="C462" i="27"/>
  <c r="O461" i="27"/>
  <c r="M461" i="27"/>
  <c r="P461" i="27" s="1"/>
  <c r="J461" i="27"/>
  <c r="I461" i="27"/>
  <c r="N461" i="27" s="1"/>
  <c r="C461" i="27"/>
  <c r="P460" i="27"/>
  <c r="O460" i="27"/>
  <c r="N460" i="27"/>
  <c r="M460" i="27"/>
  <c r="J460" i="27"/>
  <c r="I460" i="27"/>
  <c r="C460" i="27"/>
  <c r="O459" i="27"/>
  <c r="M459" i="27"/>
  <c r="P459" i="27" s="1"/>
  <c r="J459" i="27"/>
  <c r="I459" i="27"/>
  <c r="N459" i="27" s="1"/>
  <c r="C459" i="27"/>
  <c r="O458" i="27"/>
  <c r="N458" i="27"/>
  <c r="P458" i="27" s="1"/>
  <c r="M458" i="27"/>
  <c r="J458" i="27"/>
  <c r="I458" i="27"/>
  <c r="C458" i="27"/>
  <c r="O457" i="27"/>
  <c r="M457" i="27"/>
  <c r="J457" i="27"/>
  <c r="I457" i="27"/>
  <c r="N457" i="27" s="1"/>
  <c r="C457" i="27"/>
  <c r="O456" i="27"/>
  <c r="N456" i="27"/>
  <c r="P456" i="27" s="1"/>
  <c r="M456" i="27"/>
  <c r="J456" i="27"/>
  <c r="I456" i="27"/>
  <c r="C456" i="27"/>
  <c r="O455" i="27"/>
  <c r="M455" i="27"/>
  <c r="P455" i="27" s="1"/>
  <c r="J455" i="27"/>
  <c r="I455" i="27"/>
  <c r="N455" i="27" s="1"/>
  <c r="C455" i="27"/>
  <c r="P454" i="27"/>
  <c r="O454" i="27"/>
  <c r="N454" i="27"/>
  <c r="M454" i="27"/>
  <c r="J454" i="27"/>
  <c r="I454" i="27"/>
  <c r="C454" i="27"/>
  <c r="O453" i="27"/>
  <c r="M453" i="27"/>
  <c r="P453" i="27" s="1"/>
  <c r="J453" i="27"/>
  <c r="I453" i="27"/>
  <c r="N453" i="27" s="1"/>
  <c r="C453" i="27"/>
  <c r="P452" i="27"/>
  <c r="O452" i="27"/>
  <c r="N452" i="27"/>
  <c r="M452" i="27"/>
  <c r="J452" i="27"/>
  <c r="I452" i="27"/>
  <c r="C452" i="27"/>
  <c r="O451" i="27"/>
  <c r="M451" i="27"/>
  <c r="P451" i="27" s="1"/>
  <c r="J451" i="27"/>
  <c r="I451" i="27"/>
  <c r="N451" i="27" s="1"/>
  <c r="C451" i="27"/>
  <c r="O450" i="27"/>
  <c r="N450" i="27"/>
  <c r="P450" i="27" s="1"/>
  <c r="M450" i="27"/>
  <c r="J450" i="27"/>
  <c r="I450" i="27"/>
  <c r="C450" i="27"/>
  <c r="O449" i="27"/>
  <c r="M449" i="27"/>
  <c r="J449" i="27"/>
  <c r="I449" i="27"/>
  <c r="N449" i="27" s="1"/>
  <c r="C449" i="27"/>
  <c r="O448" i="27"/>
  <c r="N448" i="27"/>
  <c r="P448" i="27" s="1"/>
  <c r="M448" i="27"/>
  <c r="J448" i="27"/>
  <c r="I448" i="27"/>
  <c r="C448" i="27"/>
  <c r="O447" i="27"/>
  <c r="M447" i="27"/>
  <c r="P447" i="27" s="1"/>
  <c r="J447" i="27"/>
  <c r="I447" i="27"/>
  <c r="N447" i="27" s="1"/>
  <c r="C447" i="27"/>
  <c r="P446" i="27"/>
  <c r="O446" i="27"/>
  <c r="N446" i="27"/>
  <c r="M446" i="27"/>
  <c r="J446" i="27"/>
  <c r="I446" i="27"/>
  <c r="C446" i="27"/>
  <c r="O445" i="27"/>
  <c r="M445" i="27"/>
  <c r="P445" i="27" s="1"/>
  <c r="J445" i="27"/>
  <c r="I445" i="27"/>
  <c r="N445" i="27" s="1"/>
  <c r="C445" i="27"/>
  <c r="P444" i="27"/>
  <c r="O444" i="27"/>
  <c r="N444" i="27"/>
  <c r="M444" i="27"/>
  <c r="J444" i="27"/>
  <c r="I444" i="27"/>
  <c r="C444" i="27"/>
  <c r="O443" i="27"/>
  <c r="M443" i="27"/>
  <c r="P443" i="27" s="1"/>
  <c r="J443" i="27"/>
  <c r="I443" i="27"/>
  <c r="N443" i="27" s="1"/>
  <c r="C443" i="27"/>
  <c r="O442" i="27"/>
  <c r="N442" i="27"/>
  <c r="P442" i="27" s="1"/>
  <c r="M442" i="27"/>
  <c r="J442" i="27"/>
  <c r="I442" i="27"/>
  <c r="C442" i="27"/>
  <c r="O441" i="27"/>
  <c r="M441" i="27"/>
  <c r="J441" i="27"/>
  <c r="I441" i="27"/>
  <c r="N441" i="27" s="1"/>
  <c r="C441" i="27"/>
  <c r="O440" i="27"/>
  <c r="N440" i="27"/>
  <c r="P440" i="27" s="1"/>
  <c r="M440" i="27"/>
  <c r="J440" i="27"/>
  <c r="I440" i="27"/>
  <c r="C440" i="27"/>
  <c r="O439" i="27"/>
  <c r="M439" i="27"/>
  <c r="P439" i="27" s="1"/>
  <c r="J439" i="27"/>
  <c r="I439" i="27"/>
  <c r="N439" i="27" s="1"/>
  <c r="C439" i="27"/>
  <c r="P438" i="27"/>
  <c r="O438" i="27"/>
  <c r="N438" i="27"/>
  <c r="M438" i="27"/>
  <c r="J438" i="27"/>
  <c r="I438" i="27"/>
  <c r="C438" i="27"/>
  <c r="O437" i="27"/>
  <c r="M437" i="27"/>
  <c r="P437" i="27" s="1"/>
  <c r="J437" i="27"/>
  <c r="I437" i="27"/>
  <c r="N437" i="27" s="1"/>
  <c r="C437" i="27"/>
  <c r="P436" i="27"/>
  <c r="O436" i="27"/>
  <c r="N436" i="27"/>
  <c r="M436" i="27"/>
  <c r="J436" i="27"/>
  <c r="I436" i="27"/>
  <c r="C436" i="27"/>
  <c r="O435" i="27"/>
  <c r="M435" i="27"/>
  <c r="P435" i="27" s="1"/>
  <c r="J435" i="27"/>
  <c r="I435" i="27"/>
  <c r="N435" i="27" s="1"/>
  <c r="C435" i="27"/>
  <c r="O434" i="27"/>
  <c r="N434" i="27"/>
  <c r="P434" i="27" s="1"/>
  <c r="M434" i="27"/>
  <c r="J434" i="27"/>
  <c r="I434" i="27"/>
  <c r="C434" i="27"/>
  <c r="O433" i="27"/>
  <c r="M433" i="27"/>
  <c r="J433" i="27"/>
  <c r="I433" i="27"/>
  <c r="N433" i="27" s="1"/>
  <c r="C433" i="27"/>
  <c r="O432" i="27"/>
  <c r="N432" i="27"/>
  <c r="P432" i="27" s="1"/>
  <c r="M432" i="27"/>
  <c r="J432" i="27"/>
  <c r="I432" i="27"/>
  <c r="C432" i="27"/>
  <c r="O431" i="27"/>
  <c r="M431" i="27"/>
  <c r="P431" i="27" s="1"/>
  <c r="J431" i="27"/>
  <c r="I431" i="27"/>
  <c r="N431" i="27" s="1"/>
  <c r="C431" i="27"/>
  <c r="P430" i="27"/>
  <c r="O430" i="27"/>
  <c r="N430" i="27"/>
  <c r="M430" i="27"/>
  <c r="J430" i="27"/>
  <c r="I430" i="27"/>
  <c r="C430" i="27"/>
  <c r="O429" i="27"/>
  <c r="M429" i="27"/>
  <c r="P429" i="27" s="1"/>
  <c r="J429" i="27"/>
  <c r="I429" i="27"/>
  <c r="N429" i="27" s="1"/>
  <c r="C429" i="27"/>
  <c r="P428" i="27"/>
  <c r="O428" i="27"/>
  <c r="N428" i="27"/>
  <c r="M428" i="27"/>
  <c r="J428" i="27"/>
  <c r="I428" i="27"/>
  <c r="C428" i="27"/>
  <c r="O427" i="27"/>
  <c r="M427" i="27"/>
  <c r="P427" i="27" s="1"/>
  <c r="J427" i="27"/>
  <c r="I427" i="27"/>
  <c r="N427" i="27" s="1"/>
  <c r="C427" i="27"/>
  <c r="O426" i="27"/>
  <c r="N426" i="27"/>
  <c r="P426" i="27" s="1"/>
  <c r="M426" i="27"/>
  <c r="J426" i="27"/>
  <c r="I426" i="27"/>
  <c r="C426" i="27"/>
  <c r="O425" i="27"/>
  <c r="M425" i="27"/>
  <c r="J425" i="27"/>
  <c r="I425" i="27"/>
  <c r="N425" i="27" s="1"/>
  <c r="C425" i="27"/>
  <c r="O424" i="27"/>
  <c r="N424" i="27"/>
  <c r="P424" i="27" s="1"/>
  <c r="M424" i="27"/>
  <c r="J424" i="27"/>
  <c r="I424" i="27"/>
  <c r="C424" i="27"/>
  <c r="O423" i="27"/>
  <c r="M423" i="27"/>
  <c r="P423" i="27" s="1"/>
  <c r="J423" i="27"/>
  <c r="I423" i="27"/>
  <c r="N423" i="27" s="1"/>
  <c r="C423" i="27"/>
  <c r="P422" i="27"/>
  <c r="O422" i="27"/>
  <c r="N422" i="27"/>
  <c r="M422" i="27"/>
  <c r="J422" i="27"/>
  <c r="I422" i="27"/>
  <c r="C422" i="27"/>
  <c r="O421" i="27"/>
  <c r="M421" i="27"/>
  <c r="P421" i="27" s="1"/>
  <c r="J421" i="27"/>
  <c r="I421" i="27"/>
  <c r="N421" i="27" s="1"/>
  <c r="C421" i="27"/>
  <c r="P420" i="27"/>
  <c r="O420" i="27"/>
  <c r="N420" i="27"/>
  <c r="M420" i="27"/>
  <c r="J420" i="27"/>
  <c r="I420" i="27"/>
  <c r="C420" i="27"/>
  <c r="O419" i="27"/>
  <c r="M419" i="27"/>
  <c r="P419" i="27" s="1"/>
  <c r="J419" i="27"/>
  <c r="I419" i="27"/>
  <c r="N419" i="27" s="1"/>
  <c r="C419" i="27"/>
  <c r="O418" i="27"/>
  <c r="N418" i="27"/>
  <c r="P418" i="27" s="1"/>
  <c r="M418" i="27"/>
  <c r="J418" i="27"/>
  <c r="I418" i="27"/>
  <c r="C418" i="27"/>
  <c r="O417" i="27"/>
  <c r="M417" i="27"/>
  <c r="J417" i="27"/>
  <c r="I417" i="27"/>
  <c r="N417" i="27" s="1"/>
  <c r="C417" i="27"/>
  <c r="O416" i="27"/>
  <c r="N416" i="27"/>
  <c r="P416" i="27" s="1"/>
  <c r="M416" i="27"/>
  <c r="J416" i="27"/>
  <c r="I416" i="27"/>
  <c r="C416" i="27"/>
  <c r="O415" i="27"/>
  <c r="M415" i="27"/>
  <c r="P415" i="27" s="1"/>
  <c r="J415" i="27"/>
  <c r="I415" i="27"/>
  <c r="N415" i="27" s="1"/>
  <c r="C415" i="27"/>
  <c r="P414" i="27"/>
  <c r="O414" i="27"/>
  <c r="N414" i="27"/>
  <c r="M414" i="27"/>
  <c r="J414" i="27"/>
  <c r="I414" i="27"/>
  <c r="C414" i="27"/>
  <c r="O413" i="27"/>
  <c r="M413" i="27"/>
  <c r="P413" i="27" s="1"/>
  <c r="J413" i="27"/>
  <c r="I413" i="27"/>
  <c r="N413" i="27" s="1"/>
  <c r="C413" i="27"/>
  <c r="P412" i="27"/>
  <c r="O412" i="27"/>
  <c r="N412" i="27"/>
  <c r="M412" i="27"/>
  <c r="J412" i="27"/>
  <c r="I412" i="27"/>
  <c r="C412" i="27"/>
  <c r="O411" i="27"/>
  <c r="M411" i="27"/>
  <c r="P411" i="27" s="1"/>
  <c r="J411" i="27"/>
  <c r="I411" i="27"/>
  <c r="N411" i="27" s="1"/>
  <c r="C411" i="27"/>
  <c r="O410" i="27"/>
  <c r="N410" i="27"/>
  <c r="P410" i="27" s="1"/>
  <c r="M410" i="27"/>
  <c r="J410" i="27"/>
  <c r="I410" i="27"/>
  <c r="C410" i="27"/>
  <c r="O409" i="27"/>
  <c r="M409" i="27"/>
  <c r="J409" i="27"/>
  <c r="I409" i="27"/>
  <c r="N409" i="27" s="1"/>
  <c r="C409" i="27"/>
  <c r="O408" i="27"/>
  <c r="N408" i="27"/>
  <c r="P408" i="27" s="1"/>
  <c r="M408" i="27"/>
  <c r="J408" i="27"/>
  <c r="I408" i="27"/>
  <c r="C408" i="27"/>
  <c r="O407" i="27"/>
  <c r="M407" i="27"/>
  <c r="P407" i="27" s="1"/>
  <c r="J407" i="27"/>
  <c r="I407" i="27"/>
  <c r="N407" i="27" s="1"/>
  <c r="C407" i="27"/>
  <c r="P406" i="27"/>
  <c r="O406" i="27"/>
  <c r="N406" i="27"/>
  <c r="M406" i="27"/>
  <c r="J406" i="27"/>
  <c r="I406" i="27"/>
  <c r="C406" i="27"/>
  <c r="O405" i="27"/>
  <c r="M405" i="27"/>
  <c r="P405" i="27" s="1"/>
  <c r="J405" i="27"/>
  <c r="I405" i="27"/>
  <c r="N405" i="27" s="1"/>
  <c r="C405" i="27"/>
  <c r="P404" i="27"/>
  <c r="O404" i="27"/>
  <c r="N404" i="27"/>
  <c r="M404" i="27"/>
  <c r="J404" i="27"/>
  <c r="I404" i="27"/>
  <c r="C404" i="27"/>
  <c r="O403" i="27"/>
  <c r="M403" i="27"/>
  <c r="P403" i="27" s="1"/>
  <c r="J403" i="27"/>
  <c r="I403" i="27"/>
  <c r="N403" i="27" s="1"/>
  <c r="C403" i="27"/>
  <c r="O402" i="27"/>
  <c r="N402" i="27"/>
  <c r="P402" i="27" s="1"/>
  <c r="M402" i="27"/>
  <c r="J402" i="27"/>
  <c r="I402" i="27"/>
  <c r="C402" i="27"/>
  <c r="O401" i="27"/>
  <c r="M401" i="27"/>
  <c r="J401" i="27"/>
  <c r="I401" i="27"/>
  <c r="N401" i="27" s="1"/>
  <c r="C401" i="27"/>
  <c r="O400" i="27"/>
  <c r="N400" i="27"/>
  <c r="P400" i="27" s="1"/>
  <c r="M400" i="27"/>
  <c r="J400" i="27"/>
  <c r="I400" i="27"/>
  <c r="C400" i="27"/>
  <c r="O399" i="27"/>
  <c r="M399" i="27"/>
  <c r="P399" i="27" s="1"/>
  <c r="J399" i="27"/>
  <c r="I399" i="27"/>
  <c r="N399" i="27" s="1"/>
  <c r="C399" i="27"/>
  <c r="P398" i="27"/>
  <c r="O398" i="27"/>
  <c r="N398" i="27"/>
  <c r="M398" i="27"/>
  <c r="J398" i="27"/>
  <c r="I398" i="27"/>
  <c r="C398" i="27"/>
  <c r="O397" i="27"/>
  <c r="M397" i="27"/>
  <c r="P397" i="27" s="1"/>
  <c r="J397" i="27"/>
  <c r="I397" i="27"/>
  <c r="N397" i="27" s="1"/>
  <c r="C397" i="27"/>
  <c r="P396" i="27"/>
  <c r="O396" i="27"/>
  <c r="N396" i="27"/>
  <c r="M396" i="27"/>
  <c r="J396" i="27"/>
  <c r="I396" i="27"/>
  <c r="C396" i="27"/>
  <c r="O395" i="27"/>
  <c r="M395" i="27"/>
  <c r="P395" i="27" s="1"/>
  <c r="J395" i="27"/>
  <c r="I395" i="27"/>
  <c r="N395" i="27" s="1"/>
  <c r="C395" i="27"/>
  <c r="O394" i="27"/>
  <c r="N394" i="27"/>
  <c r="P394" i="27" s="1"/>
  <c r="M394" i="27"/>
  <c r="J394" i="27"/>
  <c r="I394" i="27"/>
  <c r="C394" i="27"/>
  <c r="O393" i="27"/>
  <c r="M393" i="27"/>
  <c r="J393" i="27"/>
  <c r="I393" i="27"/>
  <c r="N393" i="27" s="1"/>
  <c r="C393" i="27"/>
  <c r="O392" i="27"/>
  <c r="N392" i="27"/>
  <c r="P392" i="27" s="1"/>
  <c r="M392" i="27"/>
  <c r="J392" i="27"/>
  <c r="I392" i="27"/>
  <c r="C392" i="27"/>
  <c r="O391" i="27"/>
  <c r="M391" i="27"/>
  <c r="P391" i="27" s="1"/>
  <c r="J391" i="27"/>
  <c r="I391" i="27"/>
  <c r="N391" i="27" s="1"/>
  <c r="C391" i="27"/>
  <c r="P390" i="27"/>
  <c r="O390" i="27"/>
  <c r="N390" i="27"/>
  <c r="M390" i="27"/>
  <c r="J390" i="27"/>
  <c r="I390" i="27"/>
  <c r="C390" i="27"/>
  <c r="O389" i="27"/>
  <c r="M389" i="27"/>
  <c r="P389" i="27" s="1"/>
  <c r="J389" i="27"/>
  <c r="I389" i="27"/>
  <c r="N389" i="27" s="1"/>
  <c r="C389" i="27"/>
  <c r="P388" i="27"/>
  <c r="O388" i="27"/>
  <c r="N388" i="27"/>
  <c r="M388" i="27"/>
  <c r="J388" i="27"/>
  <c r="I388" i="27"/>
  <c r="C388" i="27"/>
  <c r="O387" i="27"/>
  <c r="M387" i="27"/>
  <c r="P387" i="27" s="1"/>
  <c r="J387" i="27"/>
  <c r="I387" i="27"/>
  <c r="N387" i="27" s="1"/>
  <c r="C387" i="27"/>
  <c r="O386" i="27"/>
  <c r="N386" i="27"/>
  <c r="P386" i="27" s="1"/>
  <c r="M386" i="27"/>
  <c r="J386" i="27"/>
  <c r="I386" i="27"/>
  <c r="C386" i="27"/>
  <c r="O385" i="27"/>
  <c r="M385" i="27"/>
  <c r="J385" i="27"/>
  <c r="I385" i="27"/>
  <c r="N385" i="27" s="1"/>
  <c r="C385" i="27"/>
  <c r="O384" i="27"/>
  <c r="N384" i="27"/>
  <c r="P384" i="27" s="1"/>
  <c r="M384" i="27"/>
  <c r="J384" i="27"/>
  <c r="I384" i="27"/>
  <c r="C384" i="27"/>
  <c r="O383" i="27"/>
  <c r="M383" i="27"/>
  <c r="J383" i="27"/>
  <c r="I383" i="27"/>
  <c r="N383" i="27" s="1"/>
  <c r="C383" i="27"/>
  <c r="O382" i="27"/>
  <c r="N382" i="27"/>
  <c r="P382" i="27" s="1"/>
  <c r="M382" i="27"/>
  <c r="J382" i="27"/>
  <c r="I382" i="27"/>
  <c r="C382" i="27"/>
  <c r="O381" i="27"/>
  <c r="M381" i="27"/>
  <c r="J381" i="27"/>
  <c r="I381" i="27"/>
  <c r="N381" i="27" s="1"/>
  <c r="C381" i="27"/>
  <c r="P380" i="27"/>
  <c r="O380" i="27"/>
  <c r="N380" i="27"/>
  <c r="M380" i="27"/>
  <c r="J380" i="27"/>
  <c r="I380" i="27"/>
  <c r="C380" i="27"/>
  <c r="O379" i="27"/>
  <c r="M379" i="27"/>
  <c r="P379" i="27" s="1"/>
  <c r="J379" i="27"/>
  <c r="I379" i="27"/>
  <c r="N379" i="27" s="1"/>
  <c r="C379" i="27"/>
  <c r="O378" i="27"/>
  <c r="N378" i="27"/>
  <c r="P378" i="27" s="1"/>
  <c r="M378" i="27"/>
  <c r="J378" i="27"/>
  <c r="I378" i="27"/>
  <c r="C378" i="27"/>
  <c r="O377" i="27"/>
  <c r="M377" i="27"/>
  <c r="P377" i="27" s="1"/>
  <c r="J377" i="27"/>
  <c r="I377" i="27"/>
  <c r="N377" i="27" s="1"/>
  <c r="C377" i="27"/>
  <c r="O376" i="27"/>
  <c r="N376" i="27"/>
  <c r="P376" i="27" s="1"/>
  <c r="M376" i="27"/>
  <c r="J376" i="27"/>
  <c r="I376" i="27"/>
  <c r="C376" i="27"/>
  <c r="O375" i="27"/>
  <c r="M375" i="27"/>
  <c r="P375" i="27" s="1"/>
  <c r="J375" i="27"/>
  <c r="I375" i="27"/>
  <c r="N375" i="27" s="1"/>
  <c r="C375" i="27"/>
  <c r="P374" i="27"/>
  <c r="O374" i="27"/>
  <c r="N374" i="27"/>
  <c r="M374" i="27"/>
  <c r="J374" i="27"/>
  <c r="I374" i="27"/>
  <c r="C374" i="27"/>
  <c r="O373" i="27"/>
  <c r="M373" i="27"/>
  <c r="P373" i="27" s="1"/>
  <c r="J373" i="27"/>
  <c r="I373" i="27"/>
  <c r="N373" i="27" s="1"/>
  <c r="C373" i="27"/>
  <c r="P372" i="27"/>
  <c r="O372" i="27"/>
  <c r="N372" i="27"/>
  <c r="M372" i="27"/>
  <c r="J372" i="27"/>
  <c r="I372" i="27"/>
  <c r="C372" i="27"/>
  <c r="O371" i="27"/>
  <c r="M371" i="27"/>
  <c r="P371" i="27" s="1"/>
  <c r="J371" i="27"/>
  <c r="I371" i="27"/>
  <c r="N371" i="27" s="1"/>
  <c r="C371" i="27"/>
  <c r="O370" i="27"/>
  <c r="N370" i="27"/>
  <c r="P370" i="27" s="1"/>
  <c r="M370" i="27"/>
  <c r="J370" i="27"/>
  <c r="I370" i="27"/>
  <c r="C370" i="27"/>
  <c r="O369" i="27"/>
  <c r="M369" i="27"/>
  <c r="J369" i="27"/>
  <c r="I369" i="27"/>
  <c r="N369" i="27" s="1"/>
  <c r="C369" i="27"/>
  <c r="O368" i="27"/>
  <c r="N368" i="27"/>
  <c r="P368" i="27" s="1"/>
  <c r="M368" i="27"/>
  <c r="J368" i="27"/>
  <c r="I368" i="27"/>
  <c r="C368" i="27"/>
  <c r="O367" i="27"/>
  <c r="M367" i="27"/>
  <c r="J367" i="27"/>
  <c r="I367" i="27"/>
  <c r="N367" i="27" s="1"/>
  <c r="C367" i="27"/>
  <c r="O366" i="27"/>
  <c r="N366" i="27"/>
  <c r="P366" i="27" s="1"/>
  <c r="M366" i="27"/>
  <c r="J366" i="27"/>
  <c r="I366" i="27"/>
  <c r="C366" i="27"/>
  <c r="O365" i="27"/>
  <c r="M365" i="27"/>
  <c r="J365" i="27"/>
  <c r="I365" i="27"/>
  <c r="N365" i="27" s="1"/>
  <c r="C365" i="27"/>
  <c r="P364" i="27"/>
  <c r="O364" i="27"/>
  <c r="N364" i="27"/>
  <c r="M364" i="27"/>
  <c r="J364" i="27"/>
  <c r="I364" i="27"/>
  <c r="C364" i="27"/>
  <c r="O363" i="27"/>
  <c r="M363" i="27"/>
  <c r="P363" i="27" s="1"/>
  <c r="J363" i="27"/>
  <c r="I363" i="27"/>
  <c r="N363" i="27" s="1"/>
  <c r="C363" i="27"/>
  <c r="O362" i="27"/>
  <c r="N362" i="27"/>
  <c r="P362" i="27" s="1"/>
  <c r="M362" i="27"/>
  <c r="J362" i="27"/>
  <c r="I362" i="27"/>
  <c r="C362" i="27"/>
  <c r="O361" i="27"/>
  <c r="M361" i="27"/>
  <c r="J361" i="27"/>
  <c r="I361" i="27"/>
  <c r="N361" i="27" s="1"/>
  <c r="C361" i="27"/>
  <c r="O360" i="27"/>
  <c r="N360" i="27"/>
  <c r="P360" i="27" s="1"/>
  <c r="M360" i="27"/>
  <c r="J360" i="27"/>
  <c r="I360" i="27"/>
  <c r="C360" i="27"/>
  <c r="O359" i="27"/>
  <c r="M359" i="27"/>
  <c r="P359" i="27" s="1"/>
  <c r="J359" i="27"/>
  <c r="I359" i="27"/>
  <c r="N359" i="27" s="1"/>
  <c r="C359" i="27"/>
  <c r="P358" i="27"/>
  <c r="O358" i="27"/>
  <c r="N358" i="27"/>
  <c r="M358" i="27"/>
  <c r="J358" i="27"/>
  <c r="I358" i="27"/>
  <c r="C358" i="27"/>
  <c r="O357" i="27"/>
  <c r="M357" i="27"/>
  <c r="P357" i="27" s="1"/>
  <c r="J357" i="27"/>
  <c r="I357" i="27"/>
  <c r="N357" i="27" s="1"/>
  <c r="C357" i="27"/>
  <c r="P356" i="27"/>
  <c r="O356" i="27"/>
  <c r="N356" i="27"/>
  <c r="M356" i="27"/>
  <c r="J356" i="27"/>
  <c r="I356" i="27"/>
  <c r="C356" i="27"/>
  <c r="O355" i="27"/>
  <c r="M355" i="27"/>
  <c r="P355" i="27" s="1"/>
  <c r="J355" i="27"/>
  <c r="I355" i="27"/>
  <c r="N355" i="27" s="1"/>
  <c r="C355" i="27"/>
  <c r="O354" i="27"/>
  <c r="N354" i="27"/>
  <c r="P354" i="27" s="1"/>
  <c r="M354" i="27"/>
  <c r="J354" i="27"/>
  <c r="I354" i="27"/>
  <c r="C354" i="27"/>
  <c r="O353" i="27"/>
  <c r="M353" i="27"/>
  <c r="P353" i="27" s="1"/>
  <c r="J353" i="27"/>
  <c r="I353" i="27"/>
  <c r="N353" i="27" s="1"/>
  <c r="C353" i="27"/>
  <c r="P352" i="27"/>
  <c r="O352" i="27"/>
  <c r="N352" i="27"/>
  <c r="M352" i="27"/>
  <c r="J352" i="27"/>
  <c r="I352" i="27"/>
  <c r="C352" i="27"/>
  <c r="O351" i="27"/>
  <c r="M351" i="27"/>
  <c r="J351" i="27"/>
  <c r="I351" i="27"/>
  <c r="N351" i="27" s="1"/>
  <c r="C351" i="27"/>
  <c r="O350" i="27"/>
  <c r="N350" i="27"/>
  <c r="P350" i="27" s="1"/>
  <c r="M350" i="27"/>
  <c r="J350" i="27"/>
  <c r="I350" i="27"/>
  <c r="C350" i="27"/>
  <c r="O349" i="27"/>
  <c r="M349" i="27"/>
  <c r="J349" i="27"/>
  <c r="I349" i="27"/>
  <c r="N349" i="27" s="1"/>
  <c r="C349" i="27"/>
  <c r="P348" i="27"/>
  <c r="O348" i="27"/>
  <c r="N348" i="27"/>
  <c r="M348" i="27"/>
  <c r="J348" i="27"/>
  <c r="I348" i="27"/>
  <c r="C348" i="27"/>
  <c r="O347" i="27"/>
  <c r="M347" i="27"/>
  <c r="P347" i="27" s="1"/>
  <c r="J347" i="27"/>
  <c r="I347" i="27"/>
  <c r="N347" i="27" s="1"/>
  <c r="C347" i="27"/>
  <c r="O346" i="27"/>
  <c r="N346" i="27"/>
  <c r="P346" i="27" s="1"/>
  <c r="M346" i="27"/>
  <c r="J346" i="27"/>
  <c r="I346" i="27"/>
  <c r="C346" i="27"/>
  <c r="O345" i="27"/>
  <c r="M345" i="27"/>
  <c r="P345" i="27" s="1"/>
  <c r="J345" i="27"/>
  <c r="I345" i="27"/>
  <c r="N345" i="27" s="1"/>
  <c r="C345" i="27"/>
  <c r="O344" i="27"/>
  <c r="N344" i="27"/>
  <c r="P344" i="27" s="1"/>
  <c r="M344" i="27"/>
  <c r="J344" i="27"/>
  <c r="I344" i="27"/>
  <c r="C344" i="27"/>
  <c r="O343" i="27"/>
  <c r="M343" i="27"/>
  <c r="J343" i="27"/>
  <c r="I343" i="27"/>
  <c r="N343" i="27" s="1"/>
  <c r="C343" i="27"/>
  <c r="O342" i="27"/>
  <c r="N342" i="27"/>
  <c r="P342" i="27" s="1"/>
  <c r="M342" i="27"/>
  <c r="J342" i="27"/>
  <c r="I342" i="27"/>
  <c r="C342" i="27"/>
  <c r="O341" i="27"/>
  <c r="M341" i="27"/>
  <c r="P341" i="27" s="1"/>
  <c r="J341" i="27"/>
  <c r="I341" i="27"/>
  <c r="N341" i="27" s="1"/>
  <c r="C341" i="27"/>
  <c r="P340" i="27"/>
  <c r="O340" i="27"/>
  <c r="N340" i="27"/>
  <c r="M340" i="27"/>
  <c r="J340" i="27"/>
  <c r="I340" i="27"/>
  <c r="C340" i="27"/>
  <c r="O339" i="27"/>
  <c r="M339" i="27"/>
  <c r="P339" i="27" s="1"/>
  <c r="J339" i="27"/>
  <c r="I339" i="27"/>
  <c r="N339" i="27" s="1"/>
  <c r="C339" i="27"/>
  <c r="O338" i="27"/>
  <c r="N338" i="27"/>
  <c r="P338" i="27" s="1"/>
  <c r="M338" i="27"/>
  <c r="J338" i="27"/>
  <c r="I338" i="27"/>
  <c r="C338" i="27"/>
  <c r="O337" i="27"/>
  <c r="M337" i="27"/>
  <c r="J337" i="27"/>
  <c r="I337" i="27"/>
  <c r="N337" i="27" s="1"/>
  <c r="C337" i="27"/>
  <c r="O336" i="27"/>
  <c r="N336" i="27"/>
  <c r="P336" i="27" s="1"/>
  <c r="M336" i="27"/>
  <c r="J336" i="27"/>
  <c r="I336" i="27"/>
  <c r="C336" i="27"/>
  <c r="O335" i="27"/>
  <c r="M335" i="27"/>
  <c r="P335" i="27" s="1"/>
  <c r="J335" i="27"/>
  <c r="I335" i="27"/>
  <c r="N335" i="27" s="1"/>
  <c r="C335" i="27"/>
  <c r="P334" i="27"/>
  <c r="O334" i="27"/>
  <c r="N334" i="27"/>
  <c r="M334" i="27"/>
  <c r="J334" i="27"/>
  <c r="I334" i="27"/>
  <c r="C334" i="27"/>
  <c r="O333" i="27"/>
  <c r="M333" i="27"/>
  <c r="J333" i="27"/>
  <c r="I333" i="27"/>
  <c r="N333" i="27" s="1"/>
  <c r="C333" i="27"/>
  <c r="P332" i="27"/>
  <c r="O332" i="27"/>
  <c r="N332" i="27"/>
  <c r="M332" i="27"/>
  <c r="J332" i="27"/>
  <c r="I332" i="27"/>
  <c r="C332" i="27"/>
  <c r="O331" i="27"/>
  <c r="M331" i="27"/>
  <c r="J331" i="27"/>
  <c r="I331" i="27"/>
  <c r="N331" i="27" s="1"/>
  <c r="C331" i="27"/>
  <c r="O330" i="27"/>
  <c r="N330" i="27"/>
  <c r="P330" i="27" s="1"/>
  <c r="M330" i="27"/>
  <c r="J330" i="27"/>
  <c r="I330" i="27"/>
  <c r="C330" i="27"/>
  <c r="O329" i="27"/>
  <c r="M329" i="27"/>
  <c r="P329" i="27" s="1"/>
  <c r="J329" i="27"/>
  <c r="I329" i="27"/>
  <c r="N329" i="27" s="1"/>
  <c r="C329" i="27"/>
  <c r="P328" i="27"/>
  <c r="O328" i="27"/>
  <c r="N328" i="27"/>
  <c r="M328" i="27"/>
  <c r="J328" i="27"/>
  <c r="I328" i="27"/>
  <c r="C328" i="27"/>
  <c r="O327" i="27"/>
  <c r="M327" i="27"/>
  <c r="P327" i="27" s="1"/>
  <c r="J327" i="27"/>
  <c r="I327" i="27"/>
  <c r="N327" i="27" s="1"/>
  <c r="C327" i="27"/>
  <c r="P326" i="27"/>
  <c r="O326" i="27"/>
  <c r="N326" i="27"/>
  <c r="M326" i="27"/>
  <c r="J326" i="27"/>
  <c r="I326" i="27"/>
  <c r="C326" i="27"/>
  <c r="O325" i="27"/>
  <c r="M325" i="27"/>
  <c r="P325" i="27" s="1"/>
  <c r="J325" i="27"/>
  <c r="I325" i="27"/>
  <c r="N325" i="27" s="1"/>
  <c r="C325" i="27"/>
  <c r="O324" i="27"/>
  <c r="N324" i="27"/>
  <c r="P324" i="27" s="1"/>
  <c r="M324" i="27"/>
  <c r="J324" i="27"/>
  <c r="I324" i="27"/>
  <c r="C324" i="27"/>
  <c r="O323" i="27"/>
  <c r="M323" i="27"/>
  <c r="P323" i="27" s="1"/>
  <c r="J323" i="27"/>
  <c r="I323" i="27"/>
  <c r="N323" i="27" s="1"/>
  <c r="C323" i="27"/>
  <c r="P322" i="27"/>
  <c r="O322" i="27"/>
  <c r="N322" i="27"/>
  <c r="M322" i="27"/>
  <c r="J322" i="27"/>
  <c r="I322" i="27"/>
  <c r="C322" i="27"/>
  <c r="O321" i="27"/>
  <c r="M321" i="27"/>
  <c r="P321" i="27" s="1"/>
  <c r="J321" i="27"/>
  <c r="I321" i="27"/>
  <c r="N321" i="27" s="1"/>
  <c r="C321" i="27"/>
  <c r="O320" i="27"/>
  <c r="N320" i="27"/>
  <c r="P320" i="27" s="1"/>
  <c r="M320" i="27"/>
  <c r="J320" i="27"/>
  <c r="I320" i="27"/>
  <c r="C320" i="27"/>
  <c r="O319" i="27"/>
  <c r="M319" i="27"/>
  <c r="P319" i="27" s="1"/>
  <c r="J319" i="27"/>
  <c r="I319" i="27"/>
  <c r="N319" i="27" s="1"/>
  <c r="C319" i="27"/>
  <c r="O318" i="27"/>
  <c r="N318" i="27"/>
  <c r="P318" i="27" s="1"/>
  <c r="M318" i="27"/>
  <c r="J318" i="27"/>
  <c r="I318" i="27"/>
  <c r="C318" i="27"/>
  <c r="O317" i="27"/>
  <c r="M317" i="27"/>
  <c r="P317" i="27" s="1"/>
  <c r="J317" i="27"/>
  <c r="I317" i="27"/>
  <c r="N317" i="27" s="1"/>
  <c r="C317" i="27"/>
  <c r="O316" i="27"/>
  <c r="M316" i="27"/>
  <c r="J316" i="27"/>
  <c r="I316" i="27"/>
  <c r="N316" i="27" s="1"/>
  <c r="P316" i="27" s="1"/>
  <c r="C316" i="27"/>
  <c r="O315" i="27"/>
  <c r="M315" i="27"/>
  <c r="J315" i="27"/>
  <c r="I315" i="27"/>
  <c r="N315" i="27" s="1"/>
  <c r="C315" i="27"/>
  <c r="O314" i="27"/>
  <c r="N314" i="27"/>
  <c r="P314" i="27" s="1"/>
  <c r="M314" i="27"/>
  <c r="J314" i="27"/>
  <c r="I314" i="27"/>
  <c r="C314" i="27"/>
  <c r="O313" i="27"/>
  <c r="M313" i="27"/>
  <c r="J313" i="27"/>
  <c r="I313" i="27"/>
  <c r="N313" i="27" s="1"/>
  <c r="C313" i="27"/>
  <c r="O312" i="27"/>
  <c r="N312" i="27"/>
  <c r="P312" i="27" s="1"/>
  <c r="M312" i="27"/>
  <c r="J312" i="27"/>
  <c r="I312" i="27"/>
  <c r="C312" i="27"/>
  <c r="O311" i="27"/>
  <c r="N311" i="27"/>
  <c r="M311" i="27"/>
  <c r="P311" i="27" s="1"/>
  <c r="J311" i="27"/>
  <c r="I311" i="27"/>
  <c r="C311" i="27"/>
  <c r="O310" i="27"/>
  <c r="N310" i="27"/>
  <c r="P310" i="27" s="1"/>
  <c r="M310" i="27"/>
  <c r="J310" i="27"/>
  <c r="I310" i="27"/>
  <c r="C310" i="27"/>
  <c r="O309" i="27"/>
  <c r="M309" i="27"/>
  <c r="P309" i="27" s="1"/>
  <c r="J309" i="27"/>
  <c r="I309" i="27"/>
  <c r="N309" i="27" s="1"/>
  <c r="C309" i="27"/>
  <c r="P308" i="27"/>
  <c r="O308" i="27"/>
  <c r="N308" i="27"/>
  <c r="M308" i="27"/>
  <c r="J308" i="27"/>
  <c r="I308" i="27"/>
  <c r="C308" i="27"/>
  <c r="O307" i="27"/>
  <c r="M307" i="27"/>
  <c r="J307" i="27"/>
  <c r="I307" i="27"/>
  <c r="N307" i="27" s="1"/>
  <c r="C307" i="27"/>
  <c r="O306" i="27"/>
  <c r="N306" i="27"/>
  <c r="P306" i="27" s="1"/>
  <c r="M306" i="27"/>
  <c r="J306" i="27"/>
  <c r="I306" i="27"/>
  <c r="C306" i="27"/>
  <c r="O305" i="27"/>
  <c r="M305" i="27"/>
  <c r="P305" i="27" s="1"/>
  <c r="J305" i="27"/>
  <c r="I305" i="27"/>
  <c r="N305" i="27" s="1"/>
  <c r="C305" i="27"/>
  <c r="O304" i="27"/>
  <c r="N304" i="27"/>
  <c r="P304" i="27" s="1"/>
  <c r="M304" i="27"/>
  <c r="J304" i="27"/>
  <c r="I304" i="27"/>
  <c r="C304" i="27"/>
  <c r="O303" i="27"/>
  <c r="M303" i="27"/>
  <c r="J303" i="27"/>
  <c r="I303" i="27"/>
  <c r="N303" i="27" s="1"/>
  <c r="C303" i="27"/>
  <c r="O302" i="27"/>
  <c r="N302" i="27"/>
  <c r="P302" i="27" s="1"/>
  <c r="M302" i="27"/>
  <c r="J302" i="27"/>
  <c r="I302" i="27"/>
  <c r="C302" i="27"/>
  <c r="O301" i="27"/>
  <c r="M301" i="27"/>
  <c r="P301" i="27" s="1"/>
  <c r="J301" i="27"/>
  <c r="I301" i="27"/>
  <c r="N301" i="27" s="1"/>
  <c r="C301" i="27"/>
  <c r="O300" i="27"/>
  <c r="M300" i="27"/>
  <c r="P300" i="27" s="1"/>
  <c r="J300" i="27"/>
  <c r="I300" i="27"/>
  <c r="N300" i="27" s="1"/>
  <c r="C300" i="27"/>
  <c r="O299" i="27"/>
  <c r="M299" i="27"/>
  <c r="J299" i="27"/>
  <c r="I299" i="27"/>
  <c r="N299" i="27" s="1"/>
  <c r="C299" i="27"/>
  <c r="P298" i="27"/>
  <c r="O298" i="27"/>
  <c r="N298" i="27"/>
  <c r="M298" i="27"/>
  <c r="J298" i="27"/>
  <c r="I298" i="27"/>
  <c r="C298" i="27"/>
  <c r="O297" i="27"/>
  <c r="M297" i="27"/>
  <c r="P297" i="27" s="1"/>
  <c r="J297" i="27"/>
  <c r="I297" i="27"/>
  <c r="N297" i="27" s="1"/>
  <c r="C297" i="27"/>
  <c r="O296" i="27"/>
  <c r="M296" i="27"/>
  <c r="P296" i="27" s="1"/>
  <c r="J296" i="27"/>
  <c r="I296" i="27"/>
  <c r="N296" i="27" s="1"/>
  <c r="C296" i="27"/>
  <c r="O295" i="27"/>
  <c r="M295" i="27"/>
  <c r="J295" i="27"/>
  <c r="I295" i="27"/>
  <c r="N295" i="27" s="1"/>
  <c r="C295" i="27"/>
  <c r="P294" i="27"/>
  <c r="O294" i="27"/>
  <c r="N294" i="27"/>
  <c r="M294" i="27"/>
  <c r="J294" i="27"/>
  <c r="I294" i="27"/>
  <c r="C294" i="27"/>
  <c r="O293" i="27"/>
  <c r="M293" i="27"/>
  <c r="P293" i="27" s="1"/>
  <c r="J293" i="27"/>
  <c r="I293" i="27"/>
  <c r="N293" i="27" s="1"/>
  <c r="C293" i="27"/>
  <c r="O292" i="27"/>
  <c r="M292" i="27"/>
  <c r="J292" i="27"/>
  <c r="I292" i="27"/>
  <c r="N292" i="27" s="1"/>
  <c r="C292" i="27"/>
  <c r="O291" i="27"/>
  <c r="M291" i="27"/>
  <c r="J291" i="27"/>
  <c r="I291" i="27"/>
  <c r="N291" i="27" s="1"/>
  <c r="C291" i="27"/>
  <c r="P290" i="27"/>
  <c r="O290" i="27"/>
  <c r="N290" i="27"/>
  <c r="M290" i="27"/>
  <c r="J290" i="27"/>
  <c r="I290" i="27"/>
  <c r="C290" i="27"/>
  <c r="O289" i="27"/>
  <c r="M289" i="27"/>
  <c r="P289" i="27" s="1"/>
  <c r="J289" i="27"/>
  <c r="I289" i="27"/>
  <c r="N289" i="27" s="1"/>
  <c r="C289" i="27"/>
  <c r="O288" i="27"/>
  <c r="N288" i="27"/>
  <c r="M288" i="27"/>
  <c r="J288" i="27"/>
  <c r="I288" i="27"/>
  <c r="C288" i="27"/>
  <c r="O287" i="27"/>
  <c r="N287" i="27"/>
  <c r="M287" i="27"/>
  <c r="J287" i="27"/>
  <c r="I287" i="27"/>
  <c r="C287" i="27"/>
  <c r="O286" i="27"/>
  <c r="N286" i="27"/>
  <c r="M286" i="27"/>
  <c r="J286" i="27"/>
  <c r="I286" i="27"/>
  <c r="C286" i="27"/>
  <c r="P285" i="27"/>
  <c r="O285" i="27"/>
  <c r="N285" i="27"/>
  <c r="M285" i="27"/>
  <c r="J285" i="27"/>
  <c r="I285" i="27"/>
  <c r="C285" i="27"/>
  <c r="O284" i="27"/>
  <c r="M284" i="27"/>
  <c r="J284" i="27"/>
  <c r="I284" i="27"/>
  <c r="N284" i="27" s="1"/>
  <c r="C284" i="27"/>
  <c r="O283" i="27"/>
  <c r="N283" i="27"/>
  <c r="P283" i="27" s="1"/>
  <c r="M283" i="27"/>
  <c r="J283" i="27"/>
  <c r="I283" i="27"/>
  <c r="C283" i="27"/>
  <c r="O282" i="27"/>
  <c r="M282" i="27"/>
  <c r="J282" i="27"/>
  <c r="I282" i="27"/>
  <c r="N282" i="27" s="1"/>
  <c r="P282" i="27" s="1"/>
  <c r="C282" i="27"/>
  <c r="O281" i="27"/>
  <c r="M281" i="27"/>
  <c r="J281" i="27"/>
  <c r="I281" i="27"/>
  <c r="N281" i="27" s="1"/>
  <c r="P281" i="27" s="1"/>
  <c r="C281" i="27"/>
  <c r="O280" i="27"/>
  <c r="M280" i="27"/>
  <c r="J280" i="27"/>
  <c r="I280" i="27"/>
  <c r="N280" i="27" s="1"/>
  <c r="C280" i="27"/>
  <c r="O279" i="27"/>
  <c r="N279" i="27"/>
  <c r="M279" i="27"/>
  <c r="P279" i="27" s="1"/>
  <c r="J279" i="27"/>
  <c r="I279" i="27"/>
  <c r="C279" i="27"/>
  <c r="O278" i="27"/>
  <c r="N278" i="27"/>
  <c r="M278" i="27"/>
  <c r="J278" i="27"/>
  <c r="I278" i="27"/>
  <c r="C278" i="27"/>
  <c r="P277" i="27"/>
  <c r="O277" i="27"/>
  <c r="N277" i="27"/>
  <c r="M277" i="27"/>
  <c r="J277" i="27"/>
  <c r="I277" i="27"/>
  <c r="C277" i="27"/>
  <c r="O276" i="27"/>
  <c r="M276" i="27"/>
  <c r="J276" i="27"/>
  <c r="I276" i="27"/>
  <c r="N276" i="27" s="1"/>
  <c r="C276" i="27"/>
  <c r="O275" i="27"/>
  <c r="N275" i="27"/>
  <c r="P275" i="27" s="1"/>
  <c r="M275" i="27"/>
  <c r="J275" i="27"/>
  <c r="I275" i="27"/>
  <c r="C275" i="27"/>
  <c r="O274" i="27"/>
  <c r="M274" i="27"/>
  <c r="J274" i="27"/>
  <c r="I274" i="27"/>
  <c r="N274" i="27" s="1"/>
  <c r="P274" i="27" s="1"/>
  <c r="C274" i="27"/>
  <c r="P273" i="27"/>
  <c r="O273" i="27"/>
  <c r="M273" i="27"/>
  <c r="J273" i="27"/>
  <c r="I273" i="27"/>
  <c r="N273" i="27" s="1"/>
  <c r="C273" i="27"/>
  <c r="O272" i="27"/>
  <c r="M272" i="27"/>
  <c r="J272" i="27"/>
  <c r="I272" i="27"/>
  <c r="N272" i="27" s="1"/>
  <c r="C272" i="27"/>
  <c r="O271" i="27"/>
  <c r="N271" i="27"/>
  <c r="M271" i="27"/>
  <c r="P271" i="27" s="1"/>
  <c r="J271" i="27"/>
  <c r="I271" i="27"/>
  <c r="C271" i="27"/>
  <c r="O270" i="27"/>
  <c r="N270" i="27"/>
  <c r="M270" i="27"/>
  <c r="J270" i="27"/>
  <c r="I270" i="27"/>
  <c r="C270" i="27"/>
  <c r="P269" i="27"/>
  <c r="O269" i="27"/>
  <c r="N269" i="27"/>
  <c r="M269" i="27"/>
  <c r="J269" i="27"/>
  <c r="I269" i="27"/>
  <c r="C269" i="27"/>
  <c r="O268" i="27"/>
  <c r="M268" i="27"/>
  <c r="P268" i="27" s="1"/>
  <c r="J268" i="27"/>
  <c r="I268" i="27"/>
  <c r="N268" i="27" s="1"/>
  <c r="C268" i="27"/>
  <c r="O267" i="27"/>
  <c r="N267" i="27"/>
  <c r="P267" i="27" s="1"/>
  <c r="M267" i="27"/>
  <c r="J267" i="27"/>
  <c r="I267" i="27"/>
  <c r="C267" i="27"/>
  <c r="O266" i="27"/>
  <c r="M266" i="27"/>
  <c r="J266" i="27"/>
  <c r="I266" i="27"/>
  <c r="N266" i="27" s="1"/>
  <c r="C266" i="27"/>
  <c r="P265" i="27"/>
  <c r="O265" i="27"/>
  <c r="M265" i="27"/>
  <c r="J265" i="27"/>
  <c r="I265" i="27"/>
  <c r="N265" i="27" s="1"/>
  <c r="C265" i="27"/>
  <c r="O264" i="27"/>
  <c r="M264" i="27"/>
  <c r="P264" i="27" s="1"/>
  <c r="J264" i="27"/>
  <c r="I264" i="27"/>
  <c r="N264" i="27" s="1"/>
  <c r="C264" i="27"/>
  <c r="O263" i="27"/>
  <c r="N263" i="27"/>
  <c r="M263" i="27"/>
  <c r="P263" i="27" s="1"/>
  <c r="J263" i="27"/>
  <c r="I263" i="27"/>
  <c r="C263" i="27"/>
  <c r="O262" i="27"/>
  <c r="N262" i="27"/>
  <c r="M262" i="27"/>
  <c r="J262" i="27"/>
  <c r="I262" i="27"/>
  <c r="C262" i="27"/>
  <c r="P261" i="27"/>
  <c r="O261" i="27"/>
  <c r="N261" i="27"/>
  <c r="M261" i="27"/>
  <c r="J261" i="27"/>
  <c r="I261" i="27"/>
  <c r="C261" i="27"/>
  <c r="O260" i="27"/>
  <c r="M260" i="27"/>
  <c r="P260" i="27" s="1"/>
  <c r="J260" i="27"/>
  <c r="I260" i="27"/>
  <c r="N260" i="27" s="1"/>
  <c r="C260" i="27"/>
  <c r="O259" i="27"/>
  <c r="N259" i="27"/>
  <c r="P259" i="27" s="1"/>
  <c r="M259" i="27"/>
  <c r="J259" i="27"/>
  <c r="I259" i="27"/>
  <c r="C259" i="27"/>
  <c r="O258" i="27"/>
  <c r="M258" i="27"/>
  <c r="J258" i="27"/>
  <c r="I258" i="27"/>
  <c r="N258" i="27" s="1"/>
  <c r="P258" i="27" s="1"/>
  <c r="C258" i="27"/>
  <c r="P257" i="27"/>
  <c r="O257" i="27"/>
  <c r="M257" i="27"/>
  <c r="J257" i="27"/>
  <c r="I257" i="27"/>
  <c r="N257" i="27" s="1"/>
  <c r="C257" i="27"/>
  <c r="O256" i="27"/>
  <c r="M256" i="27"/>
  <c r="P256" i="27" s="1"/>
  <c r="J256" i="27"/>
  <c r="I256" i="27"/>
  <c r="N256" i="27" s="1"/>
  <c r="C256" i="27"/>
  <c r="O255" i="27"/>
  <c r="N255" i="27"/>
  <c r="M255" i="27"/>
  <c r="P255" i="27" s="1"/>
  <c r="J255" i="27"/>
  <c r="I255" i="27"/>
  <c r="C255" i="27"/>
  <c r="O254" i="27"/>
  <c r="N254" i="27"/>
  <c r="M254" i="27"/>
  <c r="J254" i="27"/>
  <c r="I254" i="27"/>
  <c r="C254" i="27"/>
  <c r="P253" i="27"/>
  <c r="O253" i="27"/>
  <c r="N253" i="27"/>
  <c r="M253" i="27"/>
  <c r="J253" i="27"/>
  <c r="I253" i="27"/>
  <c r="C253" i="27"/>
  <c r="O252" i="27"/>
  <c r="M252" i="27"/>
  <c r="P252" i="27" s="1"/>
  <c r="J252" i="27"/>
  <c r="I252" i="27"/>
  <c r="N252" i="27" s="1"/>
  <c r="C252" i="27"/>
  <c r="O251" i="27"/>
  <c r="N251" i="27"/>
  <c r="P251" i="27" s="1"/>
  <c r="M251" i="27"/>
  <c r="J251" i="27"/>
  <c r="I251" i="27"/>
  <c r="C251" i="27"/>
  <c r="O250" i="27"/>
  <c r="M250" i="27"/>
  <c r="J250" i="27"/>
  <c r="I250" i="27"/>
  <c r="N250" i="27" s="1"/>
  <c r="P250" i="27" s="1"/>
  <c r="C250" i="27"/>
  <c r="P249" i="27"/>
  <c r="O249" i="27"/>
  <c r="M249" i="27"/>
  <c r="J249" i="27"/>
  <c r="I249" i="27"/>
  <c r="N249" i="27" s="1"/>
  <c r="C249" i="27"/>
  <c r="O248" i="27"/>
  <c r="M248" i="27"/>
  <c r="P248" i="27" s="1"/>
  <c r="J248" i="27"/>
  <c r="I248" i="27"/>
  <c r="N248" i="27" s="1"/>
  <c r="C248" i="27"/>
  <c r="O247" i="27"/>
  <c r="N247" i="27"/>
  <c r="M247" i="27"/>
  <c r="P247" i="27" s="1"/>
  <c r="J247" i="27"/>
  <c r="I247" i="27"/>
  <c r="C247" i="27"/>
  <c r="O246" i="27"/>
  <c r="N246" i="27"/>
  <c r="M246" i="27"/>
  <c r="P246" i="27" s="1"/>
  <c r="J246" i="27"/>
  <c r="I246" i="27"/>
  <c r="C246" i="27"/>
  <c r="O245" i="27"/>
  <c r="N245" i="27"/>
  <c r="M245" i="27"/>
  <c r="P245" i="27" s="1"/>
  <c r="J245" i="27"/>
  <c r="I245" i="27"/>
  <c r="C245" i="27"/>
  <c r="O244" i="27"/>
  <c r="N244" i="27"/>
  <c r="M244" i="27"/>
  <c r="J244" i="27"/>
  <c r="I244" i="27"/>
  <c r="C244" i="27"/>
  <c r="O243" i="27"/>
  <c r="N243" i="27"/>
  <c r="P243" i="27" s="1"/>
  <c r="M243" i="27"/>
  <c r="J243" i="27"/>
  <c r="I243" i="27"/>
  <c r="C243" i="27"/>
  <c r="O242" i="27"/>
  <c r="M242" i="27"/>
  <c r="J242" i="27"/>
  <c r="I242" i="27"/>
  <c r="N242" i="27" s="1"/>
  <c r="P242" i="27" s="1"/>
  <c r="C242" i="27"/>
  <c r="P241" i="27"/>
  <c r="O241" i="27"/>
  <c r="M241" i="27"/>
  <c r="J241" i="27"/>
  <c r="I241" i="27"/>
  <c r="N241" i="27" s="1"/>
  <c r="C241" i="27"/>
  <c r="O240" i="27"/>
  <c r="M240" i="27"/>
  <c r="P240" i="27" s="1"/>
  <c r="J240" i="27"/>
  <c r="I240" i="27"/>
  <c r="N240" i="27" s="1"/>
  <c r="C240" i="27"/>
  <c r="O239" i="27"/>
  <c r="N239" i="27"/>
  <c r="M239" i="27"/>
  <c r="P239" i="27" s="1"/>
  <c r="J239" i="27"/>
  <c r="I239" i="27"/>
  <c r="C239" i="27"/>
  <c r="O238" i="27"/>
  <c r="N238" i="27"/>
  <c r="M238" i="27"/>
  <c r="L238" i="27"/>
  <c r="J238" i="27"/>
  <c r="I238" i="27"/>
  <c r="C238" i="27"/>
  <c r="O237" i="27"/>
  <c r="N237" i="27"/>
  <c r="M237" i="27"/>
  <c r="P237" i="27" s="1"/>
  <c r="J237" i="27"/>
  <c r="I237" i="27"/>
  <c r="C237" i="27"/>
  <c r="O236" i="27"/>
  <c r="M236" i="27"/>
  <c r="J236" i="27"/>
  <c r="I236" i="27"/>
  <c r="N236" i="27" s="1"/>
  <c r="C236" i="27"/>
  <c r="O235" i="27"/>
  <c r="N235" i="27"/>
  <c r="P235" i="27" s="1"/>
  <c r="M235" i="27"/>
  <c r="J235" i="27"/>
  <c r="I235" i="27"/>
  <c r="C235" i="27"/>
  <c r="O234" i="27"/>
  <c r="P234" i="27" s="1"/>
  <c r="M234" i="27"/>
  <c r="J234" i="27"/>
  <c r="I234" i="27"/>
  <c r="N234" i="27" s="1"/>
  <c r="C234" i="27"/>
  <c r="P233" i="27"/>
  <c r="O233" i="27"/>
  <c r="M233" i="27"/>
  <c r="J233" i="27"/>
  <c r="I233" i="27"/>
  <c r="N233" i="27" s="1"/>
  <c r="C233" i="27"/>
  <c r="O232" i="27"/>
  <c r="M232" i="27"/>
  <c r="P232" i="27" s="1"/>
  <c r="J232" i="27"/>
  <c r="I232" i="27"/>
  <c r="N232" i="27" s="1"/>
  <c r="C232" i="27"/>
  <c r="O231" i="27"/>
  <c r="N231" i="27"/>
  <c r="M231" i="27"/>
  <c r="L231" i="27"/>
  <c r="J231" i="27"/>
  <c r="I231" i="27"/>
  <c r="C231" i="27"/>
  <c r="O230" i="27"/>
  <c r="N230" i="27"/>
  <c r="M230" i="27"/>
  <c r="J230" i="27"/>
  <c r="I230" i="27"/>
  <c r="C230" i="27"/>
  <c r="O229" i="27"/>
  <c r="N229" i="27"/>
  <c r="M229" i="27"/>
  <c r="P229" i="27" s="1"/>
  <c r="J229" i="27"/>
  <c r="I229" i="27"/>
  <c r="C229" i="27"/>
  <c r="O228" i="27"/>
  <c r="M228" i="27"/>
  <c r="J228" i="27"/>
  <c r="I228" i="27"/>
  <c r="N228" i="27" s="1"/>
  <c r="C228" i="27"/>
  <c r="O227" i="27"/>
  <c r="N227" i="27"/>
  <c r="P227" i="27" s="1"/>
  <c r="M227" i="27"/>
  <c r="J227" i="27"/>
  <c r="I227" i="27"/>
  <c r="C227" i="27"/>
  <c r="P226" i="27"/>
  <c r="O226" i="27"/>
  <c r="M226" i="27"/>
  <c r="J226" i="27"/>
  <c r="I226" i="27"/>
  <c r="N226" i="27" s="1"/>
  <c r="C226" i="27"/>
  <c r="P225" i="27"/>
  <c r="O225" i="27"/>
  <c r="M225" i="27"/>
  <c r="J225" i="27"/>
  <c r="I225" i="27"/>
  <c r="N225" i="27" s="1"/>
  <c r="C225" i="27"/>
  <c r="O224" i="27"/>
  <c r="M224" i="27"/>
  <c r="J224" i="27"/>
  <c r="I224" i="27"/>
  <c r="N224" i="27" s="1"/>
  <c r="C224" i="27"/>
  <c r="O223" i="27"/>
  <c r="N223" i="27"/>
  <c r="M223" i="27"/>
  <c r="P223" i="27" s="1"/>
  <c r="J223" i="27"/>
  <c r="I223" i="27"/>
  <c r="C223" i="27"/>
  <c r="O222" i="27"/>
  <c r="N222" i="27"/>
  <c r="M222" i="27"/>
  <c r="P222" i="27" s="1"/>
  <c r="J222" i="27"/>
  <c r="I222" i="27"/>
  <c r="C222" i="27"/>
  <c r="O221" i="27"/>
  <c r="N221" i="27"/>
  <c r="M221" i="27"/>
  <c r="J221" i="27"/>
  <c r="I221" i="27"/>
  <c r="C221" i="27"/>
  <c r="O220" i="27"/>
  <c r="M220" i="27"/>
  <c r="P220" i="27" s="1"/>
  <c r="J220" i="27"/>
  <c r="I220" i="27"/>
  <c r="N220" i="27" s="1"/>
  <c r="C220" i="27"/>
  <c r="P219" i="27"/>
  <c r="O219" i="27"/>
  <c r="N219" i="27"/>
  <c r="M219" i="27"/>
  <c r="J219" i="27"/>
  <c r="I219" i="27"/>
  <c r="C219" i="27"/>
  <c r="O218" i="27"/>
  <c r="M218" i="27"/>
  <c r="J218" i="27"/>
  <c r="I218" i="27"/>
  <c r="N218" i="27" s="1"/>
  <c r="P218" i="27" s="1"/>
  <c r="C218" i="27"/>
  <c r="P217" i="27"/>
  <c r="O217" i="27"/>
  <c r="M217" i="27"/>
  <c r="J217" i="27"/>
  <c r="I217" i="27"/>
  <c r="N217" i="27" s="1"/>
  <c r="C217" i="27"/>
  <c r="O216" i="27"/>
  <c r="M216" i="27"/>
  <c r="P216" i="27" s="1"/>
  <c r="J216" i="27"/>
  <c r="I216" i="27"/>
  <c r="N216" i="27" s="1"/>
  <c r="C216" i="27"/>
  <c r="O215" i="27"/>
  <c r="N215" i="27"/>
  <c r="M215" i="27"/>
  <c r="J215" i="27"/>
  <c r="I215" i="27"/>
  <c r="C215" i="27"/>
  <c r="O214" i="27"/>
  <c r="N214" i="27"/>
  <c r="M214" i="27"/>
  <c r="P214" i="27" s="1"/>
  <c r="J214" i="27"/>
  <c r="I214" i="27"/>
  <c r="C214" i="27"/>
  <c r="O213" i="27"/>
  <c r="N213" i="27"/>
  <c r="M213" i="27"/>
  <c r="P213" i="27" s="1"/>
  <c r="J213" i="27"/>
  <c r="I213" i="27"/>
  <c r="C213" i="27"/>
  <c r="O212" i="27"/>
  <c r="N212" i="27"/>
  <c r="M212" i="27"/>
  <c r="J212" i="27"/>
  <c r="I212" i="27"/>
  <c r="C212" i="27"/>
  <c r="O211" i="27"/>
  <c r="P211" i="27" s="1"/>
  <c r="N211" i="27"/>
  <c r="M211" i="27"/>
  <c r="J211" i="27"/>
  <c r="I211" i="27"/>
  <c r="C211" i="27"/>
  <c r="O210" i="27"/>
  <c r="M210" i="27"/>
  <c r="J210" i="27"/>
  <c r="I210" i="27"/>
  <c r="N210" i="27" s="1"/>
  <c r="P210" i="27" s="1"/>
  <c r="C210" i="27"/>
  <c r="O209" i="27"/>
  <c r="M209" i="27"/>
  <c r="J209" i="27"/>
  <c r="I209" i="27"/>
  <c r="N209" i="27" s="1"/>
  <c r="P209" i="27" s="1"/>
  <c r="C209" i="27"/>
  <c r="O208" i="27"/>
  <c r="M208" i="27"/>
  <c r="J208" i="27"/>
  <c r="I208" i="27"/>
  <c r="N208" i="27" s="1"/>
  <c r="C208" i="27"/>
  <c r="O207" i="27"/>
  <c r="N207" i="27"/>
  <c r="M207" i="27"/>
  <c r="J207" i="27"/>
  <c r="I207" i="27"/>
  <c r="C207" i="27"/>
  <c r="O206" i="27"/>
  <c r="N206" i="27"/>
  <c r="M206" i="27"/>
  <c r="P206" i="27" s="1"/>
  <c r="J206" i="27"/>
  <c r="I206" i="27"/>
  <c r="C206" i="27"/>
  <c r="O205" i="27"/>
  <c r="M205" i="27"/>
  <c r="J205" i="27"/>
  <c r="I205" i="27"/>
  <c r="N205" i="27" s="1"/>
  <c r="P205" i="27" s="1"/>
  <c r="C205" i="27"/>
  <c r="O204" i="27"/>
  <c r="M204" i="27"/>
  <c r="J204" i="27"/>
  <c r="I204" i="27"/>
  <c r="N204" i="27" s="1"/>
  <c r="C204" i="27"/>
  <c r="P203" i="27"/>
  <c r="O203" i="27"/>
  <c r="N203" i="27"/>
  <c r="M203" i="27"/>
  <c r="J203" i="27"/>
  <c r="I203" i="27"/>
  <c r="C203" i="27"/>
  <c r="O202" i="27"/>
  <c r="M202" i="27"/>
  <c r="J202" i="27"/>
  <c r="I202" i="27"/>
  <c r="N202" i="27" s="1"/>
  <c r="P202" i="27" s="1"/>
  <c r="C202" i="27"/>
  <c r="P201" i="27"/>
  <c r="O201" i="27"/>
  <c r="M201" i="27"/>
  <c r="J201" i="27"/>
  <c r="I201" i="27"/>
  <c r="N201" i="27" s="1"/>
  <c r="C201" i="27"/>
  <c r="O200" i="27"/>
  <c r="N200" i="27"/>
  <c r="M200" i="27"/>
  <c r="J200" i="27"/>
  <c r="I200" i="27"/>
  <c r="C200" i="27"/>
  <c r="O199" i="27"/>
  <c r="N199" i="27"/>
  <c r="M199" i="27"/>
  <c r="J199" i="27"/>
  <c r="I199" i="27"/>
  <c r="C199" i="27"/>
  <c r="P198" i="27"/>
  <c r="O198" i="27"/>
  <c r="N198" i="27"/>
  <c r="M198" i="27"/>
  <c r="J198" i="27"/>
  <c r="I198" i="27"/>
  <c r="C198" i="27"/>
  <c r="O197" i="27"/>
  <c r="N197" i="27"/>
  <c r="M197" i="27"/>
  <c r="P197" i="27" s="1"/>
  <c r="J197" i="27"/>
  <c r="I197" i="27"/>
  <c r="C197" i="27"/>
  <c r="O196" i="27"/>
  <c r="N196" i="27"/>
  <c r="M196" i="27"/>
  <c r="J196" i="27"/>
  <c r="I196" i="27"/>
  <c r="C196" i="27"/>
  <c r="O195" i="27"/>
  <c r="N195" i="27"/>
  <c r="P195" i="27" s="1"/>
  <c r="M195" i="27"/>
  <c r="J195" i="27"/>
  <c r="I195" i="27"/>
  <c r="C195" i="27"/>
  <c r="O194" i="27"/>
  <c r="M194" i="27"/>
  <c r="P194" i="27" s="1"/>
  <c r="J194" i="27"/>
  <c r="I194" i="27"/>
  <c r="N194" i="27" s="1"/>
  <c r="C194" i="27"/>
  <c r="O193" i="27"/>
  <c r="N193" i="27"/>
  <c r="M193" i="27"/>
  <c r="P193" i="27" s="1"/>
  <c r="J193" i="27"/>
  <c r="I193" i="27"/>
  <c r="C193" i="27"/>
  <c r="O192" i="27"/>
  <c r="N192" i="27"/>
  <c r="M192" i="27"/>
  <c r="J192" i="27"/>
  <c r="I192" i="27"/>
  <c r="C192" i="27"/>
  <c r="P191" i="27"/>
  <c r="O191" i="27"/>
  <c r="N191" i="27"/>
  <c r="M191" i="27"/>
  <c r="J191" i="27"/>
  <c r="I191" i="27"/>
  <c r="C191" i="27"/>
  <c r="O190" i="27"/>
  <c r="M190" i="27"/>
  <c r="P190" i="27" s="1"/>
  <c r="J190" i="27"/>
  <c r="I190" i="27"/>
  <c r="N190" i="27" s="1"/>
  <c r="C190" i="27"/>
  <c r="O189" i="27"/>
  <c r="M189" i="27"/>
  <c r="J189" i="27"/>
  <c r="I189" i="27"/>
  <c r="N189" i="27" s="1"/>
  <c r="P189" i="27" s="1"/>
  <c r="C189" i="27"/>
  <c r="O188" i="27"/>
  <c r="M188" i="27"/>
  <c r="J188" i="27"/>
  <c r="I188" i="27"/>
  <c r="N188" i="27" s="1"/>
  <c r="P188" i="27" s="1"/>
  <c r="C188" i="27"/>
  <c r="P187" i="27"/>
  <c r="O187" i="27"/>
  <c r="N187" i="27"/>
  <c r="M187" i="27"/>
  <c r="J187" i="27"/>
  <c r="I187" i="27"/>
  <c r="C187" i="27"/>
  <c r="O186" i="27"/>
  <c r="M186" i="27"/>
  <c r="P186" i="27" s="1"/>
  <c r="J186" i="27"/>
  <c r="I186" i="27"/>
  <c r="N186" i="27" s="1"/>
  <c r="C186" i="27"/>
  <c r="P185" i="27"/>
  <c r="O185" i="27"/>
  <c r="N185" i="27"/>
  <c r="M185" i="27"/>
  <c r="J185" i="27"/>
  <c r="I185" i="27"/>
  <c r="C185" i="27"/>
  <c r="O184" i="27"/>
  <c r="M184" i="27"/>
  <c r="J184" i="27"/>
  <c r="I184" i="27"/>
  <c r="N184" i="27" s="1"/>
  <c r="C184" i="27"/>
  <c r="O183" i="27"/>
  <c r="N183" i="27"/>
  <c r="M183" i="27"/>
  <c r="P183" i="27" s="1"/>
  <c r="J183" i="27"/>
  <c r="I183" i="27"/>
  <c r="C183" i="27"/>
  <c r="O182" i="27"/>
  <c r="N182" i="27"/>
  <c r="M182" i="27"/>
  <c r="J182" i="27"/>
  <c r="I182" i="27"/>
  <c r="C182" i="27"/>
  <c r="P181" i="27"/>
  <c r="O181" i="27"/>
  <c r="N181" i="27"/>
  <c r="M181" i="27"/>
  <c r="J181" i="27"/>
  <c r="I181" i="27"/>
  <c r="C181" i="27"/>
  <c r="O180" i="27"/>
  <c r="M180" i="27"/>
  <c r="J180" i="27"/>
  <c r="I180" i="27"/>
  <c r="N180" i="27" s="1"/>
  <c r="C180" i="27"/>
  <c r="P179" i="27"/>
  <c r="O179" i="27"/>
  <c r="N179" i="27"/>
  <c r="M179" i="27"/>
  <c r="J179" i="27"/>
  <c r="I179" i="27"/>
  <c r="C179" i="27"/>
  <c r="O178" i="27"/>
  <c r="M178" i="27"/>
  <c r="P178" i="27" s="1"/>
  <c r="J178" i="27"/>
  <c r="I178" i="27"/>
  <c r="N178" i="27" s="1"/>
  <c r="C178" i="27"/>
  <c r="P177" i="27"/>
  <c r="O177" i="27"/>
  <c r="N177" i="27"/>
  <c r="M177" i="27"/>
  <c r="J177" i="27"/>
  <c r="I177" i="27"/>
  <c r="C177" i="27"/>
  <c r="O176" i="27"/>
  <c r="M176" i="27"/>
  <c r="P176" i="27" s="1"/>
  <c r="J176" i="27"/>
  <c r="I176" i="27"/>
  <c r="N176" i="27" s="1"/>
  <c r="C176" i="27"/>
  <c r="O175" i="27"/>
  <c r="N175" i="27"/>
  <c r="M175" i="27"/>
  <c r="P175" i="27" s="1"/>
  <c r="J175" i="27"/>
  <c r="I175" i="27"/>
  <c r="C175" i="27"/>
  <c r="O174" i="27"/>
  <c r="N174" i="27"/>
  <c r="M174" i="27"/>
  <c r="J174" i="27"/>
  <c r="I174" i="27"/>
  <c r="C174" i="27"/>
  <c r="P173" i="27"/>
  <c r="O173" i="27"/>
  <c r="N173" i="27"/>
  <c r="M173" i="27"/>
  <c r="J173" i="27"/>
  <c r="I173" i="27"/>
  <c r="C173" i="27"/>
  <c r="O172" i="27"/>
  <c r="M172" i="27"/>
  <c r="P172" i="27" s="1"/>
  <c r="J172" i="27"/>
  <c r="I172" i="27"/>
  <c r="N172" i="27" s="1"/>
  <c r="C172" i="27"/>
  <c r="P171" i="27"/>
  <c r="O171" i="27"/>
  <c r="N171" i="27"/>
  <c r="M171" i="27"/>
  <c r="J171" i="27"/>
  <c r="I171" i="27"/>
  <c r="C171" i="27"/>
  <c r="O170" i="27"/>
  <c r="M170" i="27"/>
  <c r="P170" i="27" s="1"/>
  <c r="J170" i="27"/>
  <c r="I170" i="27"/>
  <c r="N170" i="27" s="1"/>
  <c r="C170" i="27"/>
  <c r="P169" i="27"/>
  <c r="O169" i="27"/>
  <c r="N169" i="27"/>
  <c r="M169" i="27"/>
  <c r="J169" i="27"/>
  <c r="I169" i="27"/>
  <c r="C169" i="27"/>
  <c r="O168" i="27"/>
  <c r="M168" i="27"/>
  <c r="P168" i="27" s="1"/>
  <c r="J168" i="27"/>
  <c r="I168" i="27"/>
  <c r="N168" i="27" s="1"/>
  <c r="C168" i="27"/>
  <c r="O167" i="27"/>
  <c r="N167" i="27"/>
  <c r="M167" i="27"/>
  <c r="P167" i="27" s="1"/>
  <c r="J167" i="27"/>
  <c r="I167" i="27"/>
  <c r="C167" i="27"/>
  <c r="O166" i="27"/>
  <c r="N166" i="27"/>
  <c r="M166" i="27"/>
  <c r="P166" i="27" s="1"/>
  <c r="J166" i="27"/>
  <c r="I166" i="27"/>
  <c r="C166" i="27"/>
  <c r="P165" i="27"/>
  <c r="O165" i="27"/>
  <c r="N165" i="27"/>
  <c r="M165" i="27"/>
  <c r="J165" i="27"/>
  <c r="I165" i="27"/>
  <c r="C165" i="27"/>
  <c r="O164" i="27"/>
  <c r="M164" i="27"/>
  <c r="P164" i="27" s="1"/>
  <c r="J164" i="27"/>
  <c r="I164" i="27"/>
  <c r="N164" i="27" s="1"/>
  <c r="C164" i="27"/>
  <c r="P163" i="27"/>
  <c r="O163" i="27"/>
  <c r="N163" i="27"/>
  <c r="M163" i="27"/>
  <c r="J163" i="27"/>
  <c r="I163" i="27"/>
  <c r="C163" i="27"/>
  <c r="O162" i="27"/>
  <c r="M162" i="27"/>
  <c r="P162" i="27" s="1"/>
  <c r="J162" i="27"/>
  <c r="I162" i="27"/>
  <c r="N162" i="27" s="1"/>
  <c r="C162" i="27"/>
  <c r="O161" i="27"/>
  <c r="M161" i="27"/>
  <c r="J161" i="27"/>
  <c r="I161" i="27"/>
  <c r="N161" i="27" s="1"/>
  <c r="P161" i="27" s="1"/>
  <c r="C161" i="27"/>
  <c r="O160" i="27"/>
  <c r="M160" i="27"/>
  <c r="P160" i="27" s="1"/>
  <c r="J160" i="27"/>
  <c r="I160" i="27"/>
  <c r="N160" i="27" s="1"/>
  <c r="C160" i="27"/>
  <c r="O159" i="27"/>
  <c r="N159" i="27"/>
  <c r="M159" i="27"/>
  <c r="P159" i="27" s="1"/>
  <c r="J159" i="27"/>
  <c r="I159" i="27"/>
  <c r="C159" i="27"/>
  <c r="O158" i="27"/>
  <c r="N158" i="27"/>
  <c r="M158" i="27"/>
  <c r="P158" i="27" s="1"/>
  <c r="J158" i="27"/>
  <c r="I158" i="27"/>
  <c r="C158" i="27"/>
  <c r="P157" i="27"/>
  <c r="O157" i="27"/>
  <c r="N157" i="27"/>
  <c r="M157" i="27"/>
  <c r="J157" i="27"/>
  <c r="I157" i="27"/>
  <c r="C157" i="27"/>
  <c r="O156" i="27"/>
  <c r="M156" i="27"/>
  <c r="P156" i="27" s="1"/>
  <c r="J156" i="27"/>
  <c r="I156" i="27"/>
  <c r="N156" i="27" s="1"/>
  <c r="C156" i="27"/>
  <c r="P155" i="27"/>
  <c r="O155" i="27"/>
  <c r="N155" i="27"/>
  <c r="M155" i="27"/>
  <c r="J155" i="27"/>
  <c r="I155" i="27"/>
  <c r="C155" i="27"/>
  <c r="O154" i="27"/>
  <c r="M154" i="27"/>
  <c r="P154" i="27" s="1"/>
  <c r="J154" i="27"/>
  <c r="I154" i="27"/>
  <c r="N154" i="27" s="1"/>
  <c r="C154" i="27"/>
  <c r="P153" i="27"/>
  <c r="O153" i="27"/>
  <c r="N153" i="27"/>
  <c r="M153" i="27"/>
  <c r="J153" i="27"/>
  <c r="I153" i="27"/>
  <c r="C153" i="27"/>
  <c r="O152" i="27"/>
  <c r="M152" i="27"/>
  <c r="J152" i="27"/>
  <c r="I152" i="27"/>
  <c r="N152" i="27" s="1"/>
  <c r="C152" i="27"/>
  <c r="O151" i="27"/>
  <c r="N151" i="27"/>
  <c r="M151" i="27"/>
  <c r="P151" i="27" s="1"/>
  <c r="J151" i="27"/>
  <c r="I151" i="27"/>
  <c r="C151" i="27"/>
  <c r="O150" i="27"/>
  <c r="N150" i="27"/>
  <c r="M150" i="27"/>
  <c r="P150" i="27" s="1"/>
  <c r="J150" i="27"/>
  <c r="I150" i="27"/>
  <c r="C150" i="27"/>
  <c r="P149" i="27"/>
  <c r="O149" i="27"/>
  <c r="N149" i="27"/>
  <c r="M149" i="27"/>
  <c r="J149" i="27"/>
  <c r="I149" i="27"/>
  <c r="C149" i="27"/>
  <c r="O148" i="27"/>
  <c r="M148" i="27"/>
  <c r="J148" i="27"/>
  <c r="I148" i="27"/>
  <c r="N148" i="27" s="1"/>
  <c r="C148" i="27"/>
  <c r="O147" i="27"/>
  <c r="N147" i="27"/>
  <c r="P147" i="27" s="1"/>
  <c r="M147" i="27"/>
  <c r="J147" i="27"/>
  <c r="I147" i="27"/>
  <c r="C147" i="27"/>
  <c r="O146" i="27"/>
  <c r="M146" i="27"/>
  <c r="K146" i="27"/>
  <c r="J146" i="27"/>
  <c r="I146" i="27"/>
  <c r="N146" i="27" s="1"/>
  <c r="C146" i="27"/>
  <c r="P145" i="27"/>
  <c r="O145" i="27"/>
  <c r="N145" i="27"/>
  <c r="M145" i="27"/>
  <c r="L145" i="27"/>
  <c r="J145" i="27"/>
  <c r="I145" i="27"/>
  <c r="C145" i="27"/>
  <c r="O144" i="27"/>
  <c r="M144" i="27"/>
  <c r="P144" i="27" s="1"/>
  <c r="J144" i="27"/>
  <c r="I144" i="27"/>
  <c r="N144" i="27" s="1"/>
  <c r="C144" i="27"/>
  <c r="O143" i="27"/>
  <c r="N143" i="27"/>
  <c r="M143" i="27"/>
  <c r="J143" i="27"/>
  <c r="I143" i="27"/>
  <c r="C143" i="27"/>
  <c r="O142" i="27"/>
  <c r="N142" i="27"/>
  <c r="M142" i="27"/>
  <c r="P142" i="27" s="1"/>
  <c r="J142" i="27"/>
  <c r="I142" i="27"/>
  <c r="C142" i="27"/>
  <c r="P141" i="27"/>
  <c r="O141" i="27"/>
  <c r="N141" i="27"/>
  <c r="M141" i="27"/>
  <c r="J141" i="27"/>
  <c r="I141" i="27"/>
  <c r="C141" i="27"/>
  <c r="O140" i="27"/>
  <c r="M140" i="27"/>
  <c r="P140" i="27" s="1"/>
  <c r="J140" i="27"/>
  <c r="I140" i="27"/>
  <c r="N140" i="27" s="1"/>
  <c r="C140" i="27"/>
  <c r="O139" i="27"/>
  <c r="N139" i="27"/>
  <c r="P139" i="27" s="1"/>
  <c r="M139" i="27"/>
  <c r="J139" i="27"/>
  <c r="I139" i="27"/>
  <c r="C139" i="27"/>
  <c r="O138" i="27"/>
  <c r="M138" i="27"/>
  <c r="P138" i="27" s="1"/>
  <c r="J138" i="27"/>
  <c r="I138" i="27"/>
  <c r="N138" i="27" s="1"/>
  <c r="C138" i="27"/>
  <c r="P137" i="27"/>
  <c r="O137" i="27"/>
  <c r="N137" i="27"/>
  <c r="M137" i="27"/>
  <c r="J137" i="27"/>
  <c r="I137" i="27"/>
  <c r="C137" i="27"/>
  <c r="O136" i="27"/>
  <c r="M136" i="27"/>
  <c r="J136" i="27"/>
  <c r="I136" i="27"/>
  <c r="N136" i="27" s="1"/>
  <c r="C136" i="27"/>
  <c r="O135" i="27"/>
  <c r="N135" i="27"/>
  <c r="M135" i="27"/>
  <c r="P135" i="27" s="1"/>
  <c r="J135" i="27"/>
  <c r="I135" i="27"/>
  <c r="C135" i="27"/>
  <c r="O134" i="27"/>
  <c r="N134" i="27"/>
  <c r="M134" i="27"/>
  <c r="J134" i="27"/>
  <c r="I134" i="27"/>
  <c r="C134" i="27"/>
  <c r="P133" i="27"/>
  <c r="O133" i="27"/>
  <c r="N133" i="27"/>
  <c r="M133" i="27"/>
  <c r="J133" i="27"/>
  <c r="I133" i="27"/>
  <c r="C133" i="27"/>
  <c r="O132" i="27"/>
  <c r="M132" i="27"/>
  <c r="J132" i="27"/>
  <c r="I132" i="27"/>
  <c r="N132" i="27" s="1"/>
  <c r="C132" i="27"/>
  <c r="O131" i="27"/>
  <c r="N131" i="27"/>
  <c r="P131" i="27" s="1"/>
  <c r="M131" i="27"/>
  <c r="J131" i="27"/>
  <c r="I131" i="27"/>
  <c r="C131" i="27"/>
  <c r="O130" i="27"/>
  <c r="M130" i="27"/>
  <c r="P130" i="27" s="1"/>
  <c r="J130" i="27"/>
  <c r="I130" i="27"/>
  <c r="N130" i="27" s="1"/>
  <c r="C130" i="27"/>
  <c r="P129" i="27"/>
  <c r="O129" i="27"/>
  <c r="N129" i="27"/>
  <c r="M129" i="27"/>
  <c r="J129" i="27"/>
  <c r="I129" i="27"/>
  <c r="C129" i="27"/>
  <c r="O128" i="27"/>
  <c r="M128" i="27"/>
  <c r="J128" i="27"/>
  <c r="I128" i="27"/>
  <c r="N128" i="27" s="1"/>
  <c r="C128" i="27"/>
  <c r="O127" i="27"/>
  <c r="N127" i="27"/>
  <c r="M127" i="27"/>
  <c r="J127" i="27"/>
  <c r="I127" i="27"/>
  <c r="C127" i="27"/>
  <c r="O126" i="27"/>
  <c r="N126" i="27"/>
  <c r="M126" i="27"/>
  <c r="J126" i="27"/>
  <c r="I126" i="27"/>
  <c r="C126" i="27"/>
  <c r="P125" i="27"/>
  <c r="O125" i="27"/>
  <c r="N125" i="27"/>
  <c r="M125" i="27"/>
  <c r="J125" i="27"/>
  <c r="I125" i="27"/>
  <c r="C125" i="27"/>
  <c r="O124" i="27"/>
  <c r="M124" i="27"/>
  <c r="J124" i="27"/>
  <c r="I124" i="27"/>
  <c r="N124" i="27" s="1"/>
  <c r="C124" i="27"/>
  <c r="O123" i="27"/>
  <c r="N123" i="27"/>
  <c r="P123" i="27" s="1"/>
  <c r="M123" i="27"/>
  <c r="J123" i="27"/>
  <c r="I123" i="27"/>
  <c r="C123" i="27"/>
  <c r="O122" i="27"/>
  <c r="M122" i="27"/>
  <c r="P122" i="27" s="1"/>
  <c r="J122" i="27"/>
  <c r="I122" i="27"/>
  <c r="N122" i="27" s="1"/>
  <c r="C122" i="27"/>
  <c r="O121" i="27"/>
  <c r="M121" i="27"/>
  <c r="J121" i="27"/>
  <c r="I121" i="27"/>
  <c r="N121" i="27" s="1"/>
  <c r="P121" i="27" s="1"/>
  <c r="C121" i="27"/>
  <c r="O120" i="27"/>
  <c r="M120" i="27"/>
  <c r="J120" i="27"/>
  <c r="I120" i="27"/>
  <c r="N120" i="27" s="1"/>
  <c r="C120" i="27"/>
  <c r="O119" i="27"/>
  <c r="N119" i="27"/>
  <c r="M119" i="27"/>
  <c r="P119" i="27" s="1"/>
  <c r="J119" i="27"/>
  <c r="I119" i="27"/>
  <c r="C119" i="27"/>
  <c r="O118" i="27"/>
  <c r="N118" i="27"/>
  <c r="M118" i="27"/>
  <c r="J118" i="27"/>
  <c r="I118" i="27"/>
  <c r="C118" i="27"/>
  <c r="P117" i="27"/>
  <c r="O117" i="27"/>
  <c r="N117" i="27"/>
  <c r="M117" i="27"/>
  <c r="J117" i="27"/>
  <c r="I117" i="27"/>
  <c r="C117" i="27"/>
  <c r="O116" i="27"/>
  <c r="M116" i="27"/>
  <c r="J116" i="27"/>
  <c r="I116" i="27"/>
  <c r="N116" i="27" s="1"/>
  <c r="C116" i="27"/>
  <c r="O115" i="27"/>
  <c r="N115" i="27"/>
  <c r="P115" i="27" s="1"/>
  <c r="M115" i="27"/>
  <c r="J115" i="27"/>
  <c r="I115" i="27"/>
  <c r="C115" i="27"/>
  <c r="O114" i="27"/>
  <c r="M114" i="27"/>
  <c r="P114" i="27" s="1"/>
  <c r="J114" i="27"/>
  <c r="I114" i="27"/>
  <c r="N114" i="27" s="1"/>
  <c r="C114" i="27"/>
  <c r="O113" i="27"/>
  <c r="M113" i="27"/>
  <c r="L113" i="27"/>
  <c r="J113" i="27"/>
  <c r="I113" i="27"/>
  <c r="N113" i="27" s="1"/>
  <c r="P113" i="27" s="1"/>
  <c r="C113" i="27"/>
  <c r="O112" i="27"/>
  <c r="M112" i="27"/>
  <c r="P112" i="27" s="1"/>
  <c r="J112" i="27"/>
  <c r="I112" i="27"/>
  <c r="N112" i="27" s="1"/>
  <c r="C112" i="27"/>
  <c r="O111" i="27"/>
  <c r="N111" i="27"/>
  <c r="M111" i="27"/>
  <c r="J111" i="27"/>
  <c r="I111" i="27"/>
  <c r="C111" i="27"/>
  <c r="O110" i="27"/>
  <c r="N110" i="27"/>
  <c r="M110" i="27"/>
  <c r="J110" i="27"/>
  <c r="I110" i="27"/>
  <c r="C110" i="27"/>
  <c r="O109" i="27"/>
  <c r="N109" i="27"/>
  <c r="P109" i="27" s="1"/>
  <c r="M109" i="27"/>
  <c r="J109" i="27"/>
  <c r="I109" i="27"/>
  <c r="C109" i="27"/>
  <c r="O108" i="27"/>
  <c r="M108" i="27"/>
  <c r="P108" i="27" s="1"/>
  <c r="J108" i="27"/>
  <c r="I108" i="27"/>
  <c r="N108" i="27" s="1"/>
  <c r="C108" i="27"/>
  <c r="O107" i="27"/>
  <c r="N107" i="27"/>
  <c r="P107" i="27" s="1"/>
  <c r="M107" i="27"/>
  <c r="J107" i="27"/>
  <c r="I107" i="27"/>
  <c r="C107" i="27"/>
  <c r="O106" i="27"/>
  <c r="M106" i="27"/>
  <c r="P106" i="27" s="1"/>
  <c r="J106" i="27"/>
  <c r="I106" i="27"/>
  <c r="N106" i="27" s="1"/>
  <c r="C106" i="27"/>
  <c r="O105" i="27"/>
  <c r="M105" i="27"/>
  <c r="J105" i="27"/>
  <c r="I105" i="27"/>
  <c r="N105" i="27" s="1"/>
  <c r="P105" i="27" s="1"/>
  <c r="C105" i="27"/>
  <c r="O104" i="27"/>
  <c r="M104" i="27"/>
  <c r="P104" i="27" s="1"/>
  <c r="J104" i="27"/>
  <c r="I104" i="27"/>
  <c r="N104" i="27" s="1"/>
  <c r="C104" i="27"/>
  <c r="O103" i="27"/>
  <c r="N103" i="27"/>
  <c r="M103" i="27"/>
  <c r="P103" i="27" s="1"/>
  <c r="J103" i="27"/>
  <c r="I103" i="27"/>
  <c r="C103" i="27"/>
  <c r="O102" i="27"/>
  <c r="N102" i="27"/>
  <c r="M102" i="27"/>
  <c r="K102" i="27"/>
  <c r="J102" i="27"/>
  <c r="I102" i="27"/>
  <c r="C102" i="27"/>
  <c r="O101" i="27"/>
  <c r="N101" i="27"/>
  <c r="P101" i="27" s="1"/>
  <c r="M101" i="27"/>
  <c r="L101" i="27"/>
  <c r="J101" i="27"/>
  <c r="I101" i="27"/>
  <c r="C101" i="27"/>
  <c r="O100" i="27"/>
  <c r="M100" i="27"/>
  <c r="P100" i="27" s="1"/>
  <c r="J100" i="27"/>
  <c r="I100" i="27"/>
  <c r="N100" i="27" s="1"/>
  <c r="C100" i="27"/>
  <c r="P99" i="27"/>
  <c r="O99" i="27"/>
  <c r="N99" i="27"/>
  <c r="M99" i="27"/>
  <c r="J99" i="27"/>
  <c r="I99" i="27"/>
  <c r="C99" i="27"/>
  <c r="O98" i="27"/>
  <c r="M98" i="27"/>
  <c r="J98" i="27"/>
  <c r="I98" i="27"/>
  <c r="N98" i="27" s="1"/>
  <c r="C98" i="27"/>
  <c r="P97" i="27"/>
  <c r="O97" i="27"/>
  <c r="M97" i="27"/>
  <c r="J97" i="27"/>
  <c r="I97" i="27"/>
  <c r="N97" i="27" s="1"/>
  <c r="C97" i="27"/>
  <c r="O96" i="27"/>
  <c r="M96" i="27"/>
  <c r="P96" i="27" s="1"/>
  <c r="J96" i="27"/>
  <c r="I96" i="27"/>
  <c r="N96" i="27" s="1"/>
  <c r="C96" i="27"/>
  <c r="O95" i="27"/>
  <c r="N95" i="27"/>
  <c r="M95" i="27"/>
  <c r="J95" i="27"/>
  <c r="I95" i="27"/>
  <c r="C95" i="27"/>
  <c r="O94" i="27"/>
  <c r="N94" i="27"/>
  <c r="M94" i="27"/>
  <c r="J94" i="27"/>
  <c r="I94" i="27"/>
  <c r="C94" i="27"/>
  <c r="P93" i="27"/>
  <c r="O93" i="27"/>
  <c r="N93" i="27"/>
  <c r="M93" i="27"/>
  <c r="J93" i="27"/>
  <c r="I93" i="27"/>
  <c r="C93" i="27"/>
  <c r="O92" i="27"/>
  <c r="M92" i="27"/>
  <c r="P92" i="27" s="1"/>
  <c r="J92" i="27"/>
  <c r="I92" i="27"/>
  <c r="N92" i="27" s="1"/>
  <c r="C92" i="27"/>
  <c r="O91" i="27"/>
  <c r="N91" i="27"/>
  <c r="P91" i="27" s="1"/>
  <c r="M91" i="27"/>
  <c r="J91" i="27"/>
  <c r="I91" i="27"/>
  <c r="C91" i="27"/>
  <c r="O90" i="27"/>
  <c r="M90" i="27"/>
  <c r="P90" i="27" s="1"/>
  <c r="J90" i="27"/>
  <c r="I90" i="27"/>
  <c r="N90" i="27" s="1"/>
  <c r="C90" i="27"/>
  <c r="O89" i="27"/>
  <c r="M89" i="27"/>
  <c r="J89" i="27"/>
  <c r="I89" i="27"/>
  <c r="N89" i="27" s="1"/>
  <c r="P89" i="27" s="1"/>
  <c r="C89" i="27"/>
  <c r="O88" i="27"/>
  <c r="M88" i="27"/>
  <c r="J88" i="27"/>
  <c r="I88" i="27"/>
  <c r="N88" i="27" s="1"/>
  <c r="C88" i="27"/>
  <c r="O87" i="27"/>
  <c r="N87" i="27"/>
  <c r="M87" i="27"/>
  <c r="P87" i="27" s="1"/>
  <c r="J87" i="27"/>
  <c r="I87" i="27"/>
  <c r="C87" i="27"/>
  <c r="O86" i="27"/>
  <c r="N86" i="27"/>
  <c r="M86" i="27"/>
  <c r="P86" i="27" s="1"/>
  <c r="J86" i="27"/>
  <c r="I86" i="27"/>
  <c r="C86" i="27"/>
  <c r="O85" i="27"/>
  <c r="N85" i="27"/>
  <c r="P85" i="27" s="1"/>
  <c r="M85" i="27"/>
  <c r="L85" i="27"/>
  <c r="J85" i="27"/>
  <c r="I85" i="27"/>
  <c r="C85" i="27"/>
  <c r="O84" i="27"/>
  <c r="M84" i="27"/>
  <c r="J84" i="27"/>
  <c r="I84" i="27"/>
  <c r="N84" i="27" s="1"/>
  <c r="C84" i="27"/>
  <c r="O83" i="27"/>
  <c r="N83" i="27"/>
  <c r="P83" i="27" s="1"/>
  <c r="M83" i="27"/>
  <c r="J83" i="27"/>
  <c r="I83" i="27"/>
  <c r="C83" i="27"/>
  <c r="O82" i="27"/>
  <c r="M82" i="27"/>
  <c r="J82" i="27"/>
  <c r="I82" i="27"/>
  <c r="N82" i="27" s="1"/>
  <c r="C82" i="27"/>
  <c r="P81" i="27"/>
  <c r="O81" i="27"/>
  <c r="M81" i="27"/>
  <c r="J81" i="27"/>
  <c r="I81" i="27"/>
  <c r="N81" i="27" s="1"/>
  <c r="C81" i="27"/>
  <c r="O80" i="27"/>
  <c r="M80" i="27"/>
  <c r="P80" i="27" s="1"/>
  <c r="L80" i="27"/>
  <c r="J80" i="27"/>
  <c r="I80" i="27"/>
  <c r="N80" i="27" s="1"/>
  <c r="C80" i="27"/>
  <c r="O79" i="27"/>
  <c r="N79" i="27"/>
  <c r="M79" i="27"/>
  <c r="L79" i="27"/>
  <c r="J79" i="27"/>
  <c r="I79" i="27"/>
  <c r="C79" i="27"/>
  <c r="O78" i="27"/>
  <c r="N78" i="27"/>
  <c r="M78" i="27"/>
  <c r="P78" i="27" s="1"/>
  <c r="J78" i="27"/>
  <c r="I78" i="27"/>
  <c r="C78" i="27"/>
  <c r="O77" i="27"/>
  <c r="P77" i="27" s="1"/>
  <c r="N77" i="27"/>
  <c r="M77" i="27"/>
  <c r="J77" i="27"/>
  <c r="I77" i="27"/>
  <c r="C77" i="27"/>
  <c r="O76" i="27"/>
  <c r="M76" i="27"/>
  <c r="J76" i="27"/>
  <c r="I76" i="27"/>
  <c r="N76" i="27" s="1"/>
  <c r="P76" i="27" s="1"/>
  <c r="C76" i="27"/>
  <c r="O75" i="27"/>
  <c r="M75" i="27"/>
  <c r="J75" i="27"/>
  <c r="I75" i="27"/>
  <c r="N75" i="27" s="1"/>
  <c r="P75" i="27" s="1"/>
  <c r="C75" i="27"/>
  <c r="O74" i="27"/>
  <c r="M74" i="27"/>
  <c r="J74" i="27"/>
  <c r="I74" i="27"/>
  <c r="N74" i="27" s="1"/>
  <c r="C74" i="27"/>
  <c r="P73" i="27"/>
  <c r="O73" i="27"/>
  <c r="M73" i="27"/>
  <c r="J73" i="27"/>
  <c r="I73" i="27"/>
  <c r="N73" i="27" s="1"/>
  <c r="C73" i="27"/>
  <c r="P72" i="27"/>
  <c r="O72" i="27"/>
  <c r="M72" i="27"/>
  <c r="J72" i="27"/>
  <c r="I72" i="27"/>
  <c r="N72" i="27" s="1"/>
  <c r="C72" i="27"/>
  <c r="O71" i="27"/>
  <c r="M71" i="27"/>
  <c r="J71" i="27"/>
  <c r="I71" i="27"/>
  <c r="N71" i="27" s="1"/>
  <c r="C71" i="27"/>
  <c r="O70" i="27"/>
  <c r="M70" i="27"/>
  <c r="J70" i="27"/>
  <c r="I70" i="27"/>
  <c r="N70" i="27" s="1"/>
  <c r="C70" i="27"/>
  <c r="P69" i="27"/>
  <c r="O69" i="27"/>
  <c r="N69" i="27"/>
  <c r="M69" i="27"/>
  <c r="J69" i="27"/>
  <c r="I69" i="27"/>
  <c r="C69" i="27"/>
  <c r="O68" i="27"/>
  <c r="M68" i="27"/>
  <c r="J68" i="27"/>
  <c r="I68" i="27"/>
  <c r="N68" i="27" s="1"/>
  <c r="P68" i="27" s="1"/>
  <c r="C68" i="27"/>
  <c r="O67" i="27"/>
  <c r="M67" i="27"/>
  <c r="L67" i="27"/>
  <c r="J67" i="27"/>
  <c r="I67" i="27"/>
  <c r="N67" i="27" s="1"/>
  <c r="P67" i="27" s="1"/>
  <c r="C67" i="27"/>
  <c r="O66" i="27"/>
  <c r="M66" i="27"/>
  <c r="J66" i="27"/>
  <c r="I66" i="27"/>
  <c r="N66" i="27" s="1"/>
  <c r="P66" i="27" s="1"/>
  <c r="C66" i="27"/>
  <c r="O65" i="27"/>
  <c r="M65" i="27"/>
  <c r="L65" i="27"/>
  <c r="J65" i="27"/>
  <c r="I65" i="27"/>
  <c r="N65" i="27" s="1"/>
  <c r="P65" i="27" s="1"/>
  <c r="C65" i="27"/>
  <c r="O64" i="27"/>
  <c r="M64" i="27"/>
  <c r="P64" i="27" s="1"/>
  <c r="L64" i="27"/>
  <c r="J64" i="27"/>
  <c r="I64" i="27"/>
  <c r="N64" i="27" s="1"/>
  <c r="C64" i="27"/>
  <c r="O63" i="27"/>
  <c r="M63" i="27"/>
  <c r="K63" i="27"/>
  <c r="J63" i="27"/>
  <c r="I63" i="27"/>
  <c r="N63" i="27" s="1"/>
  <c r="C63" i="27"/>
  <c r="O62" i="27"/>
  <c r="M62" i="27"/>
  <c r="K62" i="27"/>
  <c r="J62" i="27"/>
  <c r="I62" i="27"/>
  <c r="N62" i="27" s="1"/>
  <c r="C62" i="27"/>
  <c r="O61" i="27"/>
  <c r="N61" i="27"/>
  <c r="P61" i="27" s="1"/>
  <c r="M61" i="27"/>
  <c r="L61" i="27"/>
  <c r="J61" i="27"/>
  <c r="I61" i="27"/>
  <c r="C61" i="27"/>
  <c r="O60" i="27"/>
  <c r="M60" i="27"/>
  <c r="P60" i="27" s="1"/>
  <c r="J60" i="27"/>
  <c r="I60" i="27"/>
  <c r="N60" i="27" s="1"/>
  <c r="C60" i="27"/>
  <c r="O59" i="27"/>
  <c r="N59" i="27"/>
  <c r="P59" i="27" s="1"/>
  <c r="M59" i="27"/>
  <c r="L59" i="27"/>
  <c r="J59" i="27"/>
  <c r="I59" i="27"/>
  <c r="C59" i="27"/>
  <c r="O58" i="27"/>
  <c r="M58" i="27"/>
  <c r="P58" i="27" s="1"/>
  <c r="J58" i="27"/>
  <c r="I58" i="27"/>
  <c r="N58" i="27" s="1"/>
  <c r="C58" i="27"/>
  <c r="P57" i="27"/>
  <c r="O57" i="27"/>
  <c r="N57" i="27"/>
  <c r="M57" i="27"/>
  <c r="J57" i="27"/>
  <c r="I57" i="27"/>
  <c r="C57" i="27"/>
  <c r="O56" i="27"/>
  <c r="M56" i="27"/>
  <c r="J56" i="27"/>
  <c r="I56" i="27"/>
  <c r="N56" i="27" s="1"/>
  <c r="P56" i="27" s="1"/>
  <c r="C56" i="27"/>
  <c r="O55" i="27"/>
  <c r="M55" i="27"/>
  <c r="L55" i="27"/>
  <c r="J55" i="27"/>
  <c r="I55" i="27"/>
  <c r="N55" i="27" s="1"/>
  <c r="P55" i="27" s="1"/>
  <c r="C55" i="27"/>
  <c r="O54" i="27"/>
  <c r="M54" i="27"/>
  <c r="K54" i="27"/>
  <c r="J54" i="27"/>
  <c r="I54" i="27"/>
  <c r="N54" i="27" s="1"/>
  <c r="C54" i="27"/>
  <c r="O53" i="27"/>
  <c r="N53" i="27"/>
  <c r="P53" i="27" s="1"/>
  <c r="M53" i="27"/>
  <c r="L53" i="27"/>
  <c r="J53" i="27"/>
  <c r="I53" i="27"/>
  <c r="C53" i="27"/>
  <c r="O52" i="27"/>
  <c r="M52" i="27"/>
  <c r="P52" i="27" s="1"/>
  <c r="J52" i="27"/>
  <c r="I52" i="27"/>
  <c r="N52" i="27" s="1"/>
  <c r="C52" i="27"/>
  <c r="O51" i="27"/>
  <c r="N51" i="27"/>
  <c r="P51" i="27" s="1"/>
  <c r="M51" i="27"/>
  <c r="L51" i="27"/>
  <c r="J51" i="27"/>
  <c r="I51" i="27"/>
  <c r="C51" i="27"/>
  <c r="O50" i="27"/>
  <c r="M50" i="27"/>
  <c r="P50" i="27" s="1"/>
  <c r="J50" i="27"/>
  <c r="I50" i="27"/>
  <c r="N50" i="27" s="1"/>
  <c r="C50" i="27"/>
  <c r="P49" i="27"/>
  <c r="O49" i="27"/>
  <c r="N49" i="27"/>
  <c r="M49" i="27"/>
  <c r="J49" i="27"/>
  <c r="I49" i="27"/>
  <c r="C49" i="27"/>
  <c r="O48" i="27"/>
  <c r="M48" i="27"/>
  <c r="J48" i="27"/>
  <c r="I48" i="27"/>
  <c r="N48" i="27" s="1"/>
  <c r="P48" i="27" s="1"/>
  <c r="C48" i="27"/>
  <c r="O47" i="27"/>
  <c r="M47" i="27"/>
  <c r="L47" i="27"/>
  <c r="J47" i="27"/>
  <c r="I47" i="27"/>
  <c r="N47" i="27" s="1"/>
  <c r="P47" i="27" s="1"/>
  <c r="C47" i="27"/>
  <c r="O46" i="27"/>
  <c r="M46" i="27"/>
  <c r="K46" i="27"/>
  <c r="J46" i="27"/>
  <c r="I46" i="27"/>
  <c r="N46" i="27" s="1"/>
  <c r="C46" i="27"/>
  <c r="O45" i="27"/>
  <c r="N45" i="27"/>
  <c r="P45" i="27" s="1"/>
  <c r="M45" i="27"/>
  <c r="L45" i="27"/>
  <c r="J45" i="27"/>
  <c r="I45" i="27"/>
  <c r="C45" i="27"/>
  <c r="O44" i="27"/>
  <c r="M44" i="27"/>
  <c r="P44" i="27" s="1"/>
  <c r="J44" i="27"/>
  <c r="I44" i="27"/>
  <c r="N44" i="27" s="1"/>
  <c r="C44" i="27"/>
  <c r="O43" i="27"/>
  <c r="N43" i="27"/>
  <c r="P43" i="27" s="1"/>
  <c r="M43" i="27"/>
  <c r="L43" i="27"/>
  <c r="J43" i="27"/>
  <c r="I43" i="27"/>
  <c r="C43" i="27"/>
  <c r="O42" i="27"/>
  <c r="M42" i="27"/>
  <c r="P42" i="27" s="1"/>
  <c r="J42" i="27"/>
  <c r="I42" i="27"/>
  <c r="N42" i="27" s="1"/>
  <c r="C42" i="27"/>
  <c r="P41" i="27"/>
  <c r="O41" i="27"/>
  <c r="N41" i="27"/>
  <c r="M41" i="27"/>
  <c r="J41" i="27"/>
  <c r="I41" i="27"/>
  <c r="C41" i="27"/>
  <c r="O40" i="27"/>
  <c r="M40" i="27"/>
  <c r="J40" i="27"/>
  <c r="I40" i="27"/>
  <c r="N40" i="27" s="1"/>
  <c r="P40" i="27" s="1"/>
  <c r="C40" i="27"/>
  <c r="O39" i="27"/>
  <c r="M39" i="27"/>
  <c r="L39" i="27"/>
  <c r="J39" i="27"/>
  <c r="I39" i="27"/>
  <c r="N39" i="27" s="1"/>
  <c r="P39" i="27" s="1"/>
  <c r="C39" i="27"/>
  <c r="O38" i="27"/>
  <c r="M38" i="27"/>
  <c r="K38" i="27"/>
  <c r="J38" i="27"/>
  <c r="I38" i="27"/>
  <c r="N38" i="27" s="1"/>
  <c r="C38" i="27"/>
  <c r="O37" i="27"/>
  <c r="N37" i="27"/>
  <c r="P37" i="27" s="1"/>
  <c r="M37" i="27"/>
  <c r="L37" i="27"/>
  <c r="J37" i="27"/>
  <c r="I37" i="27"/>
  <c r="C37" i="27"/>
  <c r="O36" i="27"/>
  <c r="M36" i="27"/>
  <c r="P36" i="27" s="1"/>
  <c r="L36" i="27"/>
  <c r="J36" i="27"/>
  <c r="I36" i="27"/>
  <c r="N36" i="27" s="1"/>
  <c r="C36" i="27"/>
  <c r="O35" i="27"/>
  <c r="N35" i="27"/>
  <c r="P35" i="27" s="1"/>
  <c r="M35" i="27"/>
  <c r="L35" i="27"/>
  <c r="J35" i="27"/>
  <c r="I35" i="27"/>
  <c r="C35" i="27"/>
  <c r="O34" i="27"/>
  <c r="M34" i="27"/>
  <c r="P34" i="27" s="1"/>
  <c r="J34" i="27"/>
  <c r="I34" i="27"/>
  <c r="N34" i="27" s="1"/>
  <c r="C34" i="27"/>
  <c r="P33" i="27"/>
  <c r="O33" i="27"/>
  <c r="N33" i="27"/>
  <c r="M33" i="27"/>
  <c r="J33" i="27"/>
  <c r="I33" i="27"/>
  <c r="C33" i="27"/>
  <c r="O32" i="27"/>
  <c r="M32" i="27"/>
  <c r="J32" i="27"/>
  <c r="I32" i="27"/>
  <c r="N32" i="27" s="1"/>
  <c r="P32" i="27" s="1"/>
  <c r="C32" i="27"/>
  <c r="O31" i="27"/>
  <c r="M31" i="27"/>
  <c r="L31" i="27"/>
  <c r="J31" i="27"/>
  <c r="I31" i="27"/>
  <c r="N31" i="27" s="1"/>
  <c r="P31" i="27" s="1"/>
  <c r="C31" i="27"/>
  <c r="O30" i="27"/>
  <c r="M30" i="27"/>
  <c r="P30" i="27" s="1"/>
  <c r="K30" i="27"/>
  <c r="J30" i="27"/>
  <c r="I30" i="27"/>
  <c r="N30" i="27" s="1"/>
  <c r="C30" i="27"/>
  <c r="O29" i="27"/>
  <c r="N29" i="27"/>
  <c r="P29" i="27" s="1"/>
  <c r="M29" i="27"/>
  <c r="L29" i="27"/>
  <c r="J29" i="27"/>
  <c r="I29" i="27"/>
  <c r="C29" i="27"/>
  <c r="O28" i="27"/>
  <c r="M28" i="27"/>
  <c r="P28" i="27" s="1"/>
  <c r="L28" i="27"/>
  <c r="K28" i="27"/>
  <c r="J28" i="27"/>
  <c r="I28" i="27"/>
  <c r="N28" i="27" s="1"/>
  <c r="C28" i="27"/>
  <c r="O27" i="27"/>
  <c r="N27" i="27"/>
  <c r="P27" i="27" s="1"/>
  <c r="M27" i="27"/>
  <c r="L27" i="27"/>
  <c r="J27" i="27"/>
  <c r="I27" i="27"/>
  <c r="C27" i="27"/>
  <c r="G17" i="27"/>
  <c r="F17" i="27"/>
  <c r="G16" i="27"/>
  <c r="F16" i="27"/>
  <c r="G15" i="27"/>
  <c r="F15" i="27"/>
  <c r="G14" i="27"/>
  <c r="L95" i="27" s="1"/>
  <c r="F14" i="27"/>
  <c r="K162" i="27" s="1"/>
  <c r="G13" i="27"/>
  <c r="F13" i="27"/>
  <c r="G12" i="27"/>
  <c r="F12" i="27"/>
  <c r="G11" i="27"/>
  <c r="F11" i="27"/>
  <c r="G10" i="27"/>
  <c r="F10" i="27"/>
  <c r="G9" i="27"/>
  <c r="F9" i="27"/>
  <c r="J8" i="27"/>
  <c r="G8" i="27"/>
  <c r="F8" i="27"/>
  <c r="G7" i="27"/>
  <c r="F7" i="27"/>
  <c r="G6" i="27"/>
  <c r="F6" i="27"/>
  <c r="G5" i="27"/>
  <c r="F5" i="27"/>
  <c r="E8" i="26"/>
  <c r="G7" i="26"/>
  <c r="F7" i="26"/>
  <c r="E7" i="26"/>
  <c r="E9" i="26" s="1"/>
  <c r="K14" i="26"/>
  <c r="K15" i="26" s="1"/>
  <c r="K12" i="26"/>
  <c r="K13" i="26" s="1"/>
  <c r="L11" i="2" s="1"/>
  <c r="E45" i="25"/>
  <c r="R38" i="24" s="1"/>
  <c r="D45" i="25"/>
  <c r="Q38" i="24" s="1"/>
  <c r="Q47" i="24" s="1"/>
  <c r="E44" i="25"/>
  <c r="R37" i="24" s="1"/>
  <c r="R46" i="24" s="1"/>
  <c r="D44" i="25"/>
  <c r="Q37" i="24" s="1"/>
  <c r="E43" i="25"/>
  <c r="R36" i="24" s="1"/>
  <c r="R45" i="24" s="1"/>
  <c r="D43" i="25"/>
  <c r="Q36" i="24" s="1"/>
  <c r="Q45" i="24" s="1"/>
  <c r="E41" i="25"/>
  <c r="R34" i="24" s="1"/>
  <c r="R43" i="24" s="1"/>
  <c r="D41" i="25"/>
  <c r="Q34" i="24" s="1"/>
  <c r="Q43" i="24" s="1"/>
  <c r="E40" i="25"/>
  <c r="R33" i="24" s="1"/>
  <c r="R42" i="24" s="1"/>
  <c r="D40" i="25"/>
  <c r="Q33" i="24" s="1"/>
  <c r="Q42" i="24" s="1"/>
  <c r="E38" i="25"/>
  <c r="R20" i="24" s="1"/>
  <c r="R29" i="24" s="1"/>
  <c r="D38" i="25"/>
  <c r="Q20" i="24" s="1"/>
  <c r="E37" i="25"/>
  <c r="R19" i="24" s="1"/>
  <c r="R28" i="24" s="1"/>
  <c r="D37" i="25"/>
  <c r="Q19" i="24" s="1"/>
  <c r="Q28" i="24" s="1"/>
  <c r="E36" i="25"/>
  <c r="R18" i="24" s="1"/>
  <c r="R27" i="24" s="1"/>
  <c r="D36" i="25"/>
  <c r="Q18" i="24" s="1"/>
  <c r="E34" i="25"/>
  <c r="R16" i="24" s="1"/>
  <c r="R25" i="24" s="1"/>
  <c r="D34" i="25"/>
  <c r="Q16" i="24" s="1"/>
  <c r="Q25" i="24" s="1"/>
  <c r="D7" i="24" s="1"/>
  <c r="E33" i="25"/>
  <c r="R15" i="24" s="1"/>
  <c r="R24" i="24" s="1"/>
  <c r="D33" i="25"/>
  <c r="Q15" i="24" s="1"/>
  <c r="Q24" i="24" s="1"/>
  <c r="M29" i="25"/>
  <c r="P29" i="25" s="1"/>
  <c r="L29" i="25"/>
  <c r="G29" i="25"/>
  <c r="E29" i="25"/>
  <c r="D29" i="25"/>
  <c r="N29" i="25" s="1"/>
  <c r="O29" i="25" s="1"/>
  <c r="M28" i="25"/>
  <c r="P28" i="25" s="1"/>
  <c r="G28" i="25"/>
  <c r="E28" i="25"/>
  <c r="D28" i="25"/>
  <c r="N28" i="25" s="1"/>
  <c r="O28" i="25" s="1"/>
  <c r="M27" i="25"/>
  <c r="P27" i="25" s="1"/>
  <c r="G27" i="25"/>
  <c r="D27" i="25"/>
  <c r="M26" i="25"/>
  <c r="P26" i="25" s="1"/>
  <c r="G26" i="25"/>
  <c r="E26" i="25"/>
  <c r="D26" i="25"/>
  <c r="N26" i="25" s="1"/>
  <c r="O26" i="25" s="1"/>
  <c r="M25" i="25"/>
  <c r="H25" i="25"/>
  <c r="K25" i="25" s="1"/>
  <c r="G25" i="25"/>
  <c r="E25" i="25"/>
  <c r="D25" i="25"/>
  <c r="N25" i="25" s="1"/>
  <c r="O25" i="25" s="1"/>
  <c r="M24" i="25"/>
  <c r="H24" i="25"/>
  <c r="K24" i="25" s="1"/>
  <c r="G24" i="25"/>
  <c r="E24" i="25"/>
  <c r="D24" i="25"/>
  <c r="N24" i="25" s="1"/>
  <c r="O24" i="25" s="1"/>
  <c r="M23" i="25"/>
  <c r="H23" i="25"/>
  <c r="K23" i="25" s="1"/>
  <c r="G23" i="25"/>
  <c r="E23" i="25"/>
  <c r="D23" i="25"/>
  <c r="N23" i="25" s="1"/>
  <c r="M22" i="25"/>
  <c r="H22" i="25"/>
  <c r="K22" i="25" s="1"/>
  <c r="G22" i="25"/>
  <c r="E22" i="25"/>
  <c r="D22" i="25"/>
  <c r="N22" i="25" s="1"/>
  <c r="M21" i="25"/>
  <c r="H21" i="25"/>
  <c r="G21" i="25"/>
  <c r="E21" i="25"/>
  <c r="D21" i="25"/>
  <c r="N21" i="25" s="1"/>
  <c r="M20" i="25"/>
  <c r="P20" i="25" s="1"/>
  <c r="G20" i="25"/>
  <c r="E20" i="25"/>
  <c r="D20" i="25"/>
  <c r="N20" i="25" s="1"/>
  <c r="O20" i="25" s="1"/>
  <c r="P19" i="25"/>
  <c r="M19" i="25"/>
  <c r="G19" i="25"/>
  <c r="E19" i="25"/>
  <c r="D19" i="25"/>
  <c r="N19" i="25" s="1"/>
  <c r="O19" i="25" s="1"/>
  <c r="M18" i="25"/>
  <c r="P18" i="25" s="1"/>
  <c r="G18" i="25"/>
  <c r="E18" i="25"/>
  <c r="D18" i="25"/>
  <c r="N18" i="25" s="1"/>
  <c r="O18" i="25" s="1"/>
  <c r="M17" i="25"/>
  <c r="P17" i="25" s="1"/>
  <c r="G17" i="25"/>
  <c r="E17" i="25"/>
  <c r="D17" i="25"/>
  <c r="N17" i="25" s="1"/>
  <c r="O17" i="25" s="1"/>
  <c r="M16" i="25"/>
  <c r="P16" i="25" s="1"/>
  <c r="K16" i="25"/>
  <c r="G16" i="25"/>
  <c r="E16" i="25"/>
  <c r="D16" i="25"/>
  <c r="N16" i="25" s="1"/>
  <c r="O16" i="25" s="1"/>
  <c r="M15" i="25"/>
  <c r="P15" i="25" s="1"/>
  <c r="K15" i="25"/>
  <c r="G15" i="25"/>
  <c r="E15" i="25"/>
  <c r="D15" i="25"/>
  <c r="N15" i="25" s="1"/>
  <c r="O15" i="25" s="1"/>
  <c r="M14" i="25"/>
  <c r="P14" i="25" s="1"/>
  <c r="G14" i="25"/>
  <c r="E14" i="25"/>
  <c r="D14" i="25"/>
  <c r="N14" i="25" s="1"/>
  <c r="O14" i="25" s="1"/>
  <c r="M13" i="25"/>
  <c r="P13" i="25" s="1"/>
  <c r="G13" i="25"/>
  <c r="E13" i="25"/>
  <c r="D13" i="25"/>
  <c r="N13" i="25" s="1"/>
  <c r="O13" i="25" s="1"/>
  <c r="P12" i="25"/>
  <c r="M12" i="25"/>
  <c r="G12" i="25"/>
  <c r="E12" i="25"/>
  <c r="D12" i="25"/>
  <c r="N12" i="25" s="1"/>
  <c r="O12" i="25" s="1"/>
  <c r="M11" i="25"/>
  <c r="K11" i="25"/>
  <c r="H11" i="25"/>
  <c r="G11" i="25"/>
  <c r="E11" i="25"/>
  <c r="D11" i="25"/>
  <c r="N11" i="25" s="1"/>
  <c r="M10" i="25"/>
  <c r="P10" i="25" s="1"/>
  <c r="G10" i="25"/>
  <c r="E10" i="25"/>
  <c r="D10" i="25"/>
  <c r="N10" i="25" s="1"/>
  <c r="O10" i="25" s="1"/>
  <c r="G9" i="25"/>
  <c r="E9" i="25"/>
  <c r="D9" i="25"/>
  <c r="G8" i="25"/>
  <c r="E8" i="25"/>
  <c r="D8" i="25"/>
  <c r="G7" i="25"/>
  <c r="E7" i="25"/>
  <c r="D7" i="25"/>
  <c r="N7" i="25" s="1"/>
  <c r="O7" i="25" s="1"/>
  <c r="G6" i="25"/>
  <c r="E6" i="25"/>
  <c r="D6" i="25"/>
  <c r="J6" i="25" s="1"/>
  <c r="M6" i="25" s="1"/>
  <c r="P6" i="25" s="1"/>
  <c r="G5" i="25"/>
  <c r="E5" i="25"/>
  <c r="D5" i="25"/>
  <c r="J5" i="25" s="1"/>
  <c r="M5" i="25" s="1"/>
  <c r="P5" i="25" s="1"/>
  <c r="S52" i="24"/>
  <c r="S51" i="24"/>
  <c r="F8" i="24"/>
  <c r="D8" i="24"/>
  <c r="Q46" i="24"/>
  <c r="S10" i="24"/>
  <c r="S9" i="24"/>
  <c r="S7" i="24"/>
  <c r="S6" i="24"/>
  <c r="L35" i="22"/>
  <c r="R33" i="22"/>
  <c r="L17" i="22"/>
  <c r="R15" i="22"/>
  <c r="E60" i="19"/>
  <c r="R39" i="29" s="1"/>
  <c r="R48" i="29" s="1"/>
  <c r="D60" i="19"/>
  <c r="Q39" i="29" s="1"/>
  <c r="E59" i="19"/>
  <c r="R38" i="29" s="1"/>
  <c r="R47" i="29" s="1"/>
  <c r="H8" i="29" s="1"/>
  <c r="D59" i="19"/>
  <c r="Q38" i="29" s="1"/>
  <c r="Q47" i="29" s="1"/>
  <c r="E56" i="19"/>
  <c r="R35" i="29" s="1"/>
  <c r="Q35" i="29"/>
  <c r="Q44" i="29" s="1"/>
  <c r="E54" i="19"/>
  <c r="R33" i="29" s="1"/>
  <c r="D54" i="19"/>
  <c r="Q33" i="29" s="1"/>
  <c r="E53" i="19"/>
  <c r="R21" i="29" s="1"/>
  <c r="D53" i="19"/>
  <c r="Q21" i="29" s="1"/>
  <c r="E52" i="19"/>
  <c r="R20" i="29" s="1"/>
  <c r="D52" i="19"/>
  <c r="Q20" i="29" s="1"/>
  <c r="E49" i="19"/>
  <c r="R17" i="29" s="1"/>
  <c r="E22" i="2" s="1"/>
  <c r="D49" i="19"/>
  <c r="Q17" i="29" s="1"/>
  <c r="E47" i="19"/>
  <c r="R15" i="29" s="1"/>
  <c r="E20" i="2" s="1"/>
  <c r="D47" i="19"/>
  <c r="Q15" i="29" s="1"/>
  <c r="K43" i="19"/>
  <c r="G43" i="19"/>
  <c r="E43" i="19"/>
  <c r="D43" i="19"/>
  <c r="N43" i="19" s="1"/>
  <c r="O43" i="19" s="1"/>
  <c r="G42" i="19"/>
  <c r="E42" i="19"/>
  <c r="D42" i="19"/>
  <c r="N42" i="19" s="1"/>
  <c r="O42" i="19" s="1"/>
  <c r="K41" i="19"/>
  <c r="M41" i="19"/>
  <c r="P41" i="19" s="1"/>
  <c r="G41" i="19"/>
  <c r="E41" i="19"/>
  <c r="D41" i="19"/>
  <c r="N41" i="19" s="1"/>
  <c r="O41" i="19" s="1"/>
  <c r="K40" i="19"/>
  <c r="G40" i="19"/>
  <c r="E40" i="19"/>
  <c r="D40" i="19"/>
  <c r="N40" i="19" s="1"/>
  <c r="O40" i="19" s="1"/>
  <c r="H39" i="19"/>
  <c r="G39" i="19"/>
  <c r="E39" i="19"/>
  <c r="L39" i="19" s="1"/>
  <c r="M39" i="19" s="1"/>
  <c r="P39" i="19" s="1"/>
  <c r="D39" i="19"/>
  <c r="N39" i="19" s="1"/>
  <c r="H38" i="19"/>
  <c r="G38" i="19"/>
  <c r="E38" i="19"/>
  <c r="L38" i="19" s="1"/>
  <c r="M38" i="19" s="1"/>
  <c r="P38" i="19" s="1"/>
  <c r="D38" i="19"/>
  <c r="N38" i="19" s="1"/>
  <c r="M37" i="19"/>
  <c r="H37" i="19"/>
  <c r="G37" i="19"/>
  <c r="E37" i="19"/>
  <c r="D37" i="19"/>
  <c r="N37" i="19" s="1"/>
  <c r="M36" i="19"/>
  <c r="H36" i="19"/>
  <c r="G36" i="19"/>
  <c r="E36" i="19"/>
  <c r="D36" i="19"/>
  <c r="N36" i="19" s="1"/>
  <c r="M35" i="19"/>
  <c r="H35" i="19"/>
  <c r="G35" i="19"/>
  <c r="E35" i="19"/>
  <c r="D35" i="19"/>
  <c r="N35" i="19" s="1"/>
  <c r="M34" i="19"/>
  <c r="H34" i="19"/>
  <c r="G34" i="19"/>
  <c r="E34" i="19"/>
  <c r="D34" i="19"/>
  <c r="N34" i="19" s="1"/>
  <c r="M33" i="19"/>
  <c r="H33" i="19"/>
  <c r="G33" i="19"/>
  <c r="E33" i="19"/>
  <c r="D33" i="19"/>
  <c r="N33" i="19" s="1"/>
  <c r="M32" i="19"/>
  <c r="H32" i="19"/>
  <c r="G32" i="19"/>
  <c r="E32" i="19"/>
  <c r="D32" i="19"/>
  <c r="N32" i="19" s="1"/>
  <c r="M31" i="19"/>
  <c r="P31" i="19" s="1"/>
  <c r="H31" i="19"/>
  <c r="G31" i="19"/>
  <c r="E31" i="19"/>
  <c r="D31" i="19"/>
  <c r="N31" i="19" s="1"/>
  <c r="M30" i="19"/>
  <c r="H30" i="19"/>
  <c r="G30" i="19"/>
  <c r="E30" i="19"/>
  <c r="D30" i="19"/>
  <c r="N30" i="19" s="1"/>
  <c r="M29" i="19"/>
  <c r="H29" i="19"/>
  <c r="G29" i="19"/>
  <c r="E29" i="19"/>
  <c r="D29" i="19"/>
  <c r="N29" i="19" s="1"/>
  <c r="M28" i="19"/>
  <c r="H28" i="19"/>
  <c r="G28" i="19"/>
  <c r="E28" i="19"/>
  <c r="D28" i="19"/>
  <c r="N28" i="19" s="1"/>
  <c r="M27" i="19"/>
  <c r="P27" i="19" s="1"/>
  <c r="H27" i="19"/>
  <c r="G27" i="19"/>
  <c r="E27" i="19"/>
  <c r="D27" i="19"/>
  <c r="N27" i="19" s="1"/>
  <c r="M26" i="19"/>
  <c r="H26" i="19"/>
  <c r="G26" i="19"/>
  <c r="E26" i="19"/>
  <c r="D26" i="19"/>
  <c r="N26" i="19" s="1"/>
  <c r="M25" i="19"/>
  <c r="H25" i="19"/>
  <c r="G25" i="19"/>
  <c r="E25" i="19"/>
  <c r="D25" i="19"/>
  <c r="N25" i="19" s="1"/>
  <c r="M24" i="19"/>
  <c r="H24" i="19"/>
  <c r="G24" i="19"/>
  <c r="E24" i="19"/>
  <c r="D24" i="19"/>
  <c r="N24" i="19" s="1"/>
  <c r="M23" i="19"/>
  <c r="P23" i="19" s="1"/>
  <c r="H23" i="19"/>
  <c r="G23" i="19"/>
  <c r="E23" i="19"/>
  <c r="D23" i="19"/>
  <c r="N23" i="19" s="1"/>
  <c r="M22" i="19"/>
  <c r="H22" i="19"/>
  <c r="G22" i="19"/>
  <c r="E22" i="19"/>
  <c r="D22" i="19"/>
  <c r="N22" i="19" s="1"/>
  <c r="M21" i="19"/>
  <c r="H21" i="19"/>
  <c r="G21" i="19"/>
  <c r="E21" i="19"/>
  <c r="D21" i="19"/>
  <c r="N21" i="19" s="1"/>
  <c r="M20" i="19"/>
  <c r="H20" i="19"/>
  <c r="G20" i="19"/>
  <c r="E20" i="19"/>
  <c r="D20" i="19"/>
  <c r="N20" i="19" s="1"/>
  <c r="M19" i="19"/>
  <c r="P19" i="19" s="1"/>
  <c r="H19" i="19"/>
  <c r="G19" i="19"/>
  <c r="E19" i="19"/>
  <c r="D19" i="19"/>
  <c r="N19" i="19" s="1"/>
  <c r="M18" i="19"/>
  <c r="H18" i="19"/>
  <c r="G18" i="19"/>
  <c r="E18" i="19"/>
  <c r="D18" i="19"/>
  <c r="N18" i="19" s="1"/>
  <c r="M17" i="19"/>
  <c r="H17" i="19"/>
  <c r="G17" i="19"/>
  <c r="E17" i="19"/>
  <c r="D17" i="19"/>
  <c r="N17" i="19" s="1"/>
  <c r="M16" i="19"/>
  <c r="H16" i="19"/>
  <c r="G16" i="19"/>
  <c r="E16" i="19"/>
  <c r="D16" i="19"/>
  <c r="N16" i="19" s="1"/>
  <c r="N15" i="19"/>
  <c r="M15" i="19"/>
  <c r="H15" i="19"/>
  <c r="G15" i="19"/>
  <c r="E15" i="19"/>
  <c r="D15" i="19"/>
  <c r="M14" i="19"/>
  <c r="H14" i="19"/>
  <c r="G14" i="19"/>
  <c r="E14" i="19"/>
  <c r="D14" i="19"/>
  <c r="N14" i="19" s="1"/>
  <c r="M13" i="19"/>
  <c r="H13" i="19"/>
  <c r="G13" i="19"/>
  <c r="E13" i="19"/>
  <c r="D13" i="19"/>
  <c r="N13" i="19" s="1"/>
  <c r="M12" i="19"/>
  <c r="P12" i="19" s="1"/>
  <c r="H12" i="19"/>
  <c r="G12" i="19"/>
  <c r="E12" i="19"/>
  <c r="D12" i="19"/>
  <c r="N12" i="19" s="1"/>
  <c r="M11" i="19"/>
  <c r="H11" i="19"/>
  <c r="G11" i="19"/>
  <c r="E11" i="19"/>
  <c r="D11" i="19"/>
  <c r="N11" i="19" s="1"/>
  <c r="M10" i="19"/>
  <c r="H10" i="19"/>
  <c r="G10" i="19"/>
  <c r="E10" i="19"/>
  <c r="D10" i="19"/>
  <c r="N10" i="19" s="1"/>
  <c r="M9" i="19"/>
  <c r="H9" i="19"/>
  <c r="G9" i="19"/>
  <c r="E9" i="19"/>
  <c r="D9" i="19"/>
  <c r="N9" i="19" s="1"/>
  <c r="M8" i="19"/>
  <c r="P8" i="19" s="1"/>
  <c r="H8" i="19"/>
  <c r="G8" i="19"/>
  <c r="E8" i="19"/>
  <c r="D8" i="19"/>
  <c r="N8" i="19" s="1"/>
  <c r="M7" i="19"/>
  <c r="H7" i="19"/>
  <c r="G7" i="19"/>
  <c r="E7" i="19"/>
  <c r="D7" i="19"/>
  <c r="N7" i="19" s="1"/>
  <c r="M6" i="19"/>
  <c r="H6" i="19"/>
  <c r="G6" i="19"/>
  <c r="E6" i="19"/>
  <c r="D6" i="19"/>
  <c r="N6" i="19" s="1"/>
  <c r="M5" i="19"/>
  <c r="H5" i="19"/>
  <c r="G5" i="19"/>
  <c r="E5" i="19"/>
  <c r="D5" i="19"/>
  <c r="N5" i="19" s="1"/>
  <c r="L35" i="16"/>
  <c r="R33" i="16"/>
  <c r="R15" i="16"/>
  <c r="L17" i="16" s="1"/>
  <c r="B643" i="15"/>
  <c r="O637" i="15"/>
  <c r="N637" i="15"/>
  <c r="J637" i="15"/>
  <c r="I637" i="15"/>
  <c r="C637" i="15"/>
  <c r="B637" i="15"/>
  <c r="M637" i="15" s="1"/>
  <c r="O636" i="15"/>
  <c r="N636" i="15"/>
  <c r="M636" i="15"/>
  <c r="P636" i="15" s="1"/>
  <c r="J636" i="15"/>
  <c r="I636" i="15"/>
  <c r="C636" i="15"/>
  <c r="B636" i="15"/>
  <c r="O635" i="15"/>
  <c r="J635" i="15"/>
  <c r="I635" i="15"/>
  <c r="N635" i="15" s="1"/>
  <c r="C635" i="15"/>
  <c r="B635" i="15"/>
  <c r="O634" i="15"/>
  <c r="J634" i="15"/>
  <c r="I634" i="15"/>
  <c r="N634" i="15" s="1"/>
  <c r="C634" i="15"/>
  <c r="B634" i="15"/>
  <c r="M634" i="15" s="1"/>
  <c r="P634" i="15" s="1"/>
  <c r="O633" i="15"/>
  <c r="N633" i="15"/>
  <c r="M633" i="15"/>
  <c r="P633" i="15" s="1"/>
  <c r="J633" i="15"/>
  <c r="I633" i="15"/>
  <c r="C633" i="15"/>
  <c r="B633" i="15"/>
  <c r="P632" i="15"/>
  <c r="O632" i="15"/>
  <c r="N632" i="15"/>
  <c r="M632" i="15"/>
  <c r="J632" i="15"/>
  <c r="I632" i="15"/>
  <c r="C632" i="15"/>
  <c r="B632" i="15"/>
  <c r="O631" i="15"/>
  <c r="J631" i="15"/>
  <c r="I631" i="15"/>
  <c r="N631" i="15" s="1"/>
  <c r="C631" i="15"/>
  <c r="B631" i="15"/>
  <c r="O630" i="15"/>
  <c r="J630" i="15"/>
  <c r="I630" i="15"/>
  <c r="N630" i="15" s="1"/>
  <c r="C630" i="15"/>
  <c r="B630" i="15"/>
  <c r="M630" i="15" s="1"/>
  <c r="P630" i="15" s="1"/>
  <c r="O629" i="15"/>
  <c r="N629" i="15"/>
  <c r="M629" i="15"/>
  <c r="J629" i="15"/>
  <c r="I629" i="15"/>
  <c r="C629" i="15"/>
  <c r="B629" i="15"/>
  <c r="O628" i="15"/>
  <c r="N628" i="15"/>
  <c r="M628" i="15"/>
  <c r="P628" i="15" s="1"/>
  <c r="J628" i="15"/>
  <c r="I628" i="15"/>
  <c r="C628" i="15"/>
  <c r="B628" i="15"/>
  <c r="O627" i="15"/>
  <c r="J627" i="15"/>
  <c r="I627" i="15"/>
  <c r="N627" i="15" s="1"/>
  <c r="C627" i="15"/>
  <c r="B627" i="15"/>
  <c r="O626" i="15"/>
  <c r="J626" i="15"/>
  <c r="I626" i="15"/>
  <c r="N626" i="15" s="1"/>
  <c r="C626" i="15"/>
  <c r="B626" i="15"/>
  <c r="M626" i="15" s="1"/>
  <c r="O625" i="15"/>
  <c r="N625" i="15"/>
  <c r="M625" i="15"/>
  <c r="J625" i="15"/>
  <c r="I625" i="15"/>
  <c r="C625" i="15"/>
  <c r="B625" i="15"/>
  <c r="O624" i="15"/>
  <c r="N624" i="15"/>
  <c r="M624" i="15"/>
  <c r="P624" i="15" s="1"/>
  <c r="J624" i="15"/>
  <c r="I624" i="15"/>
  <c r="C624" i="15"/>
  <c r="B624" i="15"/>
  <c r="O623" i="15"/>
  <c r="J623" i="15"/>
  <c r="I623" i="15"/>
  <c r="N623" i="15" s="1"/>
  <c r="C623" i="15"/>
  <c r="B623" i="15"/>
  <c r="O622" i="15"/>
  <c r="J622" i="15"/>
  <c r="I622" i="15"/>
  <c r="N622" i="15" s="1"/>
  <c r="C622" i="15"/>
  <c r="B622" i="15"/>
  <c r="M622" i="15" s="1"/>
  <c r="P622" i="15" s="1"/>
  <c r="O621" i="15"/>
  <c r="N621" i="15"/>
  <c r="M621" i="15"/>
  <c r="J621" i="15"/>
  <c r="I621" i="15"/>
  <c r="C621" i="15"/>
  <c r="B621" i="15"/>
  <c r="P620" i="15"/>
  <c r="O620" i="15"/>
  <c r="N620" i="15"/>
  <c r="M620" i="15"/>
  <c r="J620" i="15"/>
  <c r="I620" i="15"/>
  <c r="C620" i="15"/>
  <c r="B620" i="15"/>
  <c r="O619" i="15"/>
  <c r="J619" i="15"/>
  <c r="I619" i="15"/>
  <c r="N619" i="15" s="1"/>
  <c r="C619" i="15"/>
  <c r="B619" i="15"/>
  <c r="O618" i="15"/>
  <c r="J618" i="15"/>
  <c r="I618" i="15"/>
  <c r="N618" i="15" s="1"/>
  <c r="C618" i="15"/>
  <c r="B618" i="15"/>
  <c r="M618" i="15" s="1"/>
  <c r="O617" i="15"/>
  <c r="N617" i="15"/>
  <c r="M617" i="15"/>
  <c r="J617" i="15"/>
  <c r="I617" i="15"/>
  <c r="C617" i="15"/>
  <c r="B617" i="15"/>
  <c r="O616" i="15"/>
  <c r="N616" i="15"/>
  <c r="M616" i="15"/>
  <c r="P616" i="15" s="1"/>
  <c r="J616" i="15"/>
  <c r="I616" i="15"/>
  <c r="C616" i="15"/>
  <c r="B616" i="15"/>
  <c r="O615" i="15"/>
  <c r="J615" i="15"/>
  <c r="I615" i="15"/>
  <c r="N615" i="15" s="1"/>
  <c r="C615" i="15"/>
  <c r="B615" i="15"/>
  <c r="O614" i="15"/>
  <c r="J614" i="15"/>
  <c r="I614" i="15"/>
  <c r="N614" i="15" s="1"/>
  <c r="C614" i="15"/>
  <c r="B614" i="15"/>
  <c r="M614" i="15" s="1"/>
  <c r="O613" i="15"/>
  <c r="N613" i="15"/>
  <c r="M613" i="15"/>
  <c r="P613" i="15" s="1"/>
  <c r="J613" i="15"/>
  <c r="I613" i="15"/>
  <c r="C613" i="15"/>
  <c r="B613" i="15"/>
  <c r="O612" i="15"/>
  <c r="N612" i="15"/>
  <c r="M612" i="15"/>
  <c r="P612" i="15" s="1"/>
  <c r="J612" i="15"/>
  <c r="I612" i="15"/>
  <c r="C612" i="15"/>
  <c r="B612" i="15"/>
  <c r="O611" i="15"/>
  <c r="J611" i="15"/>
  <c r="I611" i="15"/>
  <c r="N611" i="15" s="1"/>
  <c r="C611" i="15"/>
  <c r="B611" i="15"/>
  <c r="O610" i="15"/>
  <c r="J610" i="15"/>
  <c r="I610" i="15"/>
  <c r="N610" i="15" s="1"/>
  <c r="C610" i="15"/>
  <c r="B610" i="15"/>
  <c r="M610" i="15" s="1"/>
  <c r="P610" i="15" s="1"/>
  <c r="O609" i="15"/>
  <c r="N609" i="15"/>
  <c r="M609" i="15"/>
  <c r="P609" i="15" s="1"/>
  <c r="J609" i="15"/>
  <c r="I609" i="15"/>
  <c r="C609" i="15"/>
  <c r="B609" i="15"/>
  <c r="P608" i="15"/>
  <c r="O608" i="15"/>
  <c r="N608" i="15"/>
  <c r="M608" i="15"/>
  <c r="J608" i="15"/>
  <c r="I608" i="15"/>
  <c r="C608" i="15"/>
  <c r="B608" i="15"/>
  <c r="O607" i="15"/>
  <c r="J607" i="15"/>
  <c r="I607" i="15"/>
  <c r="N607" i="15" s="1"/>
  <c r="C607" i="15"/>
  <c r="B607" i="15"/>
  <c r="O606" i="15"/>
  <c r="J606" i="15"/>
  <c r="I606" i="15"/>
  <c r="N606" i="15" s="1"/>
  <c r="C606" i="15"/>
  <c r="B606" i="15"/>
  <c r="M606" i="15" s="1"/>
  <c r="O605" i="15"/>
  <c r="N605" i="15"/>
  <c r="M605" i="15"/>
  <c r="P605" i="15" s="1"/>
  <c r="J605" i="15"/>
  <c r="I605" i="15"/>
  <c r="C605" i="15"/>
  <c r="B605" i="15"/>
  <c r="O604" i="15"/>
  <c r="N604" i="15"/>
  <c r="M604" i="15"/>
  <c r="P604" i="15" s="1"/>
  <c r="J604" i="15"/>
  <c r="I604" i="15"/>
  <c r="C604" i="15"/>
  <c r="B604" i="15"/>
  <c r="O603" i="15"/>
  <c r="J603" i="15"/>
  <c r="I603" i="15"/>
  <c r="N603" i="15" s="1"/>
  <c r="C603" i="15"/>
  <c r="B603" i="15"/>
  <c r="O602" i="15"/>
  <c r="J602" i="15"/>
  <c r="I602" i="15"/>
  <c r="N602" i="15" s="1"/>
  <c r="C602" i="15"/>
  <c r="B602" i="15"/>
  <c r="M602" i="15" s="1"/>
  <c r="P602" i="15" s="1"/>
  <c r="O601" i="15"/>
  <c r="N601" i="15"/>
  <c r="M601" i="15"/>
  <c r="P601" i="15" s="1"/>
  <c r="J601" i="15"/>
  <c r="I601" i="15"/>
  <c r="C601" i="15"/>
  <c r="B601" i="15"/>
  <c r="O600" i="15"/>
  <c r="N600" i="15"/>
  <c r="M600" i="15"/>
  <c r="P600" i="15" s="1"/>
  <c r="J600" i="15"/>
  <c r="I600" i="15"/>
  <c r="C600" i="15"/>
  <c r="B600" i="15"/>
  <c r="O599" i="15"/>
  <c r="J599" i="15"/>
  <c r="I599" i="15"/>
  <c r="N599" i="15" s="1"/>
  <c r="C599" i="15"/>
  <c r="B599" i="15"/>
  <c r="O598" i="15"/>
  <c r="J598" i="15"/>
  <c r="I598" i="15"/>
  <c r="N598" i="15" s="1"/>
  <c r="C598" i="15"/>
  <c r="B598" i="15"/>
  <c r="M598" i="15" s="1"/>
  <c r="P598" i="15" s="1"/>
  <c r="O597" i="15"/>
  <c r="N597" i="15"/>
  <c r="M597" i="15"/>
  <c r="P597" i="15" s="1"/>
  <c r="J597" i="15"/>
  <c r="I597" i="15"/>
  <c r="C597" i="15"/>
  <c r="B597" i="15"/>
  <c r="P596" i="15"/>
  <c r="O596" i="15"/>
  <c r="N596" i="15"/>
  <c r="M596" i="15"/>
  <c r="J596" i="15"/>
  <c r="I596" i="15"/>
  <c r="C596" i="15"/>
  <c r="B596" i="15"/>
  <c r="O595" i="15"/>
  <c r="J595" i="15"/>
  <c r="I595" i="15"/>
  <c r="N595" i="15" s="1"/>
  <c r="C595" i="15"/>
  <c r="B595" i="15"/>
  <c r="O594" i="15"/>
  <c r="J594" i="15"/>
  <c r="I594" i="15"/>
  <c r="N594" i="15" s="1"/>
  <c r="C594" i="15"/>
  <c r="B594" i="15"/>
  <c r="M594" i="15" s="1"/>
  <c r="P594" i="15" s="1"/>
  <c r="O593" i="15"/>
  <c r="N593" i="15"/>
  <c r="M593" i="15"/>
  <c r="J593" i="15"/>
  <c r="I593" i="15"/>
  <c r="C593" i="15"/>
  <c r="B593" i="15"/>
  <c r="O592" i="15"/>
  <c r="N592" i="15"/>
  <c r="M592" i="15"/>
  <c r="J592" i="15"/>
  <c r="I592" i="15"/>
  <c r="C592" i="15"/>
  <c r="B592" i="15"/>
  <c r="O591" i="15"/>
  <c r="J591" i="15"/>
  <c r="I591" i="15"/>
  <c r="N591" i="15" s="1"/>
  <c r="C591" i="15"/>
  <c r="B591" i="15"/>
  <c r="O590" i="15"/>
  <c r="J590" i="15"/>
  <c r="I590" i="15"/>
  <c r="N590" i="15" s="1"/>
  <c r="C590" i="15"/>
  <c r="B590" i="15"/>
  <c r="M590" i="15" s="1"/>
  <c r="P590" i="15" s="1"/>
  <c r="O589" i="15"/>
  <c r="N589" i="15"/>
  <c r="M589" i="15"/>
  <c r="P589" i="15" s="1"/>
  <c r="J589" i="15"/>
  <c r="I589" i="15"/>
  <c r="C589" i="15"/>
  <c r="B589" i="15"/>
  <c r="O588" i="15"/>
  <c r="N588" i="15"/>
  <c r="M588" i="15"/>
  <c r="P588" i="15" s="1"/>
  <c r="J588" i="15"/>
  <c r="I588" i="15"/>
  <c r="C588" i="15"/>
  <c r="B588" i="15"/>
  <c r="O587" i="15"/>
  <c r="J587" i="15"/>
  <c r="I587" i="15"/>
  <c r="N587" i="15" s="1"/>
  <c r="C587" i="15"/>
  <c r="B587" i="15"/>
  <c r="O586" i="15"/>
  <c r="J586" i="15"/>
  <c r="I586" i="15"/>
  <c r="N586" i="15" s="1"/>
  <c r="C586" i="15"/>
  <c r="B586" i="15"/>
  <c r="M586" i="15" s="1"/>
  <c r="P586" i="15" s="1"/>
  <c r="O585" i="15"/>
  <c r="N585" i="15"/>
  <c r="M585" i="15"/>
  <c r="P585" i="15" s="1"/>
  <c r="J585" i="15"/>
  <c r="I585" i="15"/>
  <c r="C585" i="15"/>
  <c r="B585" i="15"/>
  <c r="P584" i="15"/>
  <c r="O584" i="15"/>
  <c r="N584" i="15"/>
  <c r="M584" i="15"/>
  <c r="J584" i="15"/>
  <c r="I584" i="15"/>
  <c r="C584" i="15"/>
  <c r="B584" i="15"/>
  <c r="O583" i="15"/>
  <c r="J583" i="15"/>
  <c r="I583" i="15"/>
  <c r="N583" i="15" s="1"/>
  <c r="C583" i="15"/>
  <c r="B583" i="15"/>
  <c r="O582" i="15"/>
  <c r="J582" i="15"/>
  <c r="I582" i="15"/>
  <c r="N582" i="15" s="1"/>
  <c r="C582" i="15"/>
  <c r="B582" i="15"/>
  <c r="M582" i="15" s="1"/>
  <c r="O581" i="15"/>
  <c r="N581" i="15"/>
  <c r="M581" i="15"/>
  <c r="P581" i="15" s="1"/>
  <c r="J581" i="15"/>
  <c r="I581" i="15"/>
  <c r="C581" i="15"/>
  <c r="B581" i="15"/>
  <c r="O580" i="15"/>
  <c r="N580" i="15"/>
  <c r="M580" i="15"/>
  <c r="P580" i="15" s="1"/>
  <c r="J580" i="15"/>
  <c r="I580" i="15"/>
  <c r="C580" i="15"/>
  <c r="B580" i="15"/>
  <c r="O579" i="15"/>
  <c r="J579" i="15"/>
  <c r="I579" i="15"/>
  <c r="N579" i="15" s="1"/>
  <c r="C579" i="15"/>
  <c r="B579" i="15"/>
  <c r="O578" i="15"/>
  <c r="J578" i="15"/>
  <c r="I578" i="15"/>
  <c r="N578" i="15" s="1"/>
  <c r="C578" i="15"/>
  <c r="B578" i="15"/>
  <c r="M578" i="15" s="1"/>
  <c r="P578" i="15" s="1"/>
  <c r="O577" i="15"/>
  <c r="N577" i="15"/>
  <c r="M577" i="15"/>
  <c r="J577" i="15"/>
  <c r="I577" i="15"/>
  <c r="C577" i="15"/>
  <c r="B577" i="15"/>
  <c r="O576" i="15"/>
  <c r="N576" i="15"/>
  <c r="M576" i="15"/>
  <c r="P576" i="15" s="1"/>
  <c r="J576" i="15"/>
  <c r="I576" i="15"/>
  <c r="C576" i="15"/>
  <c r="B576" i="15"/>
  <c r="O575" i="15"/>
  <c r="J575" i="15"/>
  <c r="I575" i="15"/>
  <c r="N575" i="15" s="1"/>
  <c r="C575" i="15"/>
  <c r="B575" i="15"/>
  <c r="O574" i="15"/>
  <c r="J574" i="15"/>
  <c r="I574" i="15"/>
  <c r="N574" i="15" s="1"/>
  <c r="C574" i="15"/>
  <c r="B574" i="15"/>
  <c r="O573" i="15"/>
  <c r="N573" i="15"/>
  <c r="M573" i="15"/>
  <c r="J573" i="15"/>
  <c r="I573" i="15"/>
  <c r="C573" i="15"/>
  <c r="B573" i="15"/>
  <c r="P572" i="15"/>
  <c r="O572" i="15"/>
  <c r="N572" i="15"/>
  <c r="M572" i="15"/>
  <c r="J572" i="15"/>
  <c r="I572" i="15"/>
  <c r="C572" i="15"/>
  <c r="B572" i="15"/>
  <c r="P571" i="15"/>
  <c r="O571" i="15"/>
  <c r="M571" i="15"/>
  <c r="J571" i="15"/>
  <c r="I571" i="15"/>
  <c r="N571" i="15" s="1"/>
  <c r="C571" i="15"/>
  <c r="B571" i="15"/>
  <c r="O570" i="15"/>
  <c r="J570" i="15"/>
  <c r="I570" i="15"/>
  <c r="N570" i="15" s="1"/>
  <c r="C570" i="15"/>
  <c r="B570" i="15"/>
  <c r="O569" i="15"/>
  <c r="M569" i="15"/>
  <c r="J569" i="15"/>
  <c r="I569" i="15"/>
  <c r="N569" i="15" s="1"/>
  <c r="C569" i="15"/>
  <c r="B569" i="15"/>
  <c r="O568" i="15"/>
  <c r="N568" i="15"/>
  <c r="M568" i="15"/>
  <c r="J568" i="15"/>
  <c r="I568" i="15"/>
  <c r="C568" i="15"/>
  <c r="B568" i="15"/>
  <c r="O567" i="15"/>
  <c r="J567" i="15"/>
  <c r="I567" i="15"/>
  <c r="N567" i="15" s="1"/>
  <c r="C567" i="15"/>
  <c r="B567" i="15"/>
  <c r="O566" i="15"/>
  <c r="J566" i="15"/>
  <c r="I566" i="15"/>
  <c r="N566" i="15" s="1"/>
  <c r="C566" i="15"/>
  <c r="B566" i="15"/>
  <c r="O565" i="15"/>
  <c r="M565" i="15"/>
  <c r="J565" i="15"/>
  <c r="I565" i="15"/>
  <c r="N565" i="15" s="1"/>
  <c r="C565" i="15"/>
  <c r="B565" i="15"/>
  <c r="O564" i="15"/>
  <c r="N564" i="15"/>
  <c r="M564" i="15"/>
  <c r="P564" i="15" s="1"/>
  <c r="J564" i="15"/>
  <c r="I564" i="15"/>
  <c r="C564" i="15"/>
  <c r="B564" i="15"/>
  <c r="O563" i="15"/>
  <c r="M563" i="15"/>
  <c r="J563" i="15"/>
  <c r="I563" i="15"/>
  <c r="N563" i="15" s="1"/>
  <c r="C563" i="15"/>
  <c r="B563" i="15"/>
  <c r="O562" i="15"/>
  <c r="J562" i="15"/>
  <c r="I562" i="15"/>
  <c r="N562" i="15" s="1"/>
  <c r="C562" i="15"/>
  <c r="B562" i="15"/>
  <c r="M562" i="15" s="1"/>
  <c r="O561" i="15"/>
  <c r="M561" i="15"/>
  <c r="J561" i="15"/>
  <c r="I561" i="15"/>
  <c r="N561" i="15" s="1"/>
  <c r="C561" i="15"/>
  <c r="B561" i="15"/>
  <c r="O560" i="15"/>
  <c r="N560" i="15"/>
  <c r="M560" i="15"/>
  <c r="P560" i="15" s="1"/>
  <c r="J560" i="15"/>
  <c r="I560" i="15"/>
  <c r="C560" i="15"/>
  <c r="B560" i="15"/>
  <c r="O559" i="15"/>
  <c r="M559" i="15"/>
  <c r="J559" i="15"/>
  <c r="I559" i="15"/>
  <c r="N559" i="15" s="1"/>
  <c r="C559" i="15"/>
  <c r="B559" i="15"/>
  <c r="O558" i="15"/>
  <c r="J558" i="15"/>
  <c r="I558" i="15"/>
  <c r="N558" i="15" s="1"/>
  <c r="C558" i="15"/>
  <c r="B558" i="15"/>
  <c r="M558" i="15" s="1"/>
  <c r="O557" i="15"/>
  <c r="M557" i="15"/>
  <c r="J557" i="15"/>
  <c r="I557" i="15"/>
  <c r="N557" i="15" s="1"/>
  <c r="C557" i="15"/>
  <c r="B557" i="15"/>
  <c r="O556" i="15"/>
  <c r="N556" i="15"/>
  <c r="M556" i="15"/>
  <c r="J556" i="15"/>
  <c r="I556" i="15"/>
  <c r="C556" i="15"/>
  <c r="B556" i="15"/>
  <c r="O555" i="15"/>
  <c r="M555" i="15"/>
  <c r="J555" i="15"/>
  <c r="I555" i="15"/>
  <c r="N555" i="15" s="1"/>
  <c r="C555" i="15"/>
  <c r="B555" i="15"/>
  <c r="O554" i="15"/>
  <c r="J554" i="15"/>
  <c r="I554" i="15"/>
  <c r="N554" i="15" s="1"/>
  <c r="C554" i="15"/>
  <c r="B554" i="15"/>
  <c r="M554" i="15" s="1"/>
  <c r="O553" i="15"/>
  <c r="M553" i="15"/>
  <c r="J553" i="15"/>
  <c r="I553" i="15"/>
  <c r="N553" i="15" s="1"/>
  <c r="C553" i="15"/>
  <c r="B553" i="15"/>
  <c r="O552" i="15"/>
  <c r="N552" i="15"/>
  <c r="M552" i="15"/>
  <c r="J552" i="15"/>
  <c r="I552" i="15"/>
  <c r="C552" i="15"/>
  <c r="B552" i="15"/>
  <c r="O551" i="15"/>
  <c r="M551" i="15"/>
  <c r="P551" i="15" s="1"/>
  <c r="J551" i="15"/>
  <c r="I551" i="15"/>
  <c r="N551" i="15" s="1"/>
  <c r="C551" i="15"/>
  <c r="B551" i="15"/>
  <c r="O550" i="15"/>
  <c r="J550" i="15"/>
  <c r="I550" i="15"/>
  <c r="N550" i="15" s="1"/>
  <c r="C550" i="15"/>
  <c r="B550" i="15"/>
  <c r="M550" i="15" s="1"/>
  <c r="O549" i="15"/>
  <c r="M549" i="15"/>
  <c r="J549" i="15"/>
  <c r="I549" i="15"/>
  <c r="N549" i="15" s="1"/>
  <c r="C549" i="15"/>
  <c r="B549" i="15"/>
  <c r="O548" i="15"/>
  <c r="N548" i="15"/>
  <c r="M548" i="15"/>
  <c r="J548" i="15"/>
  <c r="I548" i="15"/>
  <c r="C548" i="15"/>
  <c r="B548" i="15"/>
  <c r="O547" i="15"/>
  <c r="M547" i="15"/>
  <c r="J547" i="15"/>
  <c r="I547" i="15"/>
  <c r="N547" i="15" s="1"/>
  <c r="C547" i="15"/>
  <c r="B547" i="15"/>
  <c r="O546" i="15"/>
  <c r="J546" i="15"/>
  <c r="I546" i="15"/>
  <c r="N546" i="15" s="1"/>
  <c r="C546" i="15"/>
  <c r="B546" i="15"/>
  <c r="M546" i="15" s="1"/>
  <c r="O545" i="15"/>
  <c r="M545" i="15"/>
  <c r="J545" i="15"/>
  <c r="I545" i="15"/>
  <c r="N545" i="15" s="1"/>
  <c r="C545" i="15"/>
  <c r="B545" i="15"/>
  <c r="O544" i="15"/>
  <c r="N544" i="15"/>
  <c r="M544" i="15"/>
  <c r="P544" i="15" s="1"/>
  <c r="J544" i="15"/>
  <c r="I544" i="15"/>
  <c r="C544" i="15"/>
  <c r="B544" i="15"/>
  <c r="O543" i="15"/>
  <c r="M543" i="15"/>
  <c r="J543" i="15"/>
  <c r="I543" i="15"/>
  <c r="N543" i="15" s="1"/>
  <c r="C543" i="15"/>
  <c r="B543" i="15"/>
  <c r="O542" i="15"/>
  <c r="J542" i="15"/>
  <c r="I542" i="15"/>
  <c r="N542" i="15" s="1"/>
  <c r="C542" i="15"/>
  <c r="B542" i="15"/>
  <c r="M542" i="15" s="1"/>
  <c r="O541" i="15"/>
  <c r="M541" i="15"/>
  <c r="J541" i="15"/>
  <c r="I541" i="15"/>
  <c r="N541" i="15" s="1"/>
  <c r="C541" i="15"/>
  <c r="B541" i="15"/>
  <c r="O540" i="15"/>
  <c r="N540" i="15"/>
  <c r="M540" i="15"/>
  <c r="J540" i="15"/>
  <c r="I540" i="15"/>
  <c r="C540" i="15"/>
  <c r="B540" i="15"/>
  <c r="O539" i="15"/>
  <c r="M539" i="15"/>
  <c r="P539" i="15" s="1"/>
  <c r="J539" i="15"/>
  <c r="I539" i="15"/>
  <c r="N539" i="15" s="1"/>
  <c r="C539" i="15"/>
  <c r="B539" i="15"/>
  <c r="O538" i="15"/>
  <c r="J538" i="15"/>
  <c r="I538" i="15"/>
  <c r="N538" i="15" s="1"/>
  <c r="C538" i="15"/>
  <c r="B538" i="15"/>
  <c r="M538" i="15" s="1"/>
  <c r="O537" i="15"/>
  <c r="M537" i="15"/>
  <c r="J537" i="15"/>
  <c r="I537" i="15"/>
  <c r="N537" i="15" s="1"/>
  <c r="C537" i="15"/>
  <c r="B537" i="15"/>
  <c r="O536" i="15"/>
  <c r="N536" i="15"/>
  <c r="M536" i="15"/>
  <c r="J536" i="15"/>
  <c r="I536" i="15"/>
  <c r="C536" i="15"/>
  <c r="B536" i="15"/>
  <c r="O535" i="15"/>
  <c r="M535" i="15"/>
  <c r="P535" i="15" s="1"/>
  <c r="J535" i="15"/>
  <c r="I535" i="15"/>
  <c r="N535" i="15" s="1"/>
  <c r="C535" i="15"/>
  <c r="B535" i="15"/>
  <c r="O534" i="15"/>
  <c r="J534" i="15"/>
  <c r="I534" i="15"/>
  <c r="N534" i="15" s="1"/>
  <c r="C534" i="15"/>
  <c r="B534" i="15"/>
  <c r="M534" i="15" s="1"/>
  <c r="O533" i="15"/>
  <c r="M533" i="15"/>
  <c r="J533" i="15"/>
  <c r="I533" i="15"/>
  <c r="N533" i="15" s="1"/>
  <c r="C533" i="15"/>
  <c r="B533" i="15"/>
  <c r="O532" i="15"/>
  <c r="N532" i="15"/>
  <c r="M532" i="15"/>
  <c r="P532" i="15" s="1"/>
  <c r="J532" i="15"/>
  <c r="I532" i="15"/>
  <c r="C532" i="15"/>
  <c r="B532" i="15"/>
  <c r="O531" i="15"/>
  <c r="M531" i="15"/>
  <c r="J531" i="15"/>
  <c r="I531" i="15"/>
  <c r="N531" i="15" s="1"/>
  <c r="C531" i="15"/>
  <c r="B531" i="15"/>
  <c r="O530" i="15"/>
  <c r="J530" i="15"/>
  <c r="I530" i="15"/>
  <c r="N530" i="15" s="1"/>
  <c r="C530" i="15"/>
  <c r="B530" i="15"/>
  <c r="M530" i="15" s="1"/>
  <c r="O529" i="15"/>
  <c r="M529" i="15"/>
  <c r="J529" i="15"/>
  <c r="I529" i="15"/>
  <c r="N529" i="15" s="1"/>
  <c r="C529" i="15"/>
  <c r="B529" i="15"/>
  <c r="O528" i="15"/>
  <c r="N528" i="15"/>
  <c r="M528" i="15"/>
  <c r="P528" i="15" s="1"/>
  <c r="J528" i="15"/>
  <c r="I528" i="15"/>
  <c r="C528" i="15"/>
  <c r="B528" i="15"/>
  <c r="O527" i="15"/>
  <c r="M527" i="15"/>
  <c r="J527" i="15"/>
  <c r="I527" i="15"/>
  <c r="N527" i="15" s="1"/>
  <c r="C527" i="15"/>
  <c r="B527" i="15"/>
  <c r="O526" i="15"/>
  <c r="J526" i="15"/>
  <c r="I526" i="15"/>
  <c r="N526" i="15" s="1"/>
  <c r="P526" i="15" s="1"/>
  <c r="C526" i="15"/>
  <c r="B526" i="15"/>
  <c r="M526" i="15" s="1"/>
  <c r="O525" i="15"/>
  <c r="N525" i="15"/>
  <c r="M525" i="15"/>
  <c r="P525" i="15" s="1"/>
  <c r="J525" i="15"/>
  <c r="I525" i="15"/>
  <c r="C525" i="15"/>
  <c r="B525" i="15"/>
  <c r="O524" i="15"/>
  <c r="N524" i="15"/>
  <c r="J524" i="15"/>
  <c r="I524" i="15"/>
  <c r="C524" i="15"/>
  <c r="B524" i="15"/>
  <c r="O523" i="15"/>
  <c r="J523" i="15"/>
  <c r="I523" i="15"/>
  <c r="N523" i="15" s="1"/>
  <c r="C523" i="15"/>
  <c r="B523" i="15"/>
  <c r="M523" i="15" s="1"/>
  <c r="O522" i="15"/>
  <c r="M522" i="15"/>
  <c r="J522" i="15"/>
  <c r="I522" i="15"/>
  <c r="N522" i="15" s="1"/>
  <c r="P522" i="15" s="1"/>
  <c r="C522" i="15"/>
  <c r="B522" i="15"/>
  <c r="O521" i="15"/>
  <c r="N521" i="15"/>
  <c r="M521" i="15"/>
  <c r="J521" i="15"/>
  <c r="I521" i="15"/>
  <c r="C521" i="15"/>
  <c r="B521" i="15"/>
  <c r="O520" i="15"/>
  <c r="N520" i="15"/>
  <c r="J520" i="15"/>
  <c r="I520" i="15"/>
  <c r="C520" i="15"/>
  <c r="B520" i="15"/>
  <c r="O519" i="15"/>
  <c r="J519" i="15"/>
  <c r="I519" i="15"/>
  <c r="N519" i="15" s="1"/>
  <c r="C519" i="15"/>
  <c r="B519" i="15"/>
  <c r="M519" i="15" s="1"/>
  <c r="O518" i="15"/>
  <c r="M518" i="15"/>
  <c r="J518" i="15"/>
  <c r="I518" i="15"/>
  <c r="N518" i="15" s="1"/>
  <c r="P518" i="15" s="1"/>
  <c r="C518" i="15"/>
  <c r="B518" i="15"/>
  <c r="O517" i="15"/>
  <c r="N517" i="15"/>
  <c r="M517" i="15"/>
  <c r="J517" i="15"/>
  <c r="I517" i="15"/>
  <c r="C517" i="15"/>
  <c r="B517" i="15"/>
  <c r="O516" i="15"/>
  <c r="N516" i="15"/>
  <c r="J516" i="15"/>
  <c r="I516" i="15"/>
  <c r="C516" i="15"/>
  <c r="B516" i="15"/>
  <c r="O515" i="15"/>
  <c r="J515" i="15"/>
  <c r="I515" i="15"/>
  <c r="N515" i="15" s="1"/>
  <c r="C515" i="15"/>
  <c r="B515" i="15"/>
  <c r="M515" i="15" s="1"/>
  <c r="O514" i="15"/>
  <c r="M514" i="15"/>
  <c r="J514" i="15"/>
  <c r="I514" i="15"/>
  <c r="N514" i="15" s="1"/>
  <c r="P514" i="15" s="1"/>
  <c r="C514" i="15"/>
  <c r="B514" i="15"/>
  <c r="O513" i="15"/>
  <c r="N513" i="15"/>
  <c r="M513" i="15"/>
  <c r="P513" i="15" s="1"/>
  <c r="J513" i="15"/>
  <c r="I513" i="15"/>
  <c r="C513" i="15"/>
  <c r="B513" i="15"/>
  <c r="O512" i="15"/>
  <c r="N512" i="15"/>
  <c r="J512" i="15"/>
  <c r="I512" i="15"/>
  <c r="C512" i="15"/>
  <c r="B512" i="15"/>
  <c r="O511" i="15"/>
  <c r="J511" i="15"/>
  <c r="I511" i="15"/>
  <c r="N511" i="15" s="1"/>
  <c r="C511" i="15"/>
  <c r="B511" i="15"/>
  <c r="M511" i="15" s="1"/>
  <c r="P511" i="15" s="1"/>
  <c r="O510" i="15"/>
  <c r="M510" i="15"/>
  <c r="J510" i="15"/>
  <c r="I510" i="15"/>
  <c r="N510" i="15" s="1"/>
  <c r="P510" i="15" s="1"/>
  <c r="C510" i="15"/>
  <c r="B510" i="15"/>
  <c r="O509" i="15"/>
  <c r="N509" i="15"/>
  <c r="M509" i="15"/>
  <c r="P509" i="15" s="1"/>
  <c r="J509" i="15"/>
  <c r="I509" i="15"/>
  <c r="C509" i="15"/>
  <c r="B509" i="15"/>
  <c r="O508" i="15"/>
  <c r="N508" i="15"/>
  <c r="J508" i="15"/>
  <c r="I508" i="15"/>
  <c r="C508" i="15"/>
  <c r="B508" i="15"/>
  <c r="O507" i="15"/>
  <c r="J507" i="15"/>
  <c r="I507" i="15"/>
  <c r="N507" i="15" s="1"/>
  <c r="C507" i="15"/>
  <c r="B507" i="15"/>
  <c r="M507" i="15" s="1"/>
  <c r="P507" i="15" s="1"/>
  <c r="O506" i="15"/>
  <c r="M506" i="15"/>
  <c r="J506" i="15"/>
  <c r="I506" i="15"/>
  <c r="N506" i="15" s="1"/>
  <c r="P506" i="15" s="1"/>
  <c r="C506" i="15"/>
  <c r="B506" i="15"/>
  <c r="O505" i="15"/>
  <c r="N505" i="15"/>
  <c r="M505" i="15"/>
  <c r="J505" i="15"/>
  <c r="I505" i="15"/>
  <c r="C505" i="15"/>
  <c r="B505" i="15"/>
  <c r="P504" i="15"/>
  <c r="O504" i="15"/>
  <c r="N504" i="15"/>
  <c r="M504" i="15"/>
  <c r="J504" i="15"/>
  <c r="I504" i="15"/>
  <c r="C504" i="15"/>
  <c r="B504" i="15"/>
  <c r="O503" i="15"/>
  <c r="J503" i="15"/>
  <c r="I503" i="15"/>
  <c r="N503" i="15" s="1"/>
  <c r="C503" i="15"/>
  <c r="B503" i="15"/>
  <c r="O502" i="15"/>
  <c r="M502" i="15"/>
  <c r="J502" i="15"/>
  <c r="I502" i="15"/>
  <c r="N502" i="15" s="1"/>
  <c r="P502" i="15" s="1"/>
  <c r="C502" i="15"/>
  <c r="B502" i="15"/>
  <c r="O501" i="15"/>
  <c r="N501" i="15"/>
  <c r="M501" i="15"/>
  <c r="J501" i="15"/>
  <c r="I501" i="15"/>
  <c r="C501" i="15"/>
  <c r="B501" i="15"/>
  <c r="O500" i="15"/>
  <c r="N500" i="15"/>
  <c r="M500" i="15"/>
  <c r="P500" i="15" s="1"/>
  <c r="J500" i="15"/>
  <c r="I500" i="15"/>
  <c r="C500" i="15"/>
  <c r="B500" i="15"/>
  <c r="O499" i="15"/>
  <c r="J499" i="15"/>
  <c r="I499" i="15"/>
  <c r="N499" i="15" s="1"/>
  <c r="C499" i="15"/>
  <c r="B499" i="15"/>
  <c r="O498" i="15"/>
  <c r="M498" i="15"/>
  <c r="J498" i="15"/>
  <c r="I498" i="15"/>
  <c r="N498" i="15" s="1"/>
  <c r="P498" i="15" s="1"/>
  <c r="C498" i="15"/>
  <c r="B498" i="15"/>
  <c r="O497" i="15"/>
  <c r="N497" i="15"/>
  <c r="M497" i="15"/>
  <c r="P497" i="15" s="1"/>
  <c r="J497" i="15"/>
  <c r="I497" i="15"/>
  <c r="C497" i="15"/>
  <c r="B497" i="15"/>
  <c r="O496" i="15"/>
  <c r="N496" i="15"/>
  <c r="M496" i="15"/>
  <c r="P496" i="15" s="1"/>
  <c r="J496" i="15"/>
  <c r="I496" i="15"/>
  <c r="C496" i="15"/>
  <c r="B496" i="15"/>
  <c r="O495" i="15"/>
  <c r="J495" i="15"/>
  <c r="I495" i="15"/>
  <c r="N495" i="15" s="1"/>
  <c r="C495" i="15"/>
  <c r="B495" i="15"/>
  <c r="O494" i="15"/>
  <c r="M494" i="15"/>
  <c r="P494" i="15" s="1"/>
  <c r="J494" i="15"/>
  <c r="I494" i="15"/>
  <c r="N494" i="15" s="1"/>
  <c r="C494" i="15"/>
  <c r="B494" i="15"/>
  <c r="O493" i="15"/>
  <c r="N493" i="15"/>
  <c r="M493" i="15"/>
  <c r="J493" i="15"/>
  <c r="I493" i="15"/>
  <c r="C493" i="15"/>
  <c r="B493" i="15"/>
  <c r="O492" i="15"/>
  <c r="N492" i="15"/>
  <c r="M492" i="15"/>
  <c r="P492" i="15" s="1"/>
  <c r="J492" i="15"/>
  <c r="I492" i="15"/>
  <c r="C492" i="15"/>
  <c r="B492" i="15"/>
  <c r="O491" i="15"/>
  <c r="J491" i="15"/>
  <c r="I491" i="15"/>
  <c r="N491" i="15" s="1"/>
  <c r="C491" i="15"/>
  <c r="B491" i="15"/>
  <c r="O490" i="15"/>
  <c r="M490" i="15"/>
  <c r="P490" i="15" s="1"/>
  <c r="J490" i="15"/>
  <c r="I490" i="15"/>
  <c r="N490" i="15" s="1"/>
  <c r="C490" i="15"/>
  <c r="B490" i="15"/>
  <c r="O489" i="15"/>
  <c r="N489" i="15"/>
  <c r="M489" i="15"/>
  <c r="J489" i="15"/>
  <c r="I489" i="15"/>
  <c r="C489" i="15"/>
  <c r="B489" i="15"/>
  <c r="O488" i="15"/>
  <c r="P488" i="15" s="1"/>
  <c r="N488" i="15"/>
  <c r="M488" i="15"/>
  <c r="J488" i="15"/>
  <c r="I488" i="15"/>
  <c r="C488" i="15"/>
  <c r="B488" i="15"/>
  <c r="O487" i="15"/>
  <c r="J487" i="15"/>
  <c r="I487" i="15"/>
  <c r="N487" i="15" s="1"/>
  <c r="C487" i="15"/>
  <c r="B487" i="15"/>
  <c r="O486" i="15"/>
  <c r="M486" i="15"/>
  <c r="P486" i="15" s="1"/>
  <c r="J486" i="15"/>
  <c r="I486" i="15"/>
  <c r="N486" i="15" s="1"/>
  <c r="C486" i="15"/>
  <c r="B486" i="15"/>
  <c r="O485" i="15"/>
  <c r="N485" i="15"/>
  <c r="M485" i="15"/>
  <c r="J485" i="15"/>
  <c r="I485" i="15"/>
  <c r="C485" i="15"/>
  <c r="B485" i="15"/>
  <c r="O484" i="15"/>
  <c r="N484" i="15"/>
  <c r="J484" i="15"/>
  <c r="I484" i="15"/>
  <c r="C484" i="15"/>
  <c r="B484" i="15"/>
  <c r="O483" i="15"/>
  <c r="J483" i="15"/>
  <c r="I483" i="15"/>
  <c r="N483" i="15" s="1"/>
  <c r="C483" i="15"/>
  <c r="B483" i="15"/>
  <c r="O482" i="15"/>
  <c r="M482" i="15"/>
  <c r="J482" i="15"/>
  <c r="I482" i="15"/>
  <c r="N482" i="15" s="1"/>
  <c r="C482" i="15"/>
  <c r="B482" i="15"/>
  <c r="O481" i="15"/>
  <c r="N481" i="15"/>
  <c r="M481" i="15"/>
  <c r="P481" i="15" s="1"/>
  <c r="J481" i="15"/>
  <c r="I481" i="15"/>
  <c r="C481" i="15"/>
  <c r="B481" i="15"/>
  <c r="O480" i="15"/>
  <c r="N480" i="15"/>
  <c r="J480" i="15"/>
  <c r="I480" i="15"/>
  <c r="C480" i="15"/>
  <c r="B480" i="15"/>
  <c r="O479" i="15"/>
  <c r="J479" i="15"/>
  <c r="I479" i="15"/>
  <c r="N479" i="15" s="1"/>
  <c r="C479" i="15"/>
  <c r="B479" i="15"/>
  <c r="O478" i="15"/>
  <c r="M478" i="15"/>
  <c r="J478" i="15"/>
  <c r="I478" i="15"/>
  <c r="N478" i="15" s="1"/>
  <c r="C478" i="15"/>
  <c r="B478" i="15"/>
  <c r="O477" i="15"/>
  <c r="N477" i="15"/>
  <c r="M477" i="15"/>
  <c r="P477" i="15" s="1"/>
  <c r="J477" i="15"/>
  <c r="I477" i="15"/>
  <c r="C477" i="15"/>
  <c r="B477" i="15"/>
  <c r="O476" i="15"/>
  <c r="N476" i="15"/>
  <c r="J476" i="15"/>
  <c r="I476" i="15"/>
  <c r="C476" i="15"/>
  <c r="B476" i="15"/>
  <c r="M476" i="15" s="1"/>
  <c r="P476" i="15" s="1"/>
  <c r="O475" i="15"/>
  <c r="J475" i="15"/>
  <c r="I475" i="15"/>
  <c r="N475" i="15" s="1"/>
  <c r="C475" i="15"/>
  <c r="B475" i="15"/>
  <c r="O474" i="15"/>
  <c r="M474" i="15"/>
  <c r="J474" i="15"/>
  <c r="I474" i="15"/>
  <c r="N474" i="15" s="1"/>
  <c r="C474" i="15"/>
  <c r="B474" i="15"/>
  <c r="O473" i="15"/>
  <c r="N473" i="15"/>
  <c r="M473" i="15"/>
  <c r="J473" i="15"/>
  <c r="I473" i="15"/>
  <c r="C473" i="15"/>
  <c r="B473" i="15"/>
  <c r="P472" i="15"/>
  <c r="O472" i="15"/>
  <c r="N472" i="15"/>
  <c r="M472" i="15"/>
  <c r="J472" i="15"/>
  <c r="I472" i="15"/>
  <c r="C472" i="15"/>
  <c r="B472" i="15"/>
  <c r="O471" i="15"/>
  <c r="J471" i="15"/>
  <c r="I471" i="15"/>
  <c r="N471" i="15" s="1"/>
  <c r="C471" i="15"/>
  <c r="B471" i="15"/>
  <c r="O470" i="15"/>
  <c r="M470" i="15"/>
  <c r="J470" i="15"/>
  <c r="I470" i="15"/>
  <c r="N470" i="15" s="1"/>
  <c r="C470" i="15"/>
  <c r="B470" i="15"/>
  <c r="O469" i="15"/>
  <c r="N469" i="15"/>
  <c r="M469" i="15"/>
  <c r="J469" i="15"/>
  <c r="I469" i="15"/>
  <c r="C469" i="15"/>
  <c r="B469" i="15"/>
  <c r="O468" i="15"/>
  <c r="N468" i="15"/>
  <c r="M468" i="15"/>
  <c r="P468" i="15" s="1"/>
  <c r="J468" i="15"/>
  <c r="I468" i="15"/>
  <c r="C468" i="15"/>
  <c r="B468" i="15"/>
  <c r="O467" i="15"/>
  <c r="J467" i="15"/>
  <c r="I467" i="15"/>
  <c r="N467" i="15" s="1"/>
  <c r="C467" i="15"/>
  <c r="B467" i="15"/>
  <c r="O466" i="15"/>
  <c r="M466" i="15"/>
  <c r="J466" i="15"/>
  <c r="I466" i="15"/>
  <c r="N466" i="15" s="1"/>
  <c r="C466" i="15"/>
  <c r="B466" i="15"/>
  <c r="O465" i="15"/>
  <c r="N465" i="15"/>
  <c r="M465" i="15"/>
  <c r="P465" i="15" s="1"/>
  <c r="J465" i="15"/>
  <c r="I465" i="15"/>
  <c r="C465" i="15"/>
  <c r="B465" i="15"/>
  <c r="O464" i="15"/>
  <c r="N464" i="15"/>
  <c r="J464" i="15"/>
  <c r="I464" i="15"/>
  <c r="C464" i="15"/>
  <c r="B464" i="15"/>
  <c r="M464" i="15" s="1"/>
  <c r="P464" i="15" s="1"/>
  <c r="O463" i="15"/>
  <c r="J463" i="15"/>
  <c r="I463" i="15"/>
  <c r="N463" i="15" s="1"/>
  <c r="C463" i="15"/>
  <c r="B463" i="15"/>
  <c r="O462" i="15"/>
  <c r="M462" i="15"/>
  <c r="J462" i="15"/>
  <c r="I462" i="15"/>
  <c r="N462" i="15" s="1"/>
  <c r="C462" i="15"/>
  <c r="B462" i="15"/>
  <c r="O461" i="15"/>
  <c r="N461" i="15"/>
  <c r="M461" i="15"/>
  <c r="P461" i="15" s="1"/>
  <c r="J461" i="15"/>
  <c r="I461" i="15"/>
  <c r="C461" i="15"/>
  <c r="B461" i="15"/>
  <c r="O460" i="15"/>
  <c r="M460" i="15"/>
  <c r="P460" i="15" s="1"/>
  <c r="J460" i="15"/>
  <c r="I460" i="15"/>
  <c r="N460" i="15" s="1"/>
  <c r="C460" i="15"/>
  <c r="B460" i="15"/>
  <c r="P459" i="15"/>
  <c r="O459" i="15"/>
  <c r="J459" i="15"/>
  <c r="I459" i="15"/>
  <c r="N459" i="15" s="1"/>
  <c r="C459" i="15"/>
  <c r="B459" i="15"/>
  <c r="M459" i="15" s="1"/>
  <c r="O458" i="15"/>
  <c r="N458" i="15"/>
  <c r="M458" i="15"/>
  <c r="J458" i="15"/>
  <c r="I458" i="15"/>
  <c r="C458" i="15"/>
  <c r="B458" i="15"/>
  <c r="O457" i="15"/>
  <c r="N457" i="15"/>
  <c r="M457" i="15"/>
  <c r="J457" i="15"/>
  <c r="I457" i="15"/>
  <c r="C457" i="15"/>
  <c r="B457" i="15"/>
  <c r="O456" i="15"/>
  <c r="J456" i="15"/>
  <c r="I456" i="15"/>
  <c r="N456" i="15" s="1"/>
  <c r="C456" i="15"/>
  <c r="B456" i="15"/>
  <c r="P455" i="15"/>
  <c r="O455" i="15"/>
  <c r="J455" i="15"/>
  <c r="I455" i="15"/>
  <c r="N455" i="15" s="1"/>
  <c r="C455" i="15"/>
  <c r="B455" i="15"/>
  <c r="M455" i="15" s="1"/>
  <c r="O454" i="15"/>
  <c r="N454" i="15"/>
  <c r="M454" i="15"/>
  <c r="J454" i="15"/>
  <c r="I454" i="15"/>
  <c r="C454" i="15"/>
  <c r="B454" i="15"/>
  <c r="O453" i="15"/>
  <c r="N453" i="15"/>
  <c r="J453" i="15"/>
  <c r="I453" i="15"/>
  <c r="C453" i="15"/>
  <c r="B453" i="15"/>
  <c r="M453" i="15" s="1"/>
  <c r="P453" i="15" s="1"/>
  <c r="O452" i="15"/>
  <c r="J452" i="15"/>
  <c r="I452" i="15"/>
  <c r="N452" i="15" s="1"/>
  <c r="C452" i="15"/>
  <c r="B452" i="15"/>
  <c r="M452" i="15" s="1"/>
  <c r="P452" i="15" s="1"/>
  <c r="O451" i="15"/>
  <c r="J451" i="15"/>
  <c r="I451" i="15"/>
  <c r="N451" i="15" s="1"/>
  <c r="C451" i="15"/>
  <c r="B451" i="15"/>
  <c r="M451" i="15" s="1"/>
  <c r="O450" i="15"/>
  <c r="M450" i="15"/>
  <c r="J450" i="15"/>
  <c r="I450" i="15"/>
  <c r="N450" i="15" s="1"/>
  <c r="C450" i="15"/>
  <c r="B450" i="15"/>
  <c r="O449" i="15"/>
  <c r="N449" i="15"/>
  <c r="J449" i="15"/>
  <c r="I449" i="15"/>
  <c r="C449" i="15"/>
  <c r="B449" i="15"/>
  <c r="O448" i="15"/>
  <c r="N448" i="15"/>
  <c r="J448" i="15"/>
  <c r="I448" i="15"/>
  <c r="C448" i="15"/>
  <c r="B448" i="15"/>
  <c r="O447" i="15"/>
  <c r="J447" i="15"/>
  <c r="I447" i="15"/>
  <c r="N447" i="15" s="1"/>
  <c r="C447" i="15"/>
  <c r="B447" i="15"/>
  <c r="M447" i="15" s="1"/>
  <c r="P447" i="15" s="1"/>
  <c r="O446" i="15"/>
  <c r="M446" i="15"/>
  <c r="P446" i="15" s="1"/>
  <c r="J446" i="15"/>
  <c r="I446" i="15"/>
  <c r="N446" i="15" s="1"/>
  <c r="C446" i="15"/>
  <c r="B446" i="15"/>
  <c r="O445" i="15"/>
  <c r="N445" i="15"/>
  <c r="J445" i="15"/>
  <c r="I445" i="15"/>
  <c r="C445" i="15"/>
  <c r="B445" i="15"/>
  <c r="O444" i="15"/>
  <c r="J444" i="15"/>
  <c r="I444" i="15"/>
  <c r="N444" i="15" s="1"/>
  <c r="C444" i="15"/>
  <c r="B444" i="15"/>
  <c r="M444" i="15" s="1"/>
  <c r="P444" i="15" s="1"/>
  <c r="O443" i="15"/>
  <c r="J443" i="15"/>
  <c r="I443" i="15"/>
  <c r="N443" i="15" s="1"/>
  <c r="C443" i="15"/>
  <c r="B443" i="15"/>
  <c r="M443" i="15" s="1"/>
  <c r="P443" i="15" s="1"/>
  <c r="O442" i="15"/>
  <c r="N442" i="15"/>
  <c r="M442" i="15"/>
  <c r="P442" i="15" s="1"/>
  <c r="J442" i="15"/>
  <c r="I442" i="15"/>
  <c r="C442" i="15"/>
  <c r="B442" i="15"/>
  <c r="O441" i="15"/>
  <c r="N441" i="15"/>
  <c r="M441" i="15"/>
  <c r="P441" i="15" s="1"/>
  <c r="J441" i="15"/>
  <c r="I441" i="15"/>
  <c r="C441" i="15"/>
  <c r="B441" i="15"/>
  <c r="O440" i="15"/>
  <c r="M440" i="15"/>
  <c r="J440" i="15"/>
  <c r="I440" i="15"/>
  <c r="N440" i="15" s="1"/>
  <c r="C440" i="15"/>
  <c r="B440" i="15"/>
  <c r="O439" i="15"/>
  <c r="N439" i="15"/>
  <c r="J439" i="15"/>
  <c r="I439" i="15"/>
  <c r="C439" i="15"/>
  <c r="B439" i="15"/>
  <c r="O438" i="15"/>
  <c r="M438" i="15"/>
  <c r="J438" i="15"/>
  <c r="I438" i="15"/>
  <c r="N438" i="15" s="1"/>
  <c r="P438" i="15" s="1"/>
  <c r="C438" i="15"/>
  <c r="B438" i="15"/>
  <c r="O437" i="15"/>
  <c r="N437" i="15"/>
  <c r="M437" i="15"/>
  <c r="P437" i="15" s="1"/>
  <c r="J437" i="15"/>
  <c r="I437" i="15"/>
  <c r="C437" i="15"/>
  <c r="B437" i="15"/>
  <c r="O436" i="15"/>
  <c r="N436" i="15"/>
  <c r="M436" i="15"/>
  <c r="P436" i="15" s="1"/>
  <c r="J436" i="15"/>
  <c r="I436" i="15"/>
  <c r="C436" i="15"/>
  <c r="B436" i="15"/>
  <c r="O435" i="15"/>
  <c r="N435" i="15"/>
  <c r="J435" i="15"/>
  <c r="I435" i="15"/>
  <c r="C435" i="15"/>
  <c r="B435" i="15"/>
  <c r="M435" i="15" s="1"/>
  <c r="P435" i="15" s="1"/>
  <c r="O434" i="15"/>
  <c r="N434" i="15"/>
  <c r="M434" i="15"/>
  <c r="P434" i="15" s="1"/>
  <c r="J434" i="15"/>
  <c r="I434" i="15"/>
  <c r="C434" i="15"/>
  <c r="B434" i="15"/>
  <c r="O433" i="15"/>
  <c r="N433" i="15"/>
  <c r="J433" i="15"/>
  <c r="I433" i="15"/>
  <c r="C433" i="15"/>
  <c r="B433" i="15"/>
  <c r="M433" i="15" s="1"/>
  <c r="P433" i="15" s="1"/>
  <c r="O432" i="15"/>
  <c r="N432" i="15"/>
  <c r="M432" i="15"/>
  <c r="P432" i="15" s="1"/>
  <c r="J432" i="15"/>
  <c r="I432" i="15"/>
  <c r="C432" i="15"/>
  <c r="B432" i="15"/>
  <c r="O431" i="15"/>
  <c r="J431" i="15"/>
  <c r="I431" i="15"/>
  <c r="N431" i="15" s="1"/>
  <c r="C431" i="15"/>
  <c r="B431" i="15"/>
  <c r="M431" i="15" s="1"/>
  <c r="O430" i="15"/>
  <c r="M430" i="15"/>
  <c r="P430" i="15" s="1"/>
  <c r="J430" i="15"/>
  <c r="I430" i="15"/>
  <c r="N430" i="15" s="1"/>
  <c r="C430" i="15"/>
  <c r="B430" i="15"/>
  <c r="O429" i="15"/>
  <c r="N429" i="15"/>
  <c r="J429" i="15"/>
  <c r="I429" i="15"/>
  <c r="C429" i="15"/>
  <c r="B429" i="15"/>
  <c r="O428" i="15"/>
  <c r="J428" i="15"/>
  <c r="I428" i="15"/>
  <c r="N428" i="15" s="1"/>
  <c r="C428" i="15"/>
  <c r="B428" i="15"/>
  <c r="M428" i="15" s="1"/>
  <c r="P428" i="15" s="1"/>
  <c r="O427" i="15"/>
  <c r="N427" i="15"/>
  <c r="M427" i="15"/>
  <c r="P427" i="15" s="1"/>
  <c r="J427" i="15"/>
  <c r="I427" i="15"/>
  <c r="C427" i="15"/>
  <c r="B427" i="15"/>
  <c r="O426" i="15"/>
  <c r="M426" i="15"/>
  <c r="P426" i="15" s="1"/>
  <c r="J426" i="15"/>
  <c r="I426" i="15"/>
  <c r="N426" i="15" s="1"/>
  <c r="C426" i="15"/>
  <c r="B426" i="15"/>
  <c r="O425" i="15"/>
  <c r="N425" i="15"/>
  <c r="J425" i="15"/>
  <c r="I425" i="15"/>
  <c r="C425" i="15"/>
  <c r="B425" i="15"/>
  <c r="O424" i="15"/>
  <c r="J424" i="15"/>
  <c r="I424" i="15"/>
  <c r="N424" i="15" s="1"/>
  <c r="C424" i="15"/>
  <c r="B424" i="15"/>
  <c r="M424" i="15" s="1"/>
  <c r="P424" i="15" s="1"/>
  <c r="O423" i="15"/>
  <c r="N423" i="15"/>
  <c r="M423" i="15"/>
  <c r="J423" i="15"/>
  <c r="I423" i="15"/>
  <c r="C423" i="15"/>
  <c r="B423" i="15"/>
  <c r="P422" i="15"/>
  <c r="O422" i="15"/>
  <c r="M422" i="15"/>
  <c r="J422" i="15"/>
  <c r="I422" i="15"/>
  <c r="N422" i="15" s="1"/>
  <c r="C422" i="15"/>
  <c r="B422" i="15"/>
  <c r="O421" i="15"/>
  <c r="N421" i="15"/>
  <c r="J421" i="15"/>
  <c r="I421" i="15"/>
  <c r="C421" i="15"/>
  <c r="B421" i="15"/>
  <c r="O420" i="15"/>
  <c r="J420" i="15"/>
  <c r="I420" i="15"/>
  <c r="N420" i="15" s="1"/>
  <c r="C420" i="15"/>
  <c r="B420" i="15"/>
  <c r="M420" i="15" s="1"/>
  <c r="P420" i="15" s="1"/>
  <c r="O419" i="15"/>
  <c r="N419" i="15"/>
  <c r="M419" i="15"/>
  <c r="P419" i="15" s="1"/>
  <c r="J419" i="15"/>
  <c r="I419" i="15"/>
  <c r="C419" i="15"/>
  <c r="B419" i="15"/>
  <c r="O418" i="15"/>
  <c r="M418" i="15"/>
  <c r="P418" i="15" s="1"/>
  <c r="J418" i="15"/>
  <c r="I418" i="15"/>
  <c r="N418" i="15" s="1"/>
  <c r="C418" i="15"/>
  <c r="B418" i="15"/>
  <c r="O417" i="15"/>
  <c r="N417" i="15"/>
  <c r="M417" i="15"/>
  <c r="P417" i="15" s="1"/>
  <c r="J417" i="15"/>
  <c r="I417" i="15"/>
  <c r="C417" i="15"/>
  <c r="B417" i="15"/>
  <c r="O416" i="15"/>
  <c r="J416" i="15"/>
  <c r="I416" i="15"/>
  <c r="N416" i="15" s="1"/>
  <c r="C416" i="15"/>
  <c r="B416" i="15"/>
  <c r="O415" i="15"/>
  <c r="N415" i="15"/>
  <c r="M415" i="15"/>
  <c r="J415" i="15"/>
  <c r="I415" i="15"/>
  <c r="C415" i="15"/>
  <c r="B415" i="15"/>
  <c r="O414" i="15"/>
  <c r="J414" i="15"/>
  <c r="I414" i="15"/>
  <c r="N414" i="15" s="1"/>
  <c r="C414" i="15"/>
  <c r="B414" i="15"/>
  <c r="M414" i="15" s="1"/>
  <c r="P414" i="15" s="1"/>
  <c r="O413" i="15"/>
  <c r="J413" i="15"/>
  <c r="I413" i="15"/>
  <c r="N413" i="15" s="1"/>
  <c r="C413" i="15"/>
  <c r="B413" i="15"/>
  <c r="M413" i="15" s="1"/>
  <c r="O412" i="15"/>
  <c r="J412" i="15"/>
  <c r="I412" i="15"/>
  <c r="N412" i="15" s="1"/>
  <c r="P412" i="15" s="1"/>
  <c r="C412" i="15"/>
  <c r="B412" i="15"/>
  <c r="M412" i="15" s="1"/>
  <c r="O411" i="15"/>
  <c r="N411" i="15"/>
  <c r="M411" i="15"/>
  <c r="J411" i="15"/>
  <c r="I411" i="15"/>
  <c r="C411" i="15"/>
  <c r="B411" i="15"/>
  <c r="O410" i="15"/>
  <c r="J410" i="15"/>
  <c r="I410" i="15"/>
  <c r="N410" i="15" s="1"/>
  <c r="C410" i="15"/>
  <c r="B410" i="15"/>
  <c r="M410" i="15" s="1"/>
  <c r="P410" i="15" s="1"/>
  <c r="O409" i="15"/>
  <c r="J409" i="15"/>
  <c r="I409" i="15"/>
  <c r="N409" i="15" s="1"/>
  <c r="C409" i="15"/>
  <c r="B409" i="15"/>
  <c r="M409" i="15" s="1"/>
  <c r="O408" i="15"/>
  <c r="J408" i="15"/>
  <c r="I408" i="15"/>
  <c r="N408" i="15" s="1"/>
  <c r="P408" i="15" s="1"/>
  <c r="C408" i="15"/>
  <c r="B408" i="15"/>
  <c r="M408" i="15" s="1"/>
  <c r="O407" i="15"/>
  <c r="M407" i="15"/>
  <c r="J407" i="15"/>
  <c r="I407" i="15"/>
  <c r="N407" i="15" s="1"/>
  <c r="C407" i="15"/>
  <c r="B407" i="15"/>
  <c r="O406" i="15"/>
  <c r="J406" i="15"/>
  <c r="I406" i="15"/>
  <c r="N406" i="15" s="1"/>
  <c r="C406" i="15"/>
  <c r="B406" i="15"/>
  <c r="M406" i="15" s="1"/>
  <c r="P406" i="15" s="1"/>
  <c r="O405" i="15"/>
  <c r="J405" i="15"/>
  <c r="I405" i="15"/>
  <c r="N405" i="15" s="1"/>
  <c r="C405" i="15"/>
  <c r="B405" i="15"/>
  <c r="M405" i="15" s="1"/>
  <c r="P405" i="15" s="1"/>
  <c r="O404" i="15"/>
  <c r="J404" i="15"/>
  <c r="I404" i="15"/>
  <c r="N404" i="15" s="1"/>
  <c r="P404" i="15" s="1"/>
  <c r="C404" i="15"/>
  <c r="B404" i="15"/>
  <c r="M404" i="15" s="1"/>
  <c r="O403" i="15"/>
  <c r="M403" i="15"/>
  <c r="J403" i="15"/>
  <c r="I403" i="15"/>
  <c r="N403" i="15" s="1"/>
  <c r="C403" i="15"/>
  <c r="B403" i="15"/>
  <c r="O402" i="15"/>
  <c r="J402" i="15"/>
  <c r="I402" i="15"/>
  <c r="N402" i="15" s="1"/>
  <c r="C402" i="15"/>
  <c r="B402" i="15"/>
  <c r="M402" i="15" s="1"/>
  <c r="P402" i="15" s="1"/>
  <c r="O401" i="15"/>
  <c r="J401" i="15"/>
  <c r="I401" i="15"/>
  <c r="N401" i="15" s="1"/>
  <c r="C401" i="15"/>
  <c r="B401" i="15"/>
  <c r="M401" i="15" s="1"/>
  <c r="O400" i="15"/>
  <c r="J400" i="15"/>
  <c r="I400" i="15"/>
  <c r="N400" i="15" s="1"/>
  <c r="P400" i="15" s="1"/>
  <c r="C400" i="15"/>
  <c r="B400" i="15"/>
  <c r="M400" i="15" s="1"/>
  <c r="O399" i="15"/>
  <c r="M399" i="15"/>
  <c r="J399" i="15"/>
  <c r="I399" i="15"/>
  <c r="N399" i="15" s="1"/>
  <c r="C399" i="15"/>
  <c r="B399" i="15"/>
  <c r="O398" i="15"/>
  <c r="J398" i="15"/>
  <c r="I398" i="15"/>
  <c r="N398" i="15" s="1"/>
  <c r="C398" i="15"/>
  <c r="B398" i="15"/>
  <c r="M398" i="15" s="1"/>
  <c r="P398" i="15" s="1"/>
  <c r="O397" i="15"/>
  <c r="J397" i="15"/>
  <c r="I397" i="15"/>
  <c r="N397" i="15" s="1"/>
  <c r="C397" i="15"/>
  <c r="B397" i="15"/>
  <c r="M397" i="15" s="1"/>
  <c r="P397" i="15" s="1"/>
  <c r="O396" i="15"/>
  <c r="J396" i="15"/>
  <c r="I396" i="15"/>
  <c r="N396" i="15" s="1"/>
  <c r="P396" i="15" s="1"/>
  <c r="C396" i="15"/>
  <c r="B396" i="15"/>
  <c r="M396" i="15" s="1"/>
  <c r="O395" i="15"/>
  <c r="M395" i="15"/>
  <c r="J395" i="15"/>
  <c r="I395" i="15"/>
  <c r="N395" i="15" s="1"/>
  <c r="C395" i="15"/>
  <c r="B395" i="15"/>
  <c r="O394" i="15"/>
  <c r="M394" i="15"/>
  <c r="P394" i="15" s="1"/>
  <c r="J394" i="15"/>
  <c r="I394" i="15"/>
  <c r="N394" i="15" s="1"/>
  <c r="C394" i="15"/>
  <c r="B394" i="15"/>
  <c r="O393" i="15"/>
  <c r="J393" i="15"/>
  <c r="I393" i="15"/>
  <c r="N393" i="15" s="1"/>
  <c r="C393" i="15"/>
  <c r="B393" i="15"/>
  <c r="M393" i="15" s="1"/>
  <c r="O392" i="15"/>
  <c r="J392" i="15"/>
  <c r="I392" i="15"/>
  <c r="N392" i="15" s="1"/>
  <c r="P392" i="15" s="1"/>
  <c r="C392" i="15"/>
  <c r="B392" i="15"/>
  <c r="M392" i="15" s="1"/>
  <c r="O391" i="15"/>
  <c r="M391" i="15"/>
  <c r="J391" i="15"/>
  <c r="I391" i="15"/>
  <c r="N391" i="15" s="1"/>
  <c r="C391" i="15"/>
  <c r="B391" i="15"/>
  <c r="O390" i="15"/>
  <c r="M390" i="15"/>
  <c r="P390" i="15" s="1"/>
  <c r="J390" i="15"/>
  <c r="I390" i="15"/>
  <c r="N390" i="15" s="1"/>
  <c r="C390" i="15"/>
  <c r="B390" i="15"/>
  <c r="O389" i="15"/>
  <c r="J389" i="15"/>
  <c r="I389" i="15"/>
  <c r="N389" i="15" s="1"/>
  <c r="C389" i="15"/>
  <c r="B389" i="15"/>
  <c r="M389" i="15" s="1"/>
  <c r="O388" i="15"/>
  <c r="J388" i="15"/>
  <c r="I388" i="15"/>
  <c r="N388" i="15" s="1"/>
  <c r="C388" i="15"/>
  <c r="B388" i="15"/>
  <c r="M388" i="15" s="1"/>
  <c r="P388" i="15" s="1"/>
  <c r="O387" i="15"/>
  <c r="M387" i="15"/>
  <c r="J387" i="15"/>
  <c r="I387" i="15"/>
  <c r="N387" i="15" s="1"/>
  <c r="C387" i="15"/>
  <c r="B387" i="15"/>
  <c r="O386" i="15"/>
  <c r="M386" i="15"/>
  <c r="P386" i="15" s="1"/>
  <c r="J386" i="15"/>
  <c r="I386" i="15"/>
  <c r="N386" i="15" s="1"/>
  <c r="C386" i="15"/>
  <c r="B386" i="15"/>
  <c r="O385" i="15"/>
  <c r="J385" i="15"/>
  <c r="I385" i="15"/>
  <c r="N385" i="15" s="1"/>
  <c r="C385" i="15"/>
  <c r="B385" i="15"/>
  <c r="M385" i="15" s="1"/>
  <c r="O384" i="15"/>
  <c r="J384" i="15"/>
  <c r="I384" i="15"/>
  <c r="N384" i="15" s="1"/>
  <c r="C384" i="15"/>
  <c r="B384" i="15"/>
  <c r="M384" i="15" s="1"/>
  <c r="P384" i="15" s="1"/>
  <c r="O383" i="15"/>
  <c r="M383" i="15"/>
  <c r="J383" i="15"/>
  <c r="I383" i="15"/>
  <c r="N383" i="15" s="1"/>
  <c r="C383" i="15"/>
  <c r="B383" i="15"/>
  <c r="O382" i="15"/>
  <c r="M382" i="15"/>
  <c r="P382" i="15" s="1"/>
  <c r="J382" i="15"/>
  <c r="I382" i="15"/>
  <c r="N382" i="15" s="1"/>
  <c r="C382" i="15"/>
  <c r="B382" i="15"/>
  <c r="O381" i="15"/>
  <c r="N381" i="15"/>
  <c r="J381" i="15"/>
  <c r="I381" i="15"/>
  <c r="C381" i="15"/>
  <c r="B381" i="15"/>
  <c r="M381" i="15" s="1"/>
  <c r="P381" i="15" s="1"/>
  <c r="O380" i="15"/>
  <c r="J380" i="15"/>
  <c r="I380" i="15"/>
  <c r="N380" i="15" s="1"/>
  <c r="C380" i="15"/>
  <c r="B380" i="15"/>
  <c r="M380" i="15" s="1"/>
  <c r="P380" i="15" s="1"/>
  <c r="O379" i="15"/>
  <c r="M379" i="15"/>
  <c r="J379" i="15"/>
  <c r="I379" i="15"/>
  <c r="N379" i="15" s="1"/>
  <c r="C379" i="15"/>
  <c r="B379" i="15"/>
  <c r="O378" i="15"/>
  <c r="M378" i="15"/>
  <c r="P378" i="15" s="1"/>
  <c r="J378" i="15"/>
  <c r="I378" i="15"/>
  <c r="N378" i="15" s="1"/>
  <c r="C378" i="15"/>
  <c r="B378" i="15"/>
  <c r="O377" i="15"/>
  <c r="N377" i="15"/>
  <c r="J377" i="15"/>
  <c r="I377" i="15"/>
  <c r="C377" i="15"/>
  <c r="B377" i="15"/>
  <c r="M377" i="15" s="1"/>
  <c r="P377" i="15" s="1"/>
  <c r="O376" i="15"/>
  <c r="J376" i="15"/>
  <c r="I376" i="15"/>
  <c r="N376" i="15" s="1"/>
  <c r="C376" i="15"/>
  <c r="B376" i="15"/>
  <c r="M376" i="15" s="1"/>
  <c r="P376" i="15" s="1"/>
  <c r="O375" i="15"/>
  <c r="M375" i="15"/>
  <c r="J375" i="15"/>
  <c r="I375" i="15"/>
  <c r="N375" i="15" s="1"/>
  <c r="C375" i="15"/>
  <c r="B375" i="15"/>
  <c r="O374" i="15"/>
  <c r="M374" i="15"/>
  <c r="P374" i="15" s="1"/>
  <c r="J374" i="15"/>
  <c r="I374" i="15"/>
  <c r="N374" i="15" s="1"/>
  <c r="C374" i="15"/>
  <c r="B374" i="15"/>
  <c r="O373" i="15"/>
  <c r="N373" i="15"/>
  <c r="J373" i="15"/>
  <c r="I373" i="15"/>
  <c r="C373" i="15"/>
  <c r="B373" i="15"/>
  <c r="O372" i="15"/>
  <c r="M372" i="15"/>
  <c r="P372" i="15" s="1"/>
  <c r="J372" i="15"/>
  <c r="I372" i="15"/>
  <c r="N372" i="15" s="1"/>
  <c r="C372" i="15"/>
  <c r="B372" i="15"/>
  <c r="O371" i="15"/>
  <c r="N371" i="15"/>
  <c r="J371" i="15"/>
  <c r="I371" i="15"/>
  <c r="C371" i="15"/>
  <c r="B371" i="15"/>
  <c r="P370" i="15"/>
  <c r="O370" i="15"/>
  <c r="J370" i="15"/>
  <c r="I370" i="15"/>
  <c r="N370" i="15" s="1"/>
  <c r="C370" i="15"/>
  <c r="B370" i="15"/>
  <c r="M370" i="15" s="1"/>
  <c r="O369" i="15"/>
  <c r="J369" i="15"/>
  <c r="I369" i="15"/>
  <c r="N369" i="15" s="1"/>
  <c r="C369" i="15"/>
  <c r="B369" i="15"/>
  <c r="M369" i="15" s="1"/>
  <c r="O368" i="15"/>
  <c r="N368" i="15"/>
  <c r="J368" i="15"/>
  <c r="I368" i="15"/>
  <c r="C368" i="15"/>
  <c r="B368" i="15"/>
  <c r="M368" i="15" s="1"/>
  <c r="P368" i="15" s="1"/>
  <c r="O367" i="15"/>
  <c r="N367" i="15"/>
  <c r="P367" i="15" s="1"/>
  <c r="M367" i="15"/>
  <c r="J367" i="15"/>
  <c r="I367" i="15"/>
  <c r="C367" i="15"/>
  <c r="B367" i="15"/>
  <c r="O366" i="15"/>
  <c r="J366" i="15"/>
  <c r="I366" i="15"/>
  <c r="N366" i="15" s="1"/>
  <c r="C366" i="15"/>
  <c r="B366" i="15"/>
  <c r="M366" i="15" s="1"/>
  <c r="P366" i="15" s="1"/>
  <c r="O365" i="15"/>
  <c r="J365" i="15"/>
  <c r="I365" i="15"/>
  <c r="N365" i="15" s="1"/>
  <c r="C365" i="15"/>
  <c r="B365" i="15"/>
  <c r="M365" i="15" s="1"/>
  <c r="O364" i="15"/>
  <c r="N364" i="15"/>
  <c r="J364" i="15"/>
  <c r="I364" i="15"/>
  <c r="C364" i="15"/>
  <c r="B364" i="15"/>
  <c r="M364" i="15" s="1"/>
  <c r="P364" i="15" s="1"/>
  <c r="O363" i="15"/>
  <c r="N363" i="15"/>
  <c r="M363" i="15"/>
  <c r="P363" i="15" s="1"/>
  <c r="J363" i="15"/>
  <c r="I363" i="15"/>
  <c r="C363" i="15"/>
  <c r="B363" i="15"/>
  <c r="P362" i="15"/>
  <c r="O362" i="15"/>
  <c r="J362" i="15"/>
  <c r="I362" i="15"/>
  <c r="N362" i="15" s="1"/>
  <c r="C362" i="15"/>
  <c r="B362" i="15"/>
  <c r="M362" i="15" s="1"/>
  <c r="O361" i="15"/>
  <c r="J361" i="15"/>
  <c r="I361" i="15"/>
  <c r="N361" i="15" s="1"/>
  <c r="C361" i="15"/>
  <c r="B361" i="15"/>
  <c r="M361" i="15" s="1"/>
  <c r="O360" i="15"/>
  <c r="N360" i="15"/>
  <c r="J360" i="15"/>
  <c r="I360" i="15"/>
  <c r="C360" i="15"/>
  <c r="B360" i="15"/>
  <c r="M360" i="15" s="1"/>
  <c r="P360" i="15" s="1"/>
  <c r="O359" i="15"/>
  <c r="N359" i="15"/>
  <c r="M359" i="15"/>
  <c r="P359" i="15" s="1"/>
  <c r="J359" i="15"/>
  <c r="I359" i="15"/>
  <c r="C359" i="15"/>
  <c r="B359" i="15"/>
  <c r="O358" i="15"/>
  <c r="J358" i="15"/>
  <c r="I358" i="15"/>
  <c r="N358" i="15" s="1"/>
  <c r="C358" i="15"/>
  <c r="B358" i="15"/>
  <c r="M358" i="15" s="1"/>
  <c r="P358" i="15" s="1"/>
  <c r="O357" i="15"/>
  <c r="J357" i="15"/>
  <c r="I357" i="15"/>
  <c r="N357" i="15" s="1"/>
  <c r="C357" i="15"/>
  <c r="B357" i="15"/>
  <c r="M357" i="15" s="1"/>
  <c r="P357" i="15" s="1"/>
  <c r="O356" i="15"/>
  <c r="N356" i="15"/>
  <c r="J356" i="15"/>
  <c r="I356" i="15"/>
  <c r="C356" i="15"/>
  <c r="B356" i="15"/>
  <c r="M356" i="15" s="1"/>
  <c r="P356" i="15" s="1"/>
  <c r="O355" i="15"/>
  <c r="N355" i="15"/>
  <c r="M355" i="15"/>
  <c r="J355" i="15"/>
  <c r="I355" i="15"/>
  <c r="C355" i="15"/>
  <c r="B355" i="15"/>
  <c r="O354" i="15"/>
  <c r="J354" i="15"/>
  <c r="I354" i="15"/>
  <c r="N354" i="15" s="1"/>
  <c r="C354" i="15"/>
  <c r="B354" i="15"/>
  <c r="M354" i="15" s="1"/>
  <c r="P354" i="15" s="1"/>
  <c r="O353" i="15"/>
  <c r="J353" i="15"/>
  <c r="I353" i="15"/>
  <c r="N353" i="15" s="1"/>
  <c r="C353" i="15"/>
  <c r="B353" i="15"/>
  <c r="M353" i="15" s="1"/>
  <c r="P353" i="15" s="1"/>
  <c r="O352" i="15"/>
  <c r="N352" i="15"/>
  <c r="J352" i="15"/>
  <c r="I352" i="15"/>
  <c r="C352" i="15"/>
  <c r="B352" i="15"/>
  <c r="M352" i="15" s="1"/>
  <c r="P352" i="15" s="1"/>
  <c r="O351" i="15"/>
  <c r="N351" i="15"/>
  <c r="M351" i="15"/>
  <c r="P351" i="15" s="1"/>
  <c r="J351" i="15"/>
  <c r="I351" i="15"/>
  <c r="C351" i="15"/>
  <c r="B351" i="15"/>
  <c r="O350" i="15"/>
  <c r="J350" i="15"/>
  <c r="I350" i="15"/>
  <c r="N350" i="15" s="1"/>
  <c r="C350" i="15"/>
  <c r="B350" i="15"/>
  <c r="M350" i="15" s="1"/>
  <c r="O349" i="15"/>
  <c r="J349" i="15"/>
  <c r="I349" i="15"/>
  <c r="N349" i="15" s="1"/>
  <c r="C349" i="15"/>
  <c r="B349" i="15"/>
  <c r="M349" i="15" s="1"/>
  <c r="O348" i="15"/>
  <c r="N348" i="15"/>
  <c r="J348" i="15"/>
  <c r="I348" i="15"/>
  <c r="C348" i="15"/>
  <c r="B348" i="15"/>
  <c r="M348" i="15" s="1"/>
  <c r="P348" i="15" s="1"/>
  <c r="O347" i="15"/>
  <c r="N347" i="15"/>
  <c r="M347" i="15"/>
  <c r="J347" i="15"/>
  <c r="I347" i="15"/>
  <c r="C347" i="15"/>
  <c r="B347" i="15"/>
  <c r="P346" i="15"/>
  <c r="O346" i="15"/>
  <c r="J346" i="15"/>
  <c r="I346" i="15"/>
  <c r="N346" i="15" s="1"/>
  <c r="C346" i="15"/>
  <c r="B346" i="15"/>
  <c r="M346" i="15" s="1"/>
  <c r="O345" i="15"/>
  <c r="J345" i="15"/>
  <c r="I345" i="15"/>
  <c r="N345" i="15" s="1"/>
  <c r="C345" i="15"/>
  <c r="B345" i="15"/>
  <c r="M345" i="15" s="1"/>
  <c r="P345" i="15" s="1"/>
  <c r="O344" i="15"/>
  <c r="N344" i="15"/>
  <c r="J344" i="15"/>
  <c r="I344" i="15"/>
  <c r="C344" i="15"/>
  <c r="B344" i="15"/>
  <c r="M344" i="15" s="1"/>
  <c r="P344" i="15" s="1"/>
  <c r="O343" i="15"/>
  <c r="N343" i="15"/>
  <c r="M343" i="15"/>
  <c r="J343" i="15"/>
  <c r="I343" i="15"/>
  <c r="C343" i="15"/>
  <c r="B343" i="15"/>
  <c r="O342" i="15"/>
  <c r="J342" i="15"/>
  <c r="I342" i="15"/>
  <c r="N342" i="15" s="1"/>
  <c r="C342" i="15"/>
  <c r="B342" i="15"/>
  <c r="O341" i="15"/>
  <c r="J341" i="15"/>
  <c r="I341" i="15"/>
  <c r="N341" i="15" s="1"/>
  <c r="C341" i="15"/>
  <c r="B341" i="15"/>
  <c r="M341" i="15" s="1"/>
  <c r="O340" i="15"/>
  <c r="N340" i="15"/>
  <c r="J340" i="15"/>
  <c r="I340" i="15"/>
  <c r="C340" i="15"/>
  <c r="B340" i="15"/>
  <c r="M340" i="15" s="1"/>
  <c r="P340" i="15" s="1"/>
  <c r="O339" i="15"/>
  <c r="N339" i="15"/>
  <c r="M339" i="15"/>
  <c r="P339" i="15" s="1"/>
  <c r="J339" i="15"/>
  <c r="I339" i="15"/>
  <c r="C339" i="15"/>
  <c r="B339" i="15"/>
  <c r="O338" i="15"/>
  <c r="J338" i="15"/>
  <c r="I338" i="15"/>
  <c r="N338" i="15" s="1"/>
  <c r="C338" i="15"/>
  <c r="B338" i="15"/>
  <c r="O337" i="15"/>
  <c r="J337" i="15"/>
  <c r="I337" i="15"/>
  <c r="N337" i="15" s="1"/>
  <c r="C337" i="15"/>
  <c r="B337" i="15"/>
  <c r="M337" i="15" s="1"/>
  <c r="O336" i="15"/>
  <c r="N336" i="15"/>
  <c r="J336" i="15"/>
  <c r="I336" i="15"/>
  <c r="C336" i="15"/>
  <c r="B336" i="15"/>
  <c r="M336" i="15" s="1"/>
  <c r="P336" i="15" s="1"/>
  <c r="O335" i="15"/>
  <c r="N335" i="15"/>
  <c r="M335" i="15"/>
  <c r="P335" i="15" s="1"/>
  <c r="J335" i="15"/>
  <c r="I335" i="15"/>
  <c r="C335" i="15"/>
  <c r="B335" i="15"/>
  <c r="O334" i="15"/>
  <c r="N334" i="15"/>
  <c r="J334" i="15"/>
  <c r="I334" i="15"/>
  <c r="C334" i="15"/>
  <c r="B334" i="15"/>
  <c r="O333" i="15"/>
  <c r="J333" i="15"/>
  <c r="I333" i="15"/>
  <c r="N333" i="15" s="1"/>
  <c r="P333" i="15" s="1"/>
  <c r="C333" i="15"/>
  <c r="B333" i="15"/>
  <c r="M333" i="15" s="1"/>
  <c r="O332" i="15"/>
  <c r="N332" i="15"/>
  <c r="J332" i="15"/>
  <c r="I332" i="15"/>
  <c r="C332" i="15"/>
  <c r="B332" i="15"/>
  <c r="M332" i="15" s="1"/>
  <c r="O331" i="15"/>
  <c r="N331" i="15"/>
  <c r="P331" i="15" s="1"/>
  <c r="M331" i="15"/>
  <c r="J331" i="15"/>
  <c r="I331" i="15"/>
  <c r="C331" i="15"/>
  <c r="B331" i="15"/>
  <c r="O330" i="15"/>
  <c r="N330" i="15"/>
  <c r="M330" i="15"/>
  <c r="P330" i="15" s="1"/>
  <c r="J330" i="15"/>
  <c r="I330" i="15"/>
  <c r="C330" i="15"/>
  <c r="B330" i="15"/>
  <c r="O329" i="15"/>
  <c r="J329" i="15"/>
  <c r="I329" i="15"/>
  <c r="N329" i="15" s="1"/>
  <c r="C329" i="15"/>
  <c r="B329" i="15"/>
  <c r="O328" i="15"/>
  <c r="J328" i="15"/>
  <c r="I328" i="15"/>
  <c r="N328" i="15" s="1"/>
  <c r="C328" i="15"/>
  <c r="B328" i="15"/>
  <c r="M328" i="15" s="1"/>
  <c r="O327" i="15"/>
  <c r="N327" i="15"/>
  <c r="M327" i="15"/>
  <c r="P327" i="15" s="1"/>
  <c r="J327" i="15"/>
  <c r="I327" i="15"/>
  <c r="C327" i="15"/>
  <c r="B327" i="15"/>
  <c r="O326" i="15"/>
  <c r="N326" i="15"/>
  <c r="M326" i="15"/>
  <c r="J326" i="15"/>
  <c r="I326" i="15"/>
  <c r="C326" i="15"/>
  <c r="B326" i="15"/>
  <c r="O325" i="15"/>
  <c r="J325" i="15"/>
  <c r="I325" i="15"/>
  <c r="N325" i="15" s="1"/>
  <c r="C325" i="15"/>
  <c r="B325" i="15"/>
  <c r="O324" i="15"/>
  <c r="J324" i="15"/>
  <c r="I324" i="15"/>
  <c r="N324" i="15" s="1"/>
  <c r="C324" i="15"/>
  <c r="B324" i="15"/>
  <c r="M324" i="15" s="1"/>
  <c r="O323" i="15"/>
  <c r="N323" i="15"/>
  <c r="M323" i="15"/>
  <c r="J323" i="15"/>
  <c r="I323" i="15"/>
  <c r="C323" i="15"/>
  <c r="B323" i="15"/>
  <c r="P322" i="15"/>
  <c r="O322" i="15"/>
  <c r="N322" i="15"/>
  <c r="M322" i="15"/>
  <c r="J322" i="15"/>
  <c r="I322" i="15"/>
  <c r="C322" i="15"/>
  <c r="B322" i="15"/>
  <c r="O321" i="15"/>
  <c r="J321" i="15"/>
  <c r="I321" i="15"/>
  <c r="N321" i="15" s="1"/>
  <c r="C321" i="15"/>
  <c r="B321" i="15"/>
  <c r="O320" i="15"/>
  <c r="N320" i="15"/>
  <c r="J320" i="15"/>
  <c r="I320" i="15"/>
  <c r="C320" i="15"/>
  <c r="B320" i="15"/>
  <c r="M320" i="15" s="1"/>
  <c r="O319" i="15"/>
  <c r="N319" i="15"/>
  <c r="M319" i="15"/>
  <c r="P319" i="15" s="1"/>
  <c r="J319" i="15"/>
  <c r="I319" i="15"/>
  <c r="C319" i="15"/>
  <c r="B319" i="15"/>
  <c r="O318" i="15"/>
  <c r="N318" i="15"/>
  <c r="J318" i="15"/>
  <c r="I318" i="15"/>
  <c r="C318" i="15"/>
  <c r="B318" i="15"/>
  <c r="O317" i="15"/>
  <c r="J317" i="15"/>
  <c r="I317" i="15"/>
  <c r="N317" i="15" s="1"/>
  <c r="C317" i="15"/>
  <c r="B317" i="15"/>
  <c r="O316" i="15"/>
  <c r="N316" i="15"/>
  <c r="J316" i="15"/>
  <c r="I316" i="15"/>
  <c r="C316" i="15"/>
  <c r="B316" i="15"/>
  <c r="M316" i="15" s="1"/>
  <c r="P315" i="15"/>
  <c r="O315" i="15"/>
  <c r="N315" i="15"/>
  <c r="M315" i="15"/>
  <c r="J315" i="15"/>
  <c r="I315" i="15"/>
  <c r="C315" i="15"/>
  <c r="B315" i="15"/>
  <c r="O314" i="15"/>
  <c r="N314" i="15"/>
  <c r="J314" i="15"/>
  <c r="I314" i="15"/>
  <c r="C314" i="15"/>
  <c r="B314" i="15"/>
  <c r="M314" i="15" s="1"/>
  <c r="P314" i="15" s="1"/>
  <c r="O313" i="15"/>
  <c r="J313" i="15"/>
  <c r="I313" i="15"/>
  <c r="N313" i="15" s="1"/>
  <c r="C313" i="15"/>
  <c r="B313" i="15"/>
  <c r="O312" i="15"/>
  <c r="N312" i="15"/>
  <c r="J312" i="15"/>
  <c r="I312" i="15"/>
  <c r="C312" i="15"/>
  <c r="B312" i="15"/>
  <c r="M312" i="15" s="1"/>
  <c r="P312" i="15" s="1"/>
  <c r="P311" i="15"/>
  <c r="O311" i="15"/>
  <c r="N311" i="15"/>
  <c r="M311" i="15"/>
  <c r="J311" i="15"/>
  <c r="I311" i="15"/>
  <c r="C311" i="15"/>
  <c r="B311" i="15"/>
  <c r="O310" i="15"/>
  <c r="N310" i="15"/>
  <c r="J310" i="15"/>
  <c r="I310" i="15"/>
  <c r="C310" i="15"/>
  <c r="B310" i="15"/>
  <c r="M310" i="15" s="1"/>
  <c r="P310" i="15" s="1"/>
  <c r="O309" i="15"/>
  <c r="J309" i="15"/>
  <c r="I309" i="15"/>
  <c r="N309" i="15" s="1"/>
  <c r="C309" i="15"/>
  <c r="B309" i="15"/>
  <c r="O308" i="15"/>
  <c r="N308" i="15"/>
  <c r="J308" i="15"/>
  <c r="I308" i="15"/>
  <c r="C308" i="15"/>
  <c r="B308" i="15"/>
  <c r="M308" i="15" s="1"/>
  <c r="P308" i="15" s="1"/>
  <c r="O307" i="15"/>
  <c r="M307" i="15"/>
  <c r="J307" i="15"/>
  <c r="I307" i="15"/>
  <c r="N307" i="15" s="1"/>
  <c r="P307" i="15" s="1"/>
  <c r="C307" i="15"/>
  <c r="B307" i="15"/>
  <c r="O306" i="15"/>
  <c r="N306" i="15"/>
  <c r="J306" i="15"/>
  <c r="I306" i="15"/>
  <c r="C306" i="15"/>
  <c r="B306" i="15"/>
  <c r="M306" i="15" s="1"/>
  <c r="P306" i="15" s="1"/>
  <c r="O305" i="15"/>
  <c r="J305" i="15"/>
  <c r="I305" i="15"/>
  <c r="N305" i="15" s="1"/>
  <c r="C305" i="15"/>
  <c r="B305" i="15"/>
  <c r="M305" i="15" s="1"/>
  <c r="P305" i="15" s="1"/>
  <c r="O304" i="15"/>
  <c r="K304" i="15"/>
  <c r="J304" i="15"/>
  <c r="I304" i="15"/>
  <c r="N304" i="15" s="1"/>
  <c r="C304" i="15"/>
  <c r="B304" i="15"/>
  <c r="M304" i="15" s="1"/>
  <c r="O303" i="15"/>
  <c r="M303" i="15"/>
  <c r="J303" i="15"/>
  <c r="I303" i="15"/>
  <c r="N303" i="15" s="1"/>
  <c r="C303" i="15"/>
  <c r="B303" i="15"/>
  <c r="O302" i="15"/>
  <c r="N302" i="15"/>
  <c r="M302" i="15"/>
  <c r="P302" i="15" s="1"/>
  <c r="J302" i="15"/>
  <c r="I302" i="15"/>
  <c r="C302" i="15"/>
  <c r="B302" i="15"/>
  <c r="P301" i="15"/>
  <c r="O301" i="15"/>
  <c r="M301" i="15"/>
  <c r="J301" i="15"/>
  <c r="I301" i="15"/>
  <c r="N301" i="15" s="1"/>
  <c r="C301" i="15"/>
  <c r="B301" i="15"/>
  <c r="O300" i="15"/>
  <c r="N300" i="15"/>
  <c r="J300" i="15"/>
  <c r="I300" i="15"/>
  <c r="C300" i="15"/>
  <c r="B300" i="15"/>
  <c r="M300" i="15" s="1"/>
  <c r="P299" i="15"/>
  <c r="O299" i="15"/>
  <c r="N299" i="15"/>
  <c r="M299" i="15"/>
  <c r="J299" i="15"/>
  <c r="I299" i="15"/>
  <c r="C299" i="15"/>
  <c r="B299" i="15"/>
  <c r="O298" i="15"/>
  <c r="N298" i="15"/>
  <c r="J298" i="15"/>
  <c r="I298" i="15"/>
  <c r="C298" i="15"/>
  <c r="B298" i="15"/>
  <c r="M298" i="15" s="1"/>
  <c r="P298" i="15" s="1"/>
  <c r="O297" i="15"/>
  <c r="J297" i="15"/>
  <c r="I297" i="15"/>
  <c r="N297" i="15" s="1"/>
  <c r="C297" i="15"/>
  <c r="B297" i="15"/>
  <c r="M297" i="15" s="1"/>
  <c r="P297" i="15" s="1"/>
  <c r="O296" i="15"/>
  <c r="J296" i="15"/>
  <c r="I296" i="15"/>
  <c r="N296" i="15" s="1"/>
  <c r="C296" i="15"/>
  <c r="B296" i="15"/>
  <c r="M296" i="15" s="1"/>
  <c r="O295" i="15"/>
  <c r="M295" i="15"/>
  <c r="P295" i="15" s="1"/>
  <c r="J295" i="15"/>
  <c r="I295" i="15"/>
  <c r="N295" i="15" s="1"/>
  <c r="C295" i="15"/>
  <c r="B295" i="15"/>
  <c r="O294" i="15"/>
  <c r="M294" i="15"/>
  <c r="J294" i="15"/>
  <c r="I294" i="15"/>
  <c r="N294" i="15" s="1"/>
  <c r="C294" i="15"/>
  <c r="B294" i="15"/>
  <c r="O293" i="15"/>
  <c r="N293" i="15"/>
  <c r="J293" i="15"/>
  <c r="I293" i="15"/>
  <c r="C293" i="15"/>
  <c r="B293" i="15"/>
  <c r="O292" i="15"/>
  <c r="J292" i="15"/>
  <c r="I292" i="15"/>
  <c r="N292" i="15" s="1"/>
  <c r="C292" i="15"/>
  <c r="B292" i="15"/>
  <c r="M292" i="15" s="1"/>
  <c r="P292" i="15" s="1"/>
  <c r="O291" i="15"/>
  <c r="M291" i="15"/>
  <c r="P291" i="15" s="1"/>
  <c r="J291" i="15"/>
  <c r="I291" i="15"/>
  <c r="N291" i="15" s="1"/>
  <c r="C291" i="15"/>
  <c r="B291" i="15"/>
  <c r="O290" i="15"/>
  <c r="M290" i="15"/>
  <c r="J290" i="15"/>
  <c r="I290" i="15"/>
  <c r="N290" i="15" s="1"/>
  <c r="C290" i="15"/>
  <c r="B290" i="15"/>
  <c r="O289" i="15"/>
  <c r="N289" i="15"/>
  <c r="J289" i="15"/>
  <c r="I289" i="15"/>
  <c r="C289" i="15"/>
  <c r="B289" i="15"/>
  <c r="O288" i="15"/>
  <c r="J288" i="15"/>
  <c r="I288" i="15"/>
  <c r="N288" i="15" s="1"/>
  <c r="C288" i="15"/>
  <c r="B288" i="15"/>
  <c r="M288" i="15" s="1"/>
  <c r="P288" i="15" s="1"/>
  <c r="O287" i="15"/>
  <c r="M287" i="15"/>
  <c r="P287" i="15" s="1"/>
  <c r="J287" i="15"/>
  <c r="I287" i="15"/>
  <c r="N287" i="15" s="1"/>
  <c r="C287" i="15"/>
  <c r="B287" i="15"/>
  <c r="O286" i="15"/>
  <c r="M286" i="15"/>
  <c r="J286" i="15"/>
  <c r="I286" i="15"/>
  <c r="N286" i="15" s="1"/>
  <c r="C286" i="15"/>
  <c r="B286" i="15"/>
  <c r="O285" i="15"/>
  <c r="N285" i="15"/>
  <c r="J285" i="15"/>
  <c r="I285" i="15"/>
  <c r="C285" i="15"/>
  <c r="B285" i="15"/>
  <c r="O284" i="15"/>
  <c r="J284" i="15"/>
  <c r="I284" i="15"/>
  <c r="N284" i="15" s="1"/>
  <c r="C284" i="15"/>
  <c r="B284" i="15"/>
  <c r="M284" i="15" s="1"/>
  <c r="P284" i="15" s="1"/>
  <c r="O283" i="15"/>
  <c r="M283" i="15"/>
  <c r="P283" i="15" s="1"/>
  <c r="J283" i="15"/>
  <c r="I283" i="15"/>
  <c r="N283" i="15" s="1"/>
  <c r="C283" i="15"/>
  <c r="B283" i="15"/>
  <c r="O282" i="15"/>
  <c r="M282" i="15"/>
  <c r="J282" i="15"/>
  <c r="I282" i="15"/>
  <c r="N282" i="15" s="1"/>
  <c r="C282" i="15"/>
  <c r="B282" i="15"/>
  <c r="O281" i="15"/>
  <c r="N281" i="15"/>
  <c r="J281" i="15"/>
  <c r="I281" i="15"/>
  <c r="C281" i="15"/>
  <c r="B281" i="15"/>
  <c r="O280" i="15"/>
  <c r="J280" i="15"/>
  <c r="I280" i="15"/>
  <c r="N280" i="15" s="1"/>
  <c r="C280" i="15"/>
  <c r="B280" i="15"/>
  <c r="M280" i="15" s="1"/>
  <c r="P280" i="15" s="1"/>
  <c r="O279" i="15"/>
  <c r="M279" i="15"/>
  <c r="P279" i="15" s="1"/>
  <c r="J279" i="15"/>
  <c r="I279" i="15"/>
  <c r="N279" i="15" s="1"/>
  <c r="C279" i="15"/>
  <c r="B279" i="15"/>
  <c r="O278" i="15"/>
  <c r="M278" i="15"/>
  <c r="J278" i="15"/>
  <c r="I278" i="15"/>
  <c r="N278" i="15" s="1"/>
  <c r="C278" i="15"/>
  <c r="B278" i="15"/>
  <c r="O277" i="15"/>
  <c r="N277" i="15"/>
  <c r="J277" i="15"/>
  <c r="I277" i="15"/>
  <c r="C277" i="15"/>
  <c r="B277" i="15"/>
  <c r="O276" i="15"/>
  <c r="J276" i="15"/>
  <c r="I276" i="15"/>
  <c r="N276" i="15" s="1"/>
  <c r="C276" i="15"/>
  <c r="B276" i="15"/>
  <c r="M276" i="15" s="1"/>
  <c r="P276" i="15" s="1"/>
  <c r="O275" i="15"/>
  <c r="M275" i="15"/>
  <c r="P275" i="15" s="1"/>
  <c r="J275" i="15"/>
  <c r="I275" i="15"/>
  <c r="N275" i="15" s="1"/>
  <c r="C275" i="15"/>
  <c r="B275" i="15"/>
  <c r="O274" i="15"/>
  <c r="M274" i="15"/>
  <c r="J274" i="15"/>
  <c r="I274" i="15"/>
  <c r="N274" i="15" s="1"/>
  <c r="C274" i="15"/>
  <c r="B274" i="15"/>
  <c r="O273" i="15"/>
  <c r="N273" i="15"/>
  <c r="J273" i="15"/>
  <c r="I273" i="15"/>
  <c r="C273" i="15"/>
  <c r="B273" i="15"/>
  <c r="O272" i="15"/>
  <c r="J272" i="15"/>
  <c r="I272" i="15"/>
  <c r="N272" i="15" s="1"/>
  <c r="C272" i="15"/>
  <c r="B272" i="15"/>
  <c r="M272" i="15" s="1"/>
  <c r="P272" i="15" s="1"/>
  <c r="O271" i="15"/>
  <c r="M271" i="15"/>
  <c r="P271" i="15" s="1"/>
  <c r="J271" i="15"/>
  <c r="I271" i="15"/>
  <c r="N271" i="15" s="1"/>
  <c r="C271" i="15"/>
  <c r="B271" i="15"/>
  <c r="O270" i="15"/>
  <c r="M270" i="15"/>
  <c r="J270" i="15"/>
  <c r="I270" i="15"/>
  <c r="N270" i="15" s="1"/>
  <c r="C270" i="15"/>
  <c r="B270" i="15"/>
  <c r="O269" i="15"/>
  <c r="N269" i="15"/>
  <c r="J269" i="15"/>
  <c r="I269" i="15"/>
  <c r="C269" i="15"/>
  <c r="B269" i="15"/>
  <c r="O268" i="15"/>
  <c r="J268" i="15"/>
  <c r="I268" i="15"/>
  <c r="N268" i="15" s="1"/>
  <c r="C268" i="15"/>
  <c r="B268" i="15"/>
  <c r="M268" i="15" s="1"/>
  <c r="P268" i="15" s="1"/>
  <c r="O267" i="15"/>
  <c r="M267" i="15"/>
  <c r="P267" i="15" s="1"/>
  <c r="J267" i="15"/>
  <c r="I267" i="15"/>
  <c r="N267" i="15" s="1"/>
  <c r="C267" i="15"/>
  <c r="B267" i="15"/>
  <c r="O266" i="15"/>
  <c r="M266" i="15"/>
  <c r="J266" i="15"/>
  <c r="I266" i="15"/>
  <c r="N266" i="15" s="1"/>
  <c r="C266" i="15"/>
  <c r="B266" i="15"/>
  <c r="O265" i="15"/>
  <c r="N265" i="15"/>
  <c r="J265" i="15"/>
  <c r="I265" i="15"/>
  <c r="C265" i="15"/>
  <c r="B265" i="15"/>
  <c r="O264" i="15"/>
  <c r="J264" i="15"/>
  <c r="I264" i="15"/>
  <c r="N264" i="15" s="1"/>
  <c r="C264" i="15"/>
  <c r="B264" i="15"/>
  <c r="M264" i="15" s="1"/>
  <c r="P264" i="15" s="1"/>
  <c r="O263" i="15"/>
  <c r="M263" i="15"/>
  <c r="P263" i="15" s="1"/>
  <c r="J263" i="15"/>
  <c r="I263" i="15"/>
  <c r="N263" i="15" s="1"/>
  <c r="C263" i="15"/>
  <c r="B263" i="15"/>
  <c r="O262" i="15"/>
  <c r="M262" i="15"/>
  <c r="J262" i="15"/>
  <c r="I262" i="15"/>
  <c r="N262" i="15" s="1"/>
  <c r="C262" i="15"/>
  <c r="B262" i="15"/>
  <c r="O261" i="15"/>
  <c r="N261" i="15"/>
  <c r="J261" i="15"/>
  <c r="I261" i="15"/>
  <c r="C261" i="15"/>
  <c r="B261" i="15"/>
  <c r="O260" i="15"/>
  <c r="J260" i="15"/>
  <c r="I260" i="15"/>
  <c r="N260" i="15" s="1"/>
  <c r="C260" i="15"/>
  <c r="B260" i="15"/>
  <c r="M260" i="15" s="1"/>
  <c r="P260" i="15" s="1"/>
  <c r="O259" i="15"/>
  <c r="M259" i="15"/>
  <c r="P259" i="15" s="1"/>
  <c r="J259" i="15"/>
  <c r="I259" i="15"/>
  <c r="N259" i="15" s="1"/>
  <c r="C259" i="15"/>
  <c r="B259" i="15"/>
  <c r="O258" i="15"/>
  <c r="M258" i="15"/>
  <c r="J258" i="15"/>
  <c r="I258" i="15"/>
  <c r="N258" i="15" s="1"/>
  <c r="C258" i="15"/>
  <c r="B258" i="15"/>
  <c r="O257" i="15"/>
  <c r="N257" i="15"/>
  <c r="J257" i="15"/>
  <c r="I257" i="15"/>
  <c r="C257" i="15"/>
  <c r="B257" i="15"/>
  <c r="O256" i="15"/>
  <c r="J256" i="15"/>
  <c r="I256" i="15"/>
  <c r="N256" i="15" s="1"/>
  <c r="C256" i="15"/>
  <c r="B256" i="15"/>
  <c r="M256" i="15" s="1"/>
  <c r="P256" i="15" s="1"/>
  <c r="O255" i="15"/>
  <c r="M255" i="15"/>
  <c r="P255" i="15" s="1"/>
  <c r="J255" i="15"/>
  <c r="I255" i="15"/>
  <c r="N255" i="15" s="1"/>
  <c r="C255" i="15"/>
  <c r="B255" i="15"/>
  <c r="O254" i="15"/>
  <c r="M254" i="15"/>
  <c r="J254" i="15"/>
  <c r="I254" i="15"/>
  <c r="N254" i="15" s="1"/>
  <c r="C254" i="15"/>
  <c r="B254" i="15"/>
  <c r="O253" i="15"/>
  <c r="N253" i="15"/>
  <c r="J253" i="15"/>
  <c r="I253" i="15"/>
  <c r="C253" i="15"/>
  <c r="B253" i="15"/>
  <c r="O252" i="15"/>
  <c r="J252" i="15"/>
  <c r="I252" i="15"/>
  <c r="N252" i="15" s="1"/>
  <c r="C252" i="15"/>
  <c r="B252" i="15"/>
  <c r="M252" i="15" s="1"/>
  <c r="P252" i="15" s="1"/>
  <c r="O251" i="15"/>
  <c r="M251" i="15"/>
  <c r="P251" i="15" s="1"/>
  <c r="J251" i="15"/>
  <c r="I251" i="15"/>
  <c r="N251" i="15" s="1"/>
  <c r="C251" i="15"/>
  <c r="B251" i="15"/>
  <c r="O250" i="15"/>
  <c r="M250" i="15"/>
  <c r="J250" i="15"/>
  <c r="I250" i="15"/>
  <c r="N250" i="15" s="1"/>
  <c r="C250" i="15"/>
  <c r="B250" i="15"/>
  <c r="O249" i="15"/>
  <c r="N249" i="15"/>
  <c r="J249" i="15"/>
  <c r="I249" i="15"/>
  <c r="C249" i="15"/>
  <c r="B249" i="15"/>
  <c r="O248" i="15"/>
  <c r="J248" i="15"/>
  <c r="I248" i="15"/>
  <c r="N248" i="15" s="1"/>
  <c r="C248" i="15"/>
  <c r="B248" i="15"/>
  <c r="M248" i="15" s="1"/>
  <c r="P248" i="15" s="1"/>
  <c r="O247" i="15"/>
  <c r="M247" i="15"/>
  <c r="P247" i="15" s="1"/>
  <c r="J247" i="15"/>
  <c r="I247" i="15"/>
  <c r="N247" i="15" s="1"/>
  <c r="C247" i="15"/>
  <c r="B247" i="15"/>
  <c r="O246" i="15"/>
  <c r="M246" i="15"/>
  <c r="J246" i="15"/>
  <c r="I246" i="15"/>
  <c r="N246" i="15" s="1"/>
  <c r="C246" i="15"/>
  <c r="B246" i="15"/>
  <c r="O245" i="15"/>
  <c r="N245" i="15"/>
  <c r="J245" i="15"/>
  <c r="I245" i="15"/>
  <c r="C245" i="15"/>
  <c r="B245" i="15"/>
  <c r="O244" i="15"/>
  <c r="J244" i="15"/>
  <c r="I244" i="15"/>
  <c r="N244" i="15" s="1"/>
  <c r="C244" i="15"/>
  <c r="B244" i="15"/>
  <c r="M244" i="15" s="1"/>
  <c r="P244" i="15" s="1"/>
  <c r="O243" i="15"/>
  <c r="M243" i="15"/>
  <c r="P243" i="15" s="1"/>
  <c r="J243" i="15"/>
  <c r="I243" i="15"/>
  <c r="N243" i="15" s="1"/>
  <c r="C243" i="15"/>
  <c r="B243" i="15"/>
  <c r="O242" i="15"/>
  <c r="M242" i="15"/>
  <c r="J242" i="15"/>
  <c r="I242" i="15"/>
  <c r="N242" i="15" s="1"/>
  <c r="C242" i="15"/>
  <c r="B242" i="15"/>
  <c r="O241" i="15"/>
  <c r="N241" i="15"/>
  <c r="M241" i="15"/>
  <c r="P241" i="15" s="1"/>
  <c r="J241" i="15"/>
  <c r="I241" i="15"/>
  <c r="C241" i="15"/>
  <c r="B241" i="15"/>
  <c r="O240" i="15"/>
  <c r="J240" i="15"/>
  <c r="I240" i="15"/>
  <c r="N240" i="15" s="1"/>
  <c r="C240" i="15"/>
  <c r="B240" i="15"/>
  <c r="O239" i="15"/>
  <c r="M239" i="15"/>
  <c r="P239" i="15" s="1"/>
  <c r="J239" i="15"/>
  <c r="I239" i="15"/>
  <c r="N239" i="15" s="1"/>
  <c r="C239" i="15"/>
  <c r="B239" i="15"/>
  <c r="O238" i="15"/>
  <c r="M238" i="15"/>
  <c r="P238" i="15" s="1"/>
  <c r="J238" i="15"/>
  <c r="I238" i="15"/>
  <c r="N238" i="15" s="1"/>
  <c r="C238" i="15"/>
  <c r="B238" i="15"/>
  <c r="O237" i="15"/>
  <c r="N237" i="15"/>
  <c r="M237" i="15"/>
  <c r="P237" i="15" s="1"/>
  <c r="J237" i="15"/>
  <c r="I237" i="15"/>
  <c r="C237" i="15"/>
  <c r="B237" i="15"/>
  <c r="O236" i="15"/>
  <c r="J236" i="15"/>
  <c r="I236" i="15"/>
  <c r="N236" i="15" s="1"/>
  <c r="C236" i="15"/>
  <c r="B236" i="15"/>
  <c r="O235" i="15"/>
  <c r="M235" i="15"/>
  <c r="J235" i="15"/>
  <c r="I235" i="15"/>
  <c r="N235" i="15" s="1"/>
  <c r="C235" i="15"/>
  <c r="B235" i="15"/>
  <c r="O234" i="15"/>
  <c r="M234" i="15"/>
  <c r="J234" i="15"/>
  <c r="I234" i="15"/>
  <c r="N234" i="15" s="1"/>
  <c r="C234" i="15"/>
  <c r="B234" i="15"/>
  <c r="O233" i="15"/>
  <c r="N233" i="15"/>
  <c r="J233" i="15"/>
  <c r="I233" i="15"/>
  <c r="C233" i="15"/>
  <c r="B233" i="15"/>
  <c r="O232" i="15"/>
  <c r="J232" i="15"/>
  <c r="I232" i="15"/>
  <c r="N232" i="15" s="1"/>
  <c r="C232" i="15"/>
  <c r="B232" i="15"/>
  <c r="O231" i="15"/>
  <c r="M231" i="15"/>
  <c r="J231" i="15"/>
  <c r="I231" i="15"/>
  <c r="N231" i="15" s="1"/>
  <c r="C231" i="15"/>
  <c r="B231" i="15"/>
  <c r="O230" i="15"/>
  <c r="M230" i="15"/>
  <c r="P230" i="15" s="1"/>
  <c r="J230" i="15"/>
  <c r="I230" i="15"/>
  <c r="N230" i="15" s="1"/>
  <c r="C230" i="15"/>
  <c r="B230" i="15"/>
  <c r="O229" i="15"/>
  <c r="N229" i="15"/>
  <c r="J229" i="15"/>
  <c r="I229" i="15"/>
  <c r="C229" i="15"/>
  <c r="B229" i="15"/>
  <c r="O228" i="15"/>
  <c r="J228" i="15"/>
  <c r="I228" i="15"/>
  <c r="N228" i="15" s="1"/>
  <c r="C228" i="15"/>
  <c r="B228" i="15"/>
  <c r="O227" i="15"/>
  <c r="M227" i="15"/>
  <c r="K227" i="15"/>
  <c r="J227" i="15"/>
  <c r="I227" i="15"/>
  <c r="N227" i="15" s="1"/>
  <c r="C227" i="15"/>
  <c r="B227" i="15"/>
  <c r="O226" i="15"/>
  <c r="M226" i="15"/>
  <c r="J226" i="15"/>
  <c r="I226" i="15"/>
  <c r="N226" i="15" s="1"/>
  <c r="C226" i="15"/>
  <c r="B226" i="15"/>
  <c r="O225" i="15"/>
  <c r="N225" i="15"/>
  <c r="M225" i="15"/>
  <c r="P225" i="15" s="1"/>
  <c r="J225" i="15"/>
  <c r="I225" i="15"/>
  <c r="C225" i="15"/>
  <c r="B225" i="15"/>
  <c r="O224" i="15"/>
  <c r="J224" i="15"/>
  <c r="I224" i="15"/>
  <c r="N224" i="15" s="1"/>
  <c r="C224" i="15"/>
  <c r="B224" i="15"/>
  <c r="O223" i="15"/>
  <c r="M223" i="15"/>
  <c r="P223" i="15" s="1"/>
  <c r="J223" i="15"/>
  <c r="I223" i="15"/>
  <c r="N223" i="15" s="1"/>
  <c r="C223" i="15"/>
  <c r="B223" i="15"/>
  <c r="O222" i="15"/>
  <c r="M222" i="15"/>
  <c r="P222" i="15" s="1"/>
  <c r="J222" i="15"/>
  <c r="I222" i="15"/>
  <c r="N222" i="15" s="1"/>
  <c r="C222" i="15"/>
  <c r="B222" i="15"/>
  <c r="O221" i="15"/>
  <c r="N221" i="15"/>
  <c r="M221" i="15"/>
  <c r="P221" i="15" s="1"/>
  <c r="J221" i="15"/>
  <c r="I221" i="15"/>
  <c r="C221" i="15"/>
  <c r="B221" i="15"/>
  <c r="O220" i="15"/>
  <c r="J220" i="15"/>
  <c r="I220" i="15"/>
  <c r="N220" i="15" s="1"/>
  <c r="C220" i="15"/>
  <c r="B220" i="15"/>
  <c r="O219" i="15"/>
  <c r="M219" i="15"/>
  <c r="J219" i="15"/>
  <c r="I219" i="15"/>
  <c r="N219" i="15" s="1"/>
  <c r="C219" i="15"/>
  <c r="B219" i="15"/>
  <c r="O218" i="15"/>
  <c r="M218" i="15"/>
  <c r="J218" i="15"/>
  <c r="I218" i="15"/>
  <c r="N218" i="15" s="1"/>
  <c r="C218" i="15"/>
  <c r="B218" i="15"/>
  <c r="O217" i="15"/>
  <c r="N217" i="15"/>
  <c r="J217" i="15"/>
  <c r="I217" i="15"/>
  <c r="C217" i="15"/>
  <c r="B217" i="15"/>
  <c r="O216" i="15"/>
  <c r="J216" i="15"/>
  <c r="I216" i="15"/>
  <c r="N216" i="15" s="1"/>
  <c r="C216" i="15"/>
  <c r="B216" i="15"/>
  <c r="O215" i="15"/>
  <c r="M215" i="15"/>
  <c r="J215" i="15"/>
  <c r="I215" i="15"/>
  <c r="N215" i="15" s="1"/>
  <c r="C215" i="15"/>
  <c r="B215" i="15"/>
  <c r="O214" i="15"/>
  <c r="M214" i="15"/>
  <c r="P214" i="15" s="1"/>
  <c r="J214" i="15"/>
  <c r="I214" i="15"/>
  <c r="N214" i="15" s="1"/>
  <c r="C214" i="15"/>
  <c r="B214" i="15"/>
  <c r="O213" i="15"/>
  <c r="N213" i="15"/>
  <c r="J213" i="15"/>
  <c r="I213" i="15"/>
  <c r="C213" i="15"/>
  <c r="B213" i="15"/>
  <c r="O212" i="15"/>
  <c r="J212" i="15"/>
  <c r="I212" i="15"/>
  <c r="N212" i="15" s="1"/>
  <c r="C212" i="15"/>
  <c r="B212" i="15"/>
  <c r="O211" i="15"/>
  <c r="M211" i="15"/>
  <c r="P211" i="15" s="1"/>
  <c r="J211" i="15"/>
  <c r="I211" i="15"/>
  <c r="N211" i="15" s="1"/>
  <c r="C211" i="15"/>
  <c r="B211" i="15"/>
  <c r="O210" i="15"/>
  <c r="J210" i="15"/>
  <c r="I210" i="15"/>
  <c r="N210" i="15" s="1"/>
  <c r="C210" i="15"/>
  <c r="B210" i="15"/>
  <c r="M210" i="15" s="1"/>
  <c r="P210" i="15" s="1"/>
  <c r="O209" i="15"/>
  <c r="M209" i="15"/>
  <c r="P209" i="15" s="1"/>
  <c r="J209" i="15"/>
  <c r="I209" i="15"/>
  <c r="N209" i="15" s="1"/>
  <c r="C209" i="15"/>
  <c r="B209" i="15"/>
  <c r="O208" i="15"/>
  <c r="J208" i="15"/>
  <c r="I208" i="15"/>
  <c r="N208" i="15" s="1"/>
  <c r="C208" i="15"/>
  <c r="B208" i="15"/>
  <c r="O207" i="15"/>
  <c r="M207" i="15"/>
  <c r="J207" i="15"/>
  <c r="I207" i="15"/>
  <c r="N207" i="15" s="1"/>
  <c r="C207" i="15"/>
  <c r="B207" i="15"/>
  <c r="O206" i="15"/>
  <c r="J206" i="15"/>
  <c r="I206" i="15"/>
  <c r="N206" i="15" s="1"/>
  <c r="C206" i="15"/>
  <c r="B206" i="15"/>
  <c r="M206" i="15" s="1"/>
  <c r="O205" i="15"/>
  <c r="N205" i="15"/>
  <c r="J205" i="15"/>
  <c r="I205" i="15"/>
  <c r="C205" i="15"/>
  <c r="B205" i="15"/>
  <c r="M205" i="15" s="1"/>
  <c r="P205" i="15" s="1"/>
  <c r="O204" i="15"/>
  <c r="J204" i="15"/>
  <c r="I204" i="15"/>
  <c r="N204" i="15" s="1"/>
  <c r="C204" i="15"/>
  <c r="B204" i="15"/>
  <c r="O203" i="15"/>
  <c r="M203" i="15"/>
  <c r="J203" i="15"/>
  <c r="I203" i="15"/>
  <c r="N203" i="15" s="1"/>
  <c r="C203" i="15"/>
  <c r="B203" i="15"/>
  <c r="O202" i="15"/>
  <c r="M202" i="15"/>
  <c r="J202" i="15"/>
  <c r="I202" i="15"/>
  <c r="N202" i="15" s="1"/>
  <c r="C202" i="15"/>
  <c r="B202" i="15"/>
  <c r="K202" i="15" s="1"/>
  <c r="O201" i="15"/>
  <c r="N201" i="15"/>
  <c r="J201" i="15"/>
  <c r="I201" i="15"/>
  <c r="C201" i="15"/>
  <c r="B201" i="15"/>
  <c r="O200" i="15"/>
  <c r="J200" i="15"/>
  <c r="I200" i="15"/>
  <c r="N200" i="15" s="1"/>
  <c r="C200" i="15"/>
  <c r="B200" i="15"/>
  <c r="O199" i="15"/>
  <c r="M199" i="15"/>
  <c r="K199" i="15"/>
  <c r="J199" i="15"/>
  <c r="I199" i="15"/>
  <c r="N199" i="15" s="1"/>
  <c r="C199" i="15"/>
  <c r="B199" i="15"/>
  <c r="O198" i="15"/>
  <c r="M198" i="15"/>
  <c r="P198" i="15" s="1"/>
  <c r="K198" i="15"/>
  <c r="J198" i="15"/>
  <c r="I198" i="15"/>
  <c r="N198" i="15" s="1"/>
  <c r="C198" i="15"/>
  <c r="B198" i="15"/>
  <c r="O197" i="15"/>
  <c r="M197" i="15"/>
  <c r="J197" i="15"/>
  <c r="I197" i="15"/>
  <c r="N197" i="15" s="1"/>
  <c r="C197" i="15"/>
  <c r="B197" i="15"/>
  <c r="O196" i="15"/>
  <c r="J196" i="15"/>
  <c r="I196" i="15"/>
  <c r="N196" i="15" s="1"/>
  <c r="C196" i="15"/>
  <c r="B196" i="15"/>
  <c r="O195" i="15"/>
  <c r="M195" i="15"/>
  <c r="P195" i="15" s="1"/>
  <c r="J195" i="15"/>
  <c r="I195" i="15"/>
  <c r="N195" i="15" s="1"/>
  <c r="C195" i="15"/>
  <c r="B195" i="15"/>
  <c r="O194" i="15"/>
  <c r="J194" i="15"/>
  <c r="I194" i="15"/>
  <c r="N194" i="15" s="1"/>
  <c r="C194" i="15"/>
  <c r="B194" i="15"/>
  <c r="M194" i="15" s="1"/>
  <c r="P194" i="15" s="1"/>
  <c r="O193" i="15"/>
  <c r="J193" i="15"/>
  <c r="I193" i="15"/>
  <c r="N193" i="15" s="1"/>
  <c r="C193" i="15"/>
  <c r="B193" i="15"/>
  <c r="O192" i="15"/>
  <c r="J192" i="15"/>
  <c r="I192" i="15"/>
  <c r="N192" i="15" s="1"/>
  <c r="C192" i="15"/>
  <c r="B192" i="15"/>
  <c r="O191" i="15"/>
  <c r="M191" i="15"/>
  <c r="P191" i="15" s="1"/>
  <c r="J191" i="15"/>
  <c r="I191" i="15"/>
  <c r="N191" i="15" s="1"/>
  <c r="C191" i="15"/>
  <c r="B191" i="15"/>
  <c r="O190" i="15"/>
  <c r="M190" i="15"/>
  <c r="P190" i="15" s="1"/>
  <c r="J190" i="15"/>
  <c r="I190" i="15"/>
  <c r="N190" i="15" s="1"/>
  <c r="C190" i="15"/>
  <c r="B190" i="15"/>
  <c r="K190" i="15" s="1"/>
  <c r="O189" i="15"/>
  <c r="N189" i="15"/>
  <c r="M189" i="15"/>
  <c r="J189" i="15"/>
  <c r="I189" i="15"/>
  <c r="C189" i="15"/>
  <c r="B189" i="15"/>
  <c r="O188" i="15"/>
  <c r="K188" i="15"/>
  <c r="J188" i="15"/>
  <c r="I188" i="15"/>
  <c r="N188" i="15" s="1"/>
  <c r="C188" i="15"/>
  <c r="B188" i="15"/>
  <c r="O187" i="15"/>
  <c r="M187" i="15"/>
  <c r="J187" i="15"/>
  <c r="I187" i="15"/>
  <c r="N187" i="15" s="1"/>
  <c r="C187" i="15"/>
  <c r="B187" i="15"/>
  <c r="O186" i="15"/>
  <c r="M186" i="15"/>
  <c r="J186" i="15"/>
  <c r="I186" i="15"/>
  <c r="N186" i="15" s="1"/>
  <c r="C186" i="15"/>
  <c r="B186" i="15"/>
  <c r="O185" i="15"/>
  <c r="M185" i="15"/>
  <c r="J185" i="15"/>
  <c r="I185" i="15"/>
  <c r="N185" i="15" s="1"/>
  <c r="C185" i="15"/>
  <c r="B185" i="15"/>
  <c r="O184" i="15"/>
  <c r="J184" i="15"/>
  <c r="I184" i="15"/>
  <c r="N184" i="15" s="1"/>
  <c r="C184" i="15"/>
  <c r="B184" i="15"/>
  <c r="K184" i="15" s="1"/>
  <c r="O183" i="15"/>
  <c r="M183" i="15"/>
  <c r="J183" i="15"/>
  <c r="I183" i="15"/>
  <c r="N183" i="15" s="1"/>
  <c r="C183" i="15"/>
  <c r="B183" i="15"/>
  <c r="O182" i="15"/>
  <c r="J182" i="15"/>
  <c r="I182" i="15"/>
  <c r="N182" i="15" s="1"/>
  <c r="C182" i="15"/>
  <c r="B182" i="15"/>
  <c r="O181" i="15"/>
  <c r="J181" i="15"/>
  <c r="I181" i="15"/>
  <c r="N181" i="15" s="1"/>
  <c r="C181" i="15"/>
  <c r="B181" i="15"/>
  <c r="O180" i="15"/>
  <c r="J180" i="15"/>
  <c r="I180" i="15"/>
  <c r="N180" i="15" s="1"/>
  <c r="C180" i="15"/>
  <c r="B180" i="15"/>
  <c r="O179" i="15"/>
  <c r="M179" i="15"/>
  <c r="P179" i="15" s="1"/>
  <c r="J179" i="15"/>
  <c r="I179" i="15"/>
  <c r="N179" i="15" s="1"/>
  <c r="C179" i="15"/>
  <c r="B179" i="15"/>
  <c r="O178" i="15"/>
  <c r="J178" i="15"/>
  <c r="I178" i="15"/>
  <c r="N178" i="15" s="1"/>
  <c r="C178" i="15"/>
  <c r="B178" i="15"/>
  <c r="M178" i="15" s="1"/>
  <c r="P178" i="15" s="1"/>
  <c r="O177" i="15"/>
  <c r="M177" i="15"/>
  <c r="P177" i="15" s="1"/>
  <c r="J177" i="15"/>
  <c r="I177" i="15"/>
  <c r="N177" i="15" s="1"/>
  <c r="C177" i="15"/>
  <c r="B177" i="15"/>
  <c r="O176" i="15"/>
  <c r="J176" i="15"/>
  <c r="I176" i="15"/>
  <c r="N176" i="15" s="1"/>
  <c r="C176" i="15"/>
  <c r="B176" i="15"/>
  <c r="O175" i="15"/>
  <c r="M175" i="15"/>
  <c r="J175" i="15"/>
  <c r="I175" i="15"/>
  <c r="N175" i="15" s="1"/>
  <c r="C175" i="15"/>
  <c r="B175" i="15"/>
  <c r="O174" i="15"/>
  <c r="J174" i="15"/>
  <c r="I174" i="15"/>
  <c r="N174" i="15" s="1"/>
  <c r="C174" i="15"/>
  <c r="B174" i="15"/>
  <c r="M174" i="15" s="1"/>
  <c r="O173" i="15"/>
  <c r="N173" i="15"/>
  <c r="J173" i="15"/>
  <c r="I173" i="15"/>
  <c r="C173" i="15"/>
  <c r="B173" i="15"/>
  <c r="M173" i="15" s="1"/>
  <c r="P173" i="15" s="1"/>
  <c r="O172" i="15"/>
  <c r="J172" i="15"/>
  <c r="I172" i="15"/>
  <c r="N172" i="15" s="1"/>
  <c r="C172" i="15"/>
  <c r="B172" i="15"/>
  <c r="O171" i="15"/>
  <c r="M171" i="15"/>
  <c r="J171" i="15"/>
  <c r="I171" i="15"/>
  <c r="N171" i="15" s="1"/>
  <c r="C171" i="15"/>
  <c r="B171" i="15"/>
  <c r="O170" i="15"/>
  <c r="M170" i="15"/>
  <c r="J170" i="15"/>
  <c r="I170" i="15"/>
  <c r="N170" i="15" s="1"/>
  <c r="C170" i="15"/>
  <c r="B170" i="15"/>
  <c r="K170" i="15" s="1"/>
  <c r="O169" i="15"/>
  <c r="N169" i="15"/>
  <c r="J169" i="15"/>
  <c r="I169" i="15"/>
  <c r="C169" i="15"/>
  <c r="B169" i="15"/>
  <c r="O168" i="15"/>
  <c r="J168" i="15"/>
  <c r="I168" i="15"/>
  <c r="N168" i="15" s="1"/>
  <c r="C168" i="15"/>
  <c r="B168" i="15"/>
  <c r="O167" i="15"/>
  <c r="M167" i="15"/>
  <c r="K167" i="15"/>
  <c r="J167" i="15"/>
  <c r="I167" i="15"/>
  <c r="N167" i="15" s="1"/>
  <c r="C167" i="15"/>
  <c r="B167" i="15"/>
  <c r="O166" i="15"/>
  <c r="M166" i="15"/>
  <c r="P166" i="15" s="1"/>
  <c r="K166" i="15"/>
  <c r="J166" i="15"/>
  <c r="I166" i="15"/>
  <c r="N166" i="15" s="1"/>
  <c r="C166" i="15"/>
  <c r="B166" i="15"/>
  <c r="O165" i="15"/>
  <c r="M165" i="15"/>
  <c r="J165" i="15"/>
  <c r="I165" i="15"/>
  <c r="N165" i="15" s="1"/>
  <c r="C165" i="15"/>
  <c r="B165" i="15"/>
  <c r="O164" i="15"/>
  <c r="J164" i="15"/>
  <c r="I164" i="15"/>
  <c r="N164" i="15" s="1"/>
  <c r="C164" i="15"/>
  <c r="B164" i="15"/>
  <c r="O163" i="15"/>
  <c r="M163" i="15"/>
  <c r="P163" i="15" s="1"/>
  <c r="J163" i="15"/>
  <c r="I163" i="15"/>
  <c r="N163" i="15" s="1"/>
  <c r="C163" i="15"/>
  <c r="B163" i="15"/>
  <c r="O162" i="15"/>
  <c r="J162" i="15"/>
  <c r="I162" i="15"/>
  <c r="N162" i="15" s="1"/>
  <c r="C162" i="15"/>
  <c r="B162" i="15"/>
  <c r="M162" i="15" s="1"/>
  <c r="P162" i="15" s="1"/>
  <c r="O161" i="15"/>
  <c r="J161" i="15"/>
  <c r="I161" i="15"/>
  <c r="N161" i="15" s="1"/>
  <c r="C161" i="15"/>
  <c r="B161" i="15"/>
  <c r="O160" i="15"/>
  <c r="J160" i="15"/>
  <c r="I160" i="15"/>
  <c r="N160" i="15" s="1"/>
  <c r="C160" i="15"/>
  <c r="B160" i="15"/>
  <c r="O159" i="15"/>
  <c r="M159" i="15"/>
  <c r="P159" i="15" s="1"/>
  <c r="J159" i="15"/>
  <c r="I159" i="15"/>
  <c r="N159" i="15" s="1"/>
  <c r="C159" i="15"/>
  <c r="B159" i="15"/>
  <c r="O158" i="15"/>
  <c r="M158" i="15"/>
  <c r="P158" i="15" s="1"/>
  <c r="J158" i="15"/>
  <c r="I158" i="15"/>
  <c r="N158" i="15" s="1"/>
  <c r="C158" i="15"/>
  <c r="B158" i="15"/>
  <c r="K158" i="15" s="1"/>
  <c r="O157" i="15"/>
  <c r="N157" i="15"/>
  <c r="M157" i="15"/>
  <c r="J157" i="15"/>
  <c r="I157" i="15"/>
  <c r="C157" i="15"/>
  <c r="B157" i="15"/>
  <c r="O156" i="15"/>
  <c r="K156" i="15"/>
  <c r="J156" i="15"/>
  <c r="I156" i="15"/>
  <c r="N156" i="15" s="1"/>
  <c r="C156" i="15"/>
  <c r="B156" i="15"/>
  <c r="O155" i="15"/>
  <c r="M155" i="15"/>
  <c r="J155" i="15"/>
  <c r="I155" i="15"/>
  <c r="N155" i="15" s="1"/>
  <c r="C155" i="15"/>
  <c r="B155" i="15"/>
  <c r="O154" i="15"/>
  <c r="M154" i="15"/>
  <c r="J154" i="15"/>
  <c r="I154" i="15"/>
  <c r="N154" i="15" s="1"/>
  <c r="C154" i="15"/>
  <c r="B154" i="15"/>
  <c r="O153" i="15"/>
  <c r="M153" i="15"/>
  <c r="J153" i="15"/>
  <c r="I153" i="15"/>
  <c r="N153" i="15" s="1"/>
  <c r="C153" i="15"/>
  <c r="B153" i="15"/>
  <c r="O152" i="15"/>
  <c r="J152" i="15"/>
  <c r="I152" i="15"/>
  <c r="N152" i="15" s="1"/>
  <c r="C152" i="15"/>
  <c r="B152" i="15"/>
  <c r="M152" i="15" s="1"/>
  <c r="O151" i="15"/>
  <c r="M151" i="15"/>
  <c r="J151" i="15"/>
  <c r="I151" i="15"/>
  <c r="N151" i="15" s="1"/>
  <c r="C151" i="15"/>
  <c r="B151" i="15"/>
  <c r="O150" i="15"/>
  <c r="M150" i="15"/>
  <c r="P150" i="15" s="1"/>
  <c r="J150" i="15"/>
  <c r="I150" i="15"/>
  <c r="N150" i="15" s="1"/>
  <c r="C150" i="15"/>
  <c r="B150" i="15"/>
  <c r="O149" i="15"/>
  <c r="M149" i="15"/>
  <c r="J149" i="15"/>
  <c r="I149" i="15"/>
  <c r="N149" i="15" s="1"/>
  <c r="C149" i="15"/>
  <c r="B149" i="15"/>
  <c r="O148" i="15"/>
  <c r="J148" i="15"/>
  <c r="I148" i="15"/>
  <c r="N148" i="15" s="1"/>
  <c r="C148" i="15"/>
  <c r="B148" i="15"/>
  <c r="M148" i="15" s="1"/>
  <c r="O147" i="15"/>
  <c r="M147" i="15"/>
  <c r="J147" i="15"/>
  <c r="I147" i="15"/>
  <c r="N147" i="15" s="1"/>
  <c r="C147" i="15"/>
  <c r="B147" i="15"/>
  <c r="O146" i="15"/>
  <c r="M146" i="15"/>
  <c r="P146" i="15" s="1"/>
  <c r="J146" i="15"/>
  <c r="I146" i="15"/>
  <c r="N146" i="15" s="1"/>
  <c r="C146" i="15"/>
  <c r="B146" i="15"/>
  <c r="O145" i="15"/>
  <c r="M145" i="15"/>
  <c r="J145" i="15"/>
  <c r="I145" i="15"/>
  <c r="N145" i="15" s="1"/>
  <c r="C145" i="15"/>
  <c r="B145" i="15"/>
  <c r="O144" i="15"/>
  <c r="M144" i="15"/>
  <c r="P144" i="15" s="1"/>
  <c r="K144" i="15"/>
  <c r="J144" i="15"/>
  <c r="I144" i="15"/>
  <c r="N144" i="15" s="1"/>
  <c r="C144" i="15"/>
  <c r="B144" i="15"/>
  <c r="O143" i="15"/>
  <c r="N143" i="15"/>
  <c r="K143" i="15"/>
  <c r="J143" i="15"/>
  <c r="I143" i="15"/>
  <c r="C143" i="15"/>
  <c r="B143" i="15"/>
  <c r="M143" i="15" s="1"/>
  <c r="P143" i="15" s="1"/>
  <c r="O142" i="15"/>
  <c r="J142" i="15"/>
  <c r="I142" i="15"/>
  <c r="N142" i="15" s="1"/>
  <c r="C142" i="15"/>
  <c r="B142" i="15"/>
  <c r="M142" i="15" s="1"/>
  <c r="P142" i="15" s="1"/>
  <c r="O141" i="15"/>
  <c r="N141" i="15"/>
  <c r="M141" i="15"/>
  <c r="P141" i="15" s="1"/>
  <c r="J141" i="15"/>
  <c r="I141" i="15"/>
  <c r="C141" i="15"/>
  <c r="B141" i="15"/>
  <c r="O140" i="15"/>
  <c r="M140" i="15"/>
  <c r="P140" i="15" s="1"/>
  <c r="J140" i="15"/>
  <c r="I140" i="15"/>
  <c r="N140" i="15" s="1"/>
  <c r="C140" i="15"/>
  <c r="B140" i="15"/>
  <c r="O139" i="15"/>
  <c r="N139" i="15"/>
  <c r="J139" i="15"/>
  <c r="I139" i="15"/>
  <c r="C139" i="15"/>
  <c r="B139" i="15"/>
  <c r="O138" i="15"/>
  <c r="M138" i="15"/>
  <c r="P138" i="15" s="1"/>
  <c r="J138" i="15"/>
  <c r="I138" i="15"/>
  <c r="N138" i="15" s="1"/>
  <c r="C138" i="15"/>
  <c r="B138" i="15"/>
  <c r="K138" i="15" s="1"/>
  <c r="O137" i="15"/>
  <c r="N137" i="15"/>
  <c r="M137" i="15"/>
  <c r="J137" i="15"/>
  <c r="I137" i="15"/>
  <c r="C137" i="15"/>
  <c r="B137" i="15"/>
  <c r="O136" i="15"/>
  <c r="J136" i="15"/>
  <c r="I136" i="15"/>
  <c r="N136" i="15" s="1"/>
  <c r="C136" i="15"/>
  <c r="B136" i="15"/>
  <c r="O135" i="15"/>
  <c r="J135" i="15"/>
  <c r="I135" i="15"/>
  <c r="N135" i="15" s="1"/>
  <c r="C135" i="15"/>
  <c r="B135" i="15"/>
  <c r="O134" i="15"/>
  <c r="J134" i="15"/>
  <c r="I134" i="15"/>
  <c r="N134" i="15" s="1"/>
  <c r="C134" i="15"/>
  <c r="B134" i="15"/>
  <c r="M134" i="15" s="1"/>
  <c r="P134" i="15" s="1"/>
  <c r="O133" i="15"/>
  <c r="J133" i="15"/>
  <c r="I133" i="15"/>
  <c r="N133" i="15" s="1"/>
  <c r="C133" i="15"/>
  <c r="B133" i="15"/>
  <c r="M133" i="15" s="1"/>
  <c r="O132" i="15"/>
  <c r="J132" i="15"/>
  <c r="I132" i="15"/>
  <c r="N132" i="15" s="1"/>
  <c r="C132" i="15"/>
  <c r="B132" i="15"/>
  <c r="M132" i="15" s="1"/>
  <c r="O131" i="15"/>
  <c r="M131" i="15"/>
  <c r="J131" i="15"/>
  <c r="I131" i="15"/>
  <c r="N131" i="15" s="1"/>
  <c r="C131" i="15"/>
  <c r="B131" i="15"/>
  <c r="O130" i="15"/>
  <c r="M130" i="15"/>
  <c r="P130" i="15" s="1"/>
  <c r="J130" i="15"/>
  <c r="I130" i="15"/>
  <c r="N130" i="15" s="1"/>
  <c r="C130" i="15"/>
  <c r="B130" i="15"/>
  <c r="O129" i="15"/>
  <c r="M129" i="15"/>
  <c r="J129" i="15"/>
  <c r="I129" i="15"/>
  <c r="N129" i="15" s="1"/>
  <c r="C129" i="15"/>
  <c r="B129" i="15"/>
  <c r="O128" i="15"/>
  <c r="M128" i="15"/>
  <c r="P128" i="15" s="1"/>
  <c r="K128" i="15"/>
  <c r="J128" i="15"/>
  <c r="I128" i="15"/>
  <c r="N128" i="15" s="1"/>
  <c r="C128" i="15"/>
  <c r="B128" i="15"/>
  <c r="O127" i="15"/>
  <c r="N127" i="15"/>
  <c r="K127" i="15"/>
  <c r="J127" i="15"/>
  <c r="I127" i="15"/>
  <c r="C127" i="15"/>
  <c r="B127" i="15"/>
  <c r="M127" i="15" s="1"/>
  <c r="P127" i="15" s="1"/>
  <c r="O126" i="15"/>
  <c r="J126" i="15"/>
  <c r="I126" i="15"/>
  <c r="N126" i="15" s="1"/>
  <c r="C126" i="15"/>
  <c r="B126" i="15"/>
  <c r="M126" i="15" s="1"/>
  <c r="P126" i="15" s="1"/>
  <c r="O125" i="15"/>
  <c r="N125" i="15"/>
  <c r="M125" i="15"/>
  <c r="P125" i="15" s="1"/>
  <c r="J125" i="15"/>
  <c r="I125" i="15"/>
  <c r="C125" i="15"/>
  <c r="B125" i="15"/>
  <c r="O124" i="15"/>
  <c r="M124" i="15"/>
  <c r="P124" i="15" s="1"/>
  <c r="J124" i="15"/>
  <c r="I124" i="15"/>
  <c r="N124" i="15" s="1"/>
  <c r="C124" i="15"/>
  <c r="B124" i="15"/>
  <c r="O123" i="15"/>
  <c r="N123" i="15"/>
  <c r="J123" i="15"/>
  <c r="I123" i="15"/>
  <c r="C123" i="15"/>
  <c r="B123" i="15"/>
  <c r="O122" i="15"/>
  <c r="M122" i="15"/>
  <c r="P122" i="15" s="1"/>
  <c r="J122" i="15"/>
  <c r="I122" i="15"/>
  <c r="N122" i="15" s="1"/>
  <c r="C122" i="15"/>
  <c r="B122" i="15"/>
  <c r="K122" i="15" s="1"/>
  <c r="O121" i="15"/>
  <c r="N121" i="15"/>
  <c r="M121" i="15"/>
  <c r="J121" i="15"/>
  <c r="I121" i="15"/>
  <c r="C121" i="15"/>
  <c r="B121" i="15"/>
  <c r="O120" i="15"/>
  <c r="J120" i="15"/>
  <c r="I120" i="15"/>
  <c r="N120" i="15" s="1"/>
  <c r="C120" i="15"/>
  <c r="B120" i="15"/>
  <c r="O119" i="15"/>
  <c r="J119" i="15"/>
  <c r="I119" i="15"/>
  <c r="N119" i="15" s="1"/>
  <c r="C119" i="15"/>
  <c r="B119" i="15"/>
  <c r="O118" i="15"/>
  <c r="J118" i="15"/>
  <c r="I118" i="15"/>
  <c r="N118" i="15" s="1"/>
  <c r="C118" i="15"/>
  <c r="B118" i="15"/>
  <c r="M118" i="15" s="1"/>
  <c r="P118" i="15" s="1"/>
  <c r="O117" i="15"/>
  <c r="J117" i="15"/>
  <c r="I117" i="15"/>
  <c r="N117" i="15" s="1"/>
  <c r="C117" i="15"/>
  <c r="B117" i="15"/>
  <c r="M117" i="15" s="1"/>
  <c r="O116" i="15"/>
  <c r="J116" i="15"/>
  <c r="I116" i="15"/>
  <c r="N116" i="15" s="1"/>
  <c r="C116" i="15"/>
  <c r="B116" i="15"/>
  <c r="M116" i="15" s="1"/>
  <c r="O115" i="15"/>
  <c r="M115" i="15"/>
  <c r="J115" i="15"/>
  <c r="I115" i="15"/>
  <c r="N115" i="15" s="1"/>
  <c r="C115" i="15"/>
  <c r="B115" i="15"/>
  <c r="O114" i="15"/>
  <c r="M114" i="15"/>
  <c r="P114" i="15" s="1"/>
  <c r="J114" i="15"/>
  <c r="I114" i="15"/>
  <c r="N114" i="15" s="1"/>
  <c r="C114" i="15"/>
  <c r="B114" i="15"/>
  <c r="O113" i="15"/>
  <c r="M113" i="15"/>
  <c r="J113" i="15"/>
  <c r="I113" i="15"/>
  <c r="N113" i="15" s="1"/>
  <c r="C113" i="15"/>
  <c r="B113" i="15"/>
  <c r="O112" i="15"/>
  <c r="M112" i="15"/>
  <c r="P112" i="15" s="1"/>
  <c r="K112" i="15"/>
  <c r="J112" i="15"/>
  <c r="I112" i="15"/>
  <c r="N112" i="15" s="1"/>
  <c r="C112" i="15"/>
  <c r="B112" i="15"/>
  <c r="O111" i="15"/>
  <c r="N111" i="15"/>
  <c r="K111" i="15"/>
  <c r="J111" i="15"/>
  <c r="I111" i="15"/>
  <c r="C111" i="15"/>
  <c r="B111" i="15"/>
  <c r="M111" i="15" s="1"/>
  <c r="P111" i="15" s="1"/>
  <c r="O110" i="15"/>
  <c r="J110" i="15"/>
  <c r="I110" i="15"/>
  <c r="N110" i="15" s="1"/>
  <c r="C110" i="15"/>
  <c r="B110" i="15"/>
  <c r="M110" i="15" s="1"/>
  <c r="P110" i="15" s="1"/>
  <c r="O109" i="15"/>
  <c r="N109" i="15"/>
  <c r="M109" i="15"/>
  <c r="P109" i="15" s="1"/>
  <c r="J109" i="15"/>
  <c r="I109" i="15"/>
  <c r="C109" i="15"/>
  <c r="B109" i="15"/>
  <c r="O108" i="15"/>
  <c r="M108" i="15"/>
  <c r="P108" i="15" s="1"/>
  <c r="J108" i="15"/>
  <c r="I108" i="15"/>
  <c r="N108" i="15" s="1"/>
  <c r="C108" i="15"/>
  <c r="B108" i="15"/>
  <c r="O107" i="15"/>
  <c r="N107" i="15"/>
  <c r="J107" i="15"/>
  <c r="I107" i="15"/>
  <c r="C107" i="15"/>
  <c r="B107" i="15"/>
  <c r="O106" i="15"/>
  <c r="M106" i="15"/>
  <c r="P106" i="15" s="1"/>
  <c r="J106" i="15"/>
  <c r="I106" i="15"/>
  <c r="N106" i="15" s="1"/>
  <c r="C106" i="15"/>
  <c r="B106" i="15"/>
  <c r="K106" i="15" s="1"/>
  <c r="O105" i="15"/>
  <c r="N105" i="15"/>
  <c r="J105" i="15"/>
  <c r="I105" i="15"/>
  <c r="C105" i="15"/>
  <c r="B105" i="15"/>
  <c r="M105" i="15" s="1"/>
  <c r="P105" i="15" s="1"/>
  <c r="O104" i="15"/>
  <c r="M104" i="15"/>
  <c r="P104" i="15" s="1"/>
  <c r="J104" i="15"/>
  <c r="I104" i="15"/>
  <c r="N104" i="15" s="1"/>
  <c r="C104" i="15"/>
  <c r="B104" i="15"/>
  <c r="O103" i="15"/>
  <c r="N103" i="15"/>
  <c r="J103" i="15"/>
  <c r="I103" i="15"/>
  <c r="C103" i="15"/>
  <c r="B103" i="15"/>
  <c r="M103" i="15" s="1"/>
  <c r="P103" i="15" s="1"/>
  <c r="O102" i="15"/>
  <c r="N102" i="15"/>
  <c r="P102" i="15" s="1"/>
  <c r="M102" i="15"/>
  <c r="J102" i="15"/>
  <c r="I102" i="15"/>
  <c r="C102" i="15"/>
  <c r="B102" i="15"/>
  <c r="K102" i="15" s="1"/>
  <c r="O101" i="15"/>
  <c r="N101" i="15"/>
  <c r="J101" i="15"/>
  <c r="I101" i="15"/>
  <c r="C101" i="15"/>
  <c r="B101" i="15"/>
  <c r="M101" i="15" s="1"/>
  <c r="P101" i="15" s="1"/>
  <c r="O100" i="15"/>
  <c r="M100" i="15"/>
  <c r="J100" i="15"/>
  <c r="I100" i="15"/>
  <c r="N100" i="15" s="1"/>
  <c r="C100" i="15"/>
  <c r="B100" i="15"/>
  <c r="O99" i="15"/>
  <c r="N99" i="15"/>
  <c r="K99" i="15"/>
  <c r="J99" i="15"/>
  <c r="I99" i="15"/>
  <c r="C99" i="15"/>
  <c r="B99" i="15"/>
  <c r="M99" i="15" s="1"/>
  <c r="P99" i="15" s="1"/>
  <c r="O98" i="15"/>
  <c r="N98" i="15"/>
  <c r="P98" i="15" s="1"/>
  <c r="M98" i="15"/>
  <c r="J98" i="15"/>
  <c r="I98" i="15"/>
  <c r="C98" i="15"/>
  <c r="B98" i="15"/>
  <c r="K98" i="15" s="1"/>
  <c r="O97" i="15"/>
  <c r="N97" i="15"/>
  <c r="J97" i="15"/>
  <c r="I97" i="15"/>
  <c r="C97" i="15"/>
  <c r="B97" i="15"/>
  <c r="M97" i="15" s="1"/>
  <c r="P97" i="15" s="1"/>
  <c r="O96" i="15"/>
  <c r="M96" i="15"/>
  <c r="P96" i="15" s="1"/>
  <c r="J96" i="15"/>
  <c r="I96" i="15"/>
  <c r="N96" i="15" s="1"/>
  <c r="C96" i="15"/>
  <c r="B96" i="15"/>
  <c r="O95" i="15"/>
  <c r="N95" i="15"/>
  <c r="K95" i="15"/>
  <c r="J95" i="15"/>
  <c r="I95" i="15"/>
  <c r="C95" i="15"/>
  <c r="B95" i="15"/>
  <c r="M95" i="15" s="1"/>
  <c r="P95" i="15" s="1"/>
  <c r="O94" i="15"/>
  <c r="N94" i="15"/>
  <c r="P94" i="15" s="1"/>
  <c r="M94" i="15"/>
  <c r="J94" i="15"/>
  <c r="I94" i="15"/>
  <c r="C94" i="15"/>
  <c r="B94" i="15"/>
  <c r="K94" i="15" s="1"/>
  <c r="O93" i="15"/>
  <c r="N93" i="15"/>
  <c r="J93" i="15"/>
  <c r="I93" i="15"/>
  <c r="C93" i="15"/>
  <c r="B93" i="15"/>
  <c r="M93" i="15" s="1"/>
  <c r="P93" i="15" s="1"/>
  <c r="O92" i="15"/>
  <c r="M92" i="15"/>
  <c r="J92" i="15"/>
  <c r="I92" i="15"/>
  <c r="N92" i="15" s="1"/>
  <c r="C92" i="15"/>
  <c r="B92" i="15"/>
  <c r="O91" i="15"/>
  <c r="N91" i="15"/>
  <c r="K91" i="15"/>
  <c r="J91" i="15"/>
  <c r="I91" i="15"/>
  <c r="C91" i="15"/>
  <c r="B91" i="15"/>
  <c r="M91" i="15" s="1"/>
  <c r="P91" i="15" s="1"/>
  <c r="P90" i="15"/>
  <c r="O90" i="15"/>
  <c r="N90" i="15"/>
  <c r="M90" i="15"/>
  <c r="J90" i="15"/>
  <c r="I90" i="15"/>
  <c r="C90" i="15"/>
  <c r="B90" i="15"/>
  <c r="K90" i="15" s="1"/>
  <c r="O89" i="15"/>
  <c r="N89" i="15"/>
  <c r="J89" i="15"/>
  <c r="I89" i="15"/>
  <c r="C89" i="15"/>
  <c r="B89" i="15"/>
  <c r="M89" i="15" s="1"/>
  <c r="P89" i="15" s="1"/>
  <c r="O88" i="15"/>
  <c r="M88" i="15"/>
  <c r="J88" i="15"/>
  <c r="I88" i="15"/>
  <c r="N88" i="15" s="1"/>
  <c r="C88" i="15"/>
  <c r="B88" i="15"/>
  <c r="O87" i="15"/>
  <c r="N87" i="15"/>
  <c r="K87" i="15"/>
  <c r="J87" i="15"/>
  <c r="I87" i="15"/>
  <c r="C87" i="15"/>
  <c r="B87" i="15"/>
  <c r="M87" i="15" s="1"/>
  <c r="P87" i="15" s="1"/>
  <c r="P86" i="15"/>
  <c r="O86" i="15"/>
  <c r="N86" i="15"/>
  <c r="M86" i="15"/>
  <c r="J86" i="15"/>
  <c r="I86" i="15"/>
  <c r="C86" i="15"/>
  <c r="B86" i="15"/>
  <c r="K86" i="15" s="1"/>
  <c r="P85" i="15"/>
  <c r="O85" i="15"/>
  <c r="N85" i="15"/>
  <c r="J85" i="15"/>
  <c r="I85" i="15"/>
  <c r="C85" i="15"/>
  <c r="B85" i="15"/>
  <c r="M85" i="15" s="1"/>
  <c r="O84" i="15"/>
  <c r="M84" i="15"/>
  <c r="J84" i="15"/>
  <c r="I84" i="15"/>
  <c r="N84" i="15" s="1"/>
  <c r="C84" i="15"/>
  <c r="B84" i="15"/>
  <c r="O83" i="15"/>
  <c r="N83" i="15"/>
  <c r="K83" i="15"/>
  <c r="J83" i="15"/>
  <c r="I83" i="15"/>
  <c r="C83" i="15"/>
  <c r="B83" i="15"/>
  <c r="M83" i="15" s="1"/>
  <c r="O82" i="15"/>
  <c r="N82" i="15"/>
  <c r="M82" i="15"/>
  <c r="P82" i="15" s="1"/>
  <c r="J82" i="15"/>
  <c r="I82" i="15"/>
  <c r="C82" i="15"/>
  <c r="B82" i="15"/>
  <c r="K82" i="15" s="1"/>
  <c r="O81" i="15"/>
  <c r="N81" i="15"/>
  <c r="J81" i="15"/>
  <c r="I81" i="15"/>
  <c r="C81" i="15"/>
  <c r="B81" i="15"/>
  <c r="O80" i="15"/>
  <c r="M80" i="15"/>
  <c r="L80" i="15"/>
  <c r="J80" i="15"/>
  <c r="I80" i="15"/>
  <c r="N80" i="15" s="1"/>
  <c r="C80" i="15"/>
  <c r="B80" i="15"/>
  <c r="O79" i="15"/>
  <c r="N79" i="15"/>
  <c r="K79" i="15"/>
  <c r="J79" i="15"/>
  <c r="I79" i="15"/>
  <c r="C79" i="15"/>
  <c r="B79" i="15"/>
  <c r="M79" i="15" s="1"/>
  <c r="P79" i="15" s="1"/>
  <c r="O78" i="15"/>
  <c r="N78" i="15"/>
  <c r="M78" i="15"/>
  <c r="P78" i="15" s="1"/>
  <c r="J78" i="15"/>
  <c r="I78" i="15"/>
  <c r="C78" i="15"/>
  <c r="B78" i="15"/>
  <c r="K78" i="15" s="1"/>
  <c r="O77" i="15"/>
  <c r="N77" i="15"/>
  <c r="J77" i="15"/>
  <c r="I77" i="15"/>
  <c r="C77" i="15"/>
  <c r="B77" i="15"/>
  <c r="O76" i="15"/>
  <c r="M76" i="15"/>
  <c r="J76" i="15"/>
  <c r="I76" i="15"/>
  <c r="N76" i="15" s="1"/>
  <c r="C76" i="15"/>
  <c r="B76" i="15"/>
  <c r="O75" i="15"/>
  <c r="N75" i="15"/>
  <c r="K75" i="15"/>
  <c r="J75" i="15"/>
  <c r="I75" i="15"/>
  <c r="C75" i="15"/>
  <c r="B75" i="15"/>
  <c r="M75" i="15" s="1"/>
  <c r="P75" i="15" s="1"/>
  <c r="O74" i="15"/>
  <c r="N74" i="15"/>
  <c r="M74" i="15"/>
  <c r="P74" i="15" s="1"/>
  <c r="J74" i="15"/>
  <c r="I74" i="15"/>
  <c r="C74" i="15"/>
  <c r="B74" i="15"/>
  <c r="K74" i="15" s="1"/>
  <c r="O73" i="15"/>
  <c r="N73" i="15"/>
  <c r="J73" i="15"/>
  <c r="I73" i="15"/>
  <c r="C73" i="15"/>
  <c r="B73" i="15"/>
  <c r="O72" i="15"/>
  <c r="M72" i="15"/>
  <c r="J72" i="15"/>
  <c r="I72" i="15"/>
  <c r="N72" i="15" s="1"/>
  <c r="C72" i="15"/>
  <c r="B72" i="15"/>
  <c r="O71" i="15"/>
  <c r="N71" i="15"/>
  <c r="K71" i="15"/>
  <c r="J71" i="15"/>
  <c r="I71" i="15"/>
  <c r="C71" i="15"/>
  <c r="B71" i="15"/>
  <c r="M71" i="15" s="1"/>
  <c r="P71" i="15" s="1"/>
  <c r="O70" i="15"/>
  <c r="N70" i="15"/>
  <c r="M70" i="15"/>
  <c r="P70" i="15" s="1"/>
  <c r="J70" i="15"/>
  <c r="I70" i="15"/>
  <c r="C70" i="15"/>
  <c r="B70" i="15"/>
  <c r="K70" i="15" s="1"/>
  <c r="O69" i="15"/>
  <c r="N69" i="15"/>
  <c r="J69" i="15"/>
  <c r="I69" i="15"/>
  <c r="C69" i="15"/>
  <c r="B69" i="15"/>
  <c r="O68" i="15"/>
  <c r="M68" i="15"/>
  <c r="J68" i="15"/>
  <c r="I68" i="15"/>
  <c r="N68" i="15" s="1"/>
  <c r="C68" i="15"/>
  <c r="B68" i="15"/>
  <c r="O67" i="15"/>
  <c r="N67" i="15"/>
  <c r="K67" i="15"/>
  <c r="J67" i="15"/>
  <c r="I67" i="15"/>
  <c r="C67" i="15"/>
  <c r="B67" i="15"/>
  <c r="M67" i="15" s="1"/>
  <c r="O66" i="15"/>
  <c r="M66" i="15"/>
  <c r="J66" i="15"/>
  <c r="I66" i="15"/>
  <c r="N66" i="15" s="1"/>
  <c r="C66" i="15"/>
  <c r="B66" i="15"/>
  <c r="K66" i="15" s="1"/>
  <c r="O65" i="15"/>
  <c r="N65" i="15"/>
  <c r="K65" i="15"/>
  <c r="J65" i="15"/>
  <c r="I65" i="15"/>
  <c r="C65" i="15"/>
  <c r="B65" i="15"/>
  <c r="O64" i="15"/>
  <c r="M64" i="15"/>
  <c r="P64" i="15" s="1"/>
  <c r="J64" i="15"/>
  <c r="I64" i="15"/>
  <c r="N64" i="15" s="1"/>
  <c r="C64" i="15"/>
  <c r="B64" i="15"/>
  <c r="O63" i="15"/>
  <c r="N63" i="15"/>
  <c r="L63" i="15"/>
  <c r="K63" i="15"/>
  <c r="J63" i="15"/>
  <c r="I63" i="15"/>
  <c r="C63" i="15"/>
  <c r="B63" i="15"/>
  <c r="M63" i="15" s="1"/>
  <c r="O62" i="15"/>
  <c r="N62" i="15"/>
  <c r="P62" i="15" s="1"/>
  <c r="M62" i="15"/>
  <c r="J62" i="15"/>
  <c r="I62" i="15"/>
  <c r="C62" i="15"/>
  <c r="B62" i="15"/>
  <c r="K62" i="15" s="1"/>
  <c r="O61" i="15"/>
  <c r="N61" i="15"/>
  <c r="K61" i="15"/>
  <c r="J61" i="15"/>
  <c r="I61" i="15"/>
  <c r="C61" i="15"/>
  <c r="B61" i="15"/>
  <c r="O60" i="15"/>
  <c r="M60" i="15"/>
  <c r="L60" i="15"/>
  <c r="J60" i="15"/>
  <c r="I60" i="15"/>
  <c r="N60" i="15" s="1"/>
  <c r="C60" i="15"/>
  <c r="B60" i="15"/>
  <c r="O59" i="15"/>
  <c r="N59" i="15"/>
  <c r="K59" i="15"/>
  <c r="J59" i="15"/>
  <c r="I59" i="15"/>
  <c r="C59" i="15"/>
  <c r="B59" i="15"/>
  <c r="M59" i="15" s="1"/>
  <c r="P59" i="15" s="1"/>
  <c r="O58" i="15"/>
  <c r="M58" i="15"/>
  <c r="P58" i="15" s="1"/>
  <c r="J58" i="15"/>
  <c r="I58" i="15"/>
  <c r="N58" i="15" s="1"/>
  <c r="C58" i="15"/>
  <c r="B58" i="15"/>
  <c r="K58" i="15" s="1"/>
  <c r="O57" i="15"/>
  <c r="N57" i="15"/>
  <c r="K57" i="15"/>
  <c r="J57" i="15"/>
  <c r="I57" i="15"/>
  <c r="C57" i="15"/>
  <c r="B57" i="15"/>
  <c r="O56" i="15"/>
  <c r="M56" i="15"/>
  <c r="P56" i="15" s="1"/>
  <c r="J56" i="15"/>
  <c r="I56" i="15"/>
  <c r="N56" i="15" s="1"/>
  <c r="C56" i="15"/>
  <c r="B56" i="15"/>
  <c r="O55" i="15"/>
  <c r="N55" i="15"/>
  <c r="J55" i="15"/>
  <c r="I55" i="15"/>
  <c r="C55" i="15"/>
  <c r="B55" i="15"/>
  <c r="M55" i="15" s="1"/>
  <c r="P54" i="15"/>
  <c r="O54" i="15"/>
  <c r="N54" i="15"/>
  <c r="M54" i="15"/>
  <c r="J54" i="15"/>
  <c r="I54" i="15"/>
  <c r="C54" i="15"/>
  <c r="B54" i="15"/>
  <c r="K54" i="15" s="1"/>
  <c r="O53" i="15"/>
  <c r="N53" i="15"/>
  <c r="J53" i="15"/>
  <c r="I53" i="15"/>
  <c r="C53" i="15"/>
  <c r="B53" i="15"/>
  <c r="K53" i="15" s="1"/>
  <c r="O52" i="15"/>
  <c r="M52" i="15"/>
  <c r="J52" i="15"/>
  <c r="I52" i="15"/>
  <c r="N52" i="15" s="1"/>
  <c r="C52" i="15"/>
  <c r="B52" i="15"/>
  <c r="O51" i="15"/>
  <c r="N51" i="15"/>
  <c r="J51" i="15"/>
  <c r="I51" i="15"/>
  <c r="C51" i="15"/>
  <c r="B51" i="15"/>
  <c r="M51" i="15" s="1"/>
  <c r="P51" i="15" s="1"/>
  <c r="O50" i="15"/>
  <c r="M50" i="15"/>
  <c r="P50" i="15" s="1"/>
  <c r="J50" i="15"/>
  <c r="I50" i="15"/>
  <c r="N50" i="15" s="1"/>
  <c r="C50" i="15"/>
  <c r="B50" i="15"/>
  <c r="K50" i="15" s="1"/>
  <c r="O49" i="15"/>
  <c r="N49" i="15"/>
  <c r="J49" i="15"/>
  <c r="I49" i="15"/>
  <c r="C49" i="15"/>
  <c r="B49" i="15"/>
  <c r="K49" i="15" s="1"/>
  <c r="O48" i="15"/>
  <c r="M48" i="15"/>
  <c r="P48" i="15" s="1"/>
  <c r="J48" i="15"/>
  <c r="I48" i="15"/>
  <c r="N48" i="15" s="1"/>
  <c r="C48" i="15"/>
  <c r="B48" i="15"/>
  <c r="O47" i="15"/>
  <c r="N47" i="15"/>
  <c r="J47" i="15"/>
  <c r="I47" i="15"/>
  <c r="C47" i="15"/>
  <c r="B47" i="15"/>
  <c r="M47" i="15" s="1"/>
  <c r="P46" i="15"/>
  <c r="O46" i="15"/>
  <c r="N46" i="15"/>
  <c r="M46" i="15"/>
  <c r="J46" i="15"/>
  <c r="I46" i="15"/>
  <c r="C46" i="15"/>
  <c r="B46" i="15"/>
  <c r="K46" i="15" s="1"/>
  <c r="O45" i="15"/>
  <c r="N45" i="15"/>
  <c r="J45" i="15"/>
  <c r="I45" i="15"/>
  <c r="C45" i="15"/>
  <c r="B45" i="15"/>
  <c r="K45" i="15" s="1"/>
  <c r="O44" i="15"/>
  <c r="M44" i="15"/>
  <c r="J44" i="15"/>
  <c r="I44" i="15"/>
  <c r="N44" i="15" s="1"/>
  <c r="C44" i="15"/>
  <c r="B44" i="15"/>
  <c r="O43" i="15"/>
  <c r="N43" i="15"/>
  <c r="J43" i="15"/>
  <c r="I43" i="15"/>
  <c r="C43" i="15"/>
  <c r="B43" i="15"/>
  <c r="M43" i="15" s="1"/>
  <c r="P43" i="15" s="1"/>
  <c r="O42" i="15"/>
  <c r="M42" i="15"/>
  <c r="J42" i="15"/>
  <c r="I42" i="15"/>
  <c r="N42" i="15" s="1"/>
  <c r="C42" i="15"/>
  <c r="B42" i="15"/>
  <c r="K42" i="15" s="1"/>
  <c r="O41" i="15"/>
  <c r="N41" i="15"/>
  <c r="J41" i="15"/>
  <c r="I41" i="15"/>
  <c r="C41" i="15"/>
  <c r="B41" i="15"/>
  <c r="O40" i="15"/>
  <c r="M40" i="15"/>
  <c r="P40" i="15" s="1"/>
  <c r="J40" i="15"/>
  <c r="I40" i="15"/>
  <c r="N40" i="15" s="1"/>
  <c r="C40" i="15"/>
  <c r="B40" i="15"/>
  <c r="O39" i="15"/>
  <c r="N39" i="15"/>
  <c r="K39" i="15"/>
  <c r="J39" i="15"/>
  <c r="I39" i="15"/>
  <c r="C39" i="15"/>
  <c r="B39" i="15"/>
  <c r="M39" i="15" s="1"/>
  <c r="P38" i="15"/>
  <c r="O38" i="15"/>
  <c r="N38" i="15"/>
  <c r="M38" i="15"/>
  <c r="J38" i="15"/>
  <c r="I38" i="15"/>
  <c r="C38" i="15"/>
  <c r="B38" i="15"/>
  <c r="K38" i="15" s="1"/>
  <c r="O37" i="15"/>
  <c r="N37" i="15"/>
  <c r="K37" i="15"/>
  <c r="J37" i="15"/>
  <c r="I37" i="15"/>
  <c r="C37" i="15"/>
  <c r="B37" i="15"/>
  <c r="P36" i="15"/>
  <c r="O36" i="15"/>
  <c r="M36" i="15"/>
  <c r="J36" i="15"/>
  <c r="I36" i="15"/>
  <c r="N36" i="15" s="1"/>
  <c r="C36" i="15"/>
  <c r="B36" i="15"/>
  <c r="O35" i="15"/>
  <c r="N35" i="15"/>
  <c r="K35" i="15"/>
  <c r="J35" i="15"/>
  <c r="I35" i="15"/>
  <c r="C35" i="15"/>
  <c r="B35" i="15"/>
  <c r="M35" i="15" s="1"/>
  <c r="P34" i="15"/>
  <c r="O34" i="15"/>
  <c r="N34" i="15"/>
  <c r="M34" i="15"/>
  <c r="J34" i="15"/>
  <c r="I34" i="15"/>
  <c r="C34" i="15"/>
  <c r="B34" i="15"/>
  <c r="K34" i="15" s="1"/>
  <c r="O33" i="15"/>
  <c r="N33" i="15"/>
  <c r="J33" i="15"/>
  <c r="I33" i="15"/>
  <c r="C33" i="15"/>
  <c r="B33" i="15"/>
  <c r="O32" i="15"/>
  <c r="M32" i="15"/>
  <c r="J32" i="15"/>
  <c r="I32" i="15"/>
  <c r="N32" i="15" s="1"/>
  <c r="P32" i="15" s="1"/>
  <c r="C32" i="15"/>
  <c r="B32" i="15"/>
  <c r="O31" i="15"/>
  <c r="N31" i="15"/>
  <c r="J31" i="15"/>
  <c r="I31" i="15"/>
  <c r="C31" i="15"/>
  <c r="B31" i="15"/>
  <c r="M31" i="15" s="1"/>
  <c r="P31" i="15" s="1"/>
  <c r="O30" i="15"/>
  <c r="N30" i="15"/>
  <c r="M30" i="15"/>
  <c r="P30" i="15" s="1"/>
  <c r="J30" i="15"/>
  <c r="I30" i="15"/>
  <c r="C30" i="15"/>
  <c r="B30" i="15"/>
  <c r="K30" i="15" s="1"/>
  <c r="O29" i="15"/>
  <c r="N29" i="15"/>
  <c r="J29" i="15"/>
  <c r="I29" i="15"/>
  <c r="C29" i="15"/>
  <c r="B29" i="15"/>
  <c r="K29" i="15" s="1"/>
  <c r="P28" i="15"/>
  <c r="O28" i="15"/>
  <c r="M28" i="15"/>
  <c r="J28" i="15"/>
  <c r="I28" i="15"/>
  <c r="N28" i="15" s="1"/>
  <c r="C28" i="15"/>
  <c r="B28" i="15"/>
  <c r="O27" i="15"/>
  <c r="N27" i="15"/>
  <c r="J27" i="15"/>
  <c r="I27" i="15"/>
  <c r="C27" i="15"/>
  <c r="B27" i="15"/>
  <c r="M27" i="15" s="1"/>
  <c r="G17" i="15"/>
  <c r="L87" i="15" s="1"/>
  <c r="F17" i="15"/>
  <c r="G16" i="15"/>
  <c r="F16" i="15"/>
  <c r="G15" i="15"/>
  <c r="F15" i="15"/>
  <c r="G14" i="15"/>
  <c r="F14" i="15"/>
  <c r="G13" i="15"/>
  <c r="F13" i="15"/>
  <c r="G12" i="15"/>
  <c r="F12" i="15"/>
  <c r="G11" i="15"/>
  <c r="F11" i="15"/>
  <c r="G10" i="15"/>
  <c r="F10" i="15"/>
  <c r="G9" i="15"/>
  <c r="F9" i="15"/>
  <c r="J8" i="15"/>
  <c r="G8" i="15"/>
  <c r="F8" i="15"/>
  <c r="G7" i="15"/>
  <c r="F7" i="15"/>
  <c r="G6" i="15"/>
  <c r="F6" i="15"/>
  <c r="G5" i="15"/>
  <c r="F5" i="15"/>
  <c r="G8" i="14"/>
  <c r="F8" i="14"/>
  <c r="E8" i="14"/>
  <c r="G7" i="14"/>
  <c r="G9" i="14" s="1"/>
  <c r="F7" i="14"/>
  <c r="F9" i="14" s="1"/>
  <c r="E7" i="14"/>
  <c r="E9" i="14" s="1"/>
  <c r="E42" i="13"/>
  <c r="R38" i="12" s="1"/>
  <c r="D42" i="13"/>
  <c r="Q38" i="12" s="1"/>
  <c r="E41" i="13"/>
  <c r="R37" i="12" s="1"/>
  <c r="D41" i="13"/>
  <c r="Q37" i="12" s="1"/>
  <c r="E40" i="13"/>
  <c r="R36" i="12" s="1"/>
  <c r="R45" i="12" s="1"/>
  <c r="D40" i="13"/>
  <c r="Q36" i="12" s="1"/>
  <c r="Q45" i="12" s="1"/>
  <c r="E39" i="13"/>
  <c r="R35" i="12" s="1"/>
  <c r="R44" i="12" s="1"/>
  <c r="D39" i="13"/>
  <c r="Q35" i="12" s="1"/>
  <c r="Q44" i="12" s="1"/>
  <c r="E38" i="13"/>
  <c r="R34" i="12" s="1"/>
  <c r="R43" i="12" s="1"/>
  <c r="D38" i="13"/>
  <c r="Q34" i="12" s="1"/>
  <c r="Q43" i="12" s="1"/>
  <c r="E37" i="13"/>
  <c r="R33" i="12" s="1"/>
  <c r="R42" i="12" s="1"/>
  <c r="D37" i="13"/>
  <c r="Q33" i="12" s="1"/>
  <c r="Q42" i="12" s="1"/>
  <c r="R20" i="12"/>
  <c r="Q20" i="12"/>
  <c r="R19" i="12"/>
  <c r="Q19" i="12"/>
  <c r="R18" i="12"/>
  <c r="Q18" i="12"/>
  <c r="R17" i="12"/>
  <c r="Q17" i="12"/>
  <c r="R16" i="12"/>
  <c r="Q16" i="12"/>
  <c r="R15" i="12"/>
  <c r="Q15" i="12"/>
  <c r="M26" i="13"/>
  <c r="P26" i="13" s="1"/>
  <c r="K26" i="13"/>
  <c r="G26" i="13"/>
  <c r="E26" i="13"/>
  <c r="D26" i="13"/>
  <c r="N26" i="13" s="1"/>
  <c r="O26" i="13" s="1"/>
  <c r="M25" i="13"/>
  <c r="P25" i="13" s="1"/>
  <c r="K25" i="13"/>
  <c r="G25" i="13"/>
  <c r="E25" i="13"/>
  <c r="D25" i="13"/>
  <c r="N25" i="13" s="1"/>
  <c r="O25" i="13" s="1"/>
  <c r="M24" i="13"/>
  <c r="P24" i="13" s="1"/>
  <c r="K24" i="13"/>
  <c r="G24" i="13"/>
  <c r="E24" i="13"/>
  <c r="D24" i="13"/>
  <c r="N24" i="13" s="1"/>
  <c r="O24" i="13" s="1"/>
  <c r="M23" i="13"/>
  <c r="P23" i="13" s="1"/>
  <c r="G23" i="13"/>
  <c r="E23" i="13"/>
  <c r="D23" i="13"/>
  <c r="N23" i="13" s="1"/>
  <c r="O23" i="13" s="1"/>
  <c r="M22" i="13"/>
  <c r="H22" i="13"/>
  <c r="G22" i="13"/>
  <c r="E22" i="13"/>
  <c r="D22" i="13"/>
  <c r="N22" i="13" s="1"/>
  <c r="M21" i="13"/>
  <c r="P21" i="13" s="1"/>
  <c r="G21" i="13"/>
  <c r="E21" i="13"/>
  <c r="D21" i="13"/>
  <c r="N21" i="13" s="1"/>
  <c r="O21" i="13" s="1"/>
  <c r="M20" i="13"/>
  <c r="P20" i="13" s="1"/>
  <c r="G20" i="13"/>
  <c r="E20" i="13"/>
  <c r="D20" i="13"/>
  <c r="N20" i="13" s="1"/>
  <c r="O20" i="13" s="1"/>
  <c r="M19" i="13"/>
  <c r="H19" i="13"/>
  <c r="G19" i="13"/>
  <c r="E19" i="13"/>
  <c r="D19" i="13"/>
  <c r="N19" i="13" s="1"/>
  <c r="M18" i="13"/>
  <c r="H18" i="13"/>
  <c r="K18" i="13" s="1"/>
  <c r="G18" i="13"/>
  <c r="E18" i="13"/>
  <c r="D18" i="13"/>
  <c r="N18" i="13" s="1"/>
  <c r="M17" i="13"/>
  <c r="P17" i="13" s="1"/>
  <c r="K17" i="13"/>
  <c r="G17" i="13"/>
  <c r="E17" i="13"/>
  <c r="D17" i="13"/>
  <c r="N17" i="13" s="1"/>
  <c r="O17" i="13" s="1"/>
  <c r="M16" i="13"/>
  <c r="H16" i="13"/>
  <c r="K16" i="13" s="1"/>
  <c r="G16" i="13"/>
  <c r="E16" i="13"/>
  <c r="D16" i="13"/>
  <c r="N16" i="13" s="1"/>
  <c r="M15" i="13"/>
  <c r="H15" i="13"/>
  <c r="K15" i="13" s="1"/>
  <c r="G15" i="13"/>
  <c r="E15" i="13"/>
  <c r="D15" i="13"/>
  <c r="N15" i="13" s="1"/>
  <c r="M14" i="13"/>
  <c r="H14" i="13"/>
  <c r="K14" i="13" s="1"/>
  <c r="G14" i="13"/>
  <c r="E14" i="13"/>
  <c r="D14" i="13"/>
  <c r="N14" i="13" s="1"/>
  <c r="M13" i="13"/>
  <c r="G13" i="13"/>
  <c r="E13" i="13"/>
  <c r="D13" i="13"/>
  <c r="N13" i="13" s="1"/>
  <c r="M12" i="13"/>
  <c r="G12" i="13"/>
  <c r="E12" i="13"/>
  <c r="D12" i="13"/>
  <c r="N12" i="13" s="1"/>
  <c r="M11" i="13"/>
  <c r="H11" i="13"/>
  <c r="G11" i="13"/>
  <c r="E11" i="13"/>
  <c r="D11" i="13"/>
  <c r="N11" i="13" s="1"/>
  <c r="M10" i="13"/>
  <c r="H10" i="13"/>
  <c r="G10" i="13"/>
  <c r="E10" i="13"/>
  <c r="D10" i="13"/>
  <c r="N10" i="13" s="1"/>
  <c r="G9" i="13"/>
  <c r="E9" i="13"/>
  <c r="D9" i="13"/>
  <c r="N9" i="13" s="1"/>
  <c r="O9" i="13" s="1"/>
  <c r="G8" i="13"/>
  <c r="E8" i="13"/>
  <c r="D8" i="13"/>
  <c r="N8" i="13" s="1"/>
  <c r="O8" i="13" s="1"/>
  <c r="K7" i="13"/>
  <c r="G7" i="13"/>
  <c r="E7" i="13"/>
  <c r="D7" i="13"/>
  <c r="N7" i="13" s="1"/>
  <c r="O7" i="13" s="1"/>
  <c r="K6" i="13"/>
  <c r="G6" i="13"/>
  <c r="E6" i="13"/>
  <c r="D6" i="13"/>
  <c r="J6" i="13" s="1"/>
  <c r="M6" i="13" s="1"/>
  <c r="P6" i="13" s="1"/>
  <c r="K5" i="13"/>
  <c r="G5" i="13"/>
  <c r="E5" i="13"/>
  <c r="D5" i="13"/>
  <c r="Q46" i="12"/>
  <c r="E8" i="12"/>
  <c r="R33" i="10"/>
  <c r="L35" i="10" s="1"/>
  <c r="R15" i="10"/>
  <c r="L17" i="10" s="1"/>
  <c r="O637" i="9"/>
  <c r="N637" i="9"/>
  <c r="M637" i="9"/>
  <c r="P637" i="9" s="1"/>
  <c r="J637" i="9"/>
  <c r="I637" i="9"/>
  <c r="C637" i="9"/>
  <c r="B637" i="9"/>
  <c r="O636" i="9"/>
  <c r="J636" i="9"/>
  <c r="I636" i="9"/>
  <c r="N636" i="9" s="1"/>
  <c r="C636" i="9"/>
  <c r="B636" i="9"/>
  <c r="O635" i="9"/>
  <c r="N635" i="9"/>
  <c r="J635" i="9"/>
  <c r="I635" i="9"/>
  <c r="C635" i="9"/>
  <c r="B635" i="9"/>
  <c r="M635" i="9" s="1"/>
  <c r="O634" i="9"/>
  <c r="M634" i="9"/>
  <c r="P634" i="9" s="1"/>
  <c r="J634" i="9"/>
  <c r="I634" i="9"/>
  <c r="N634" i="9" s="1"/>
  <c r="C634" i="9"/>
  <c r="B634" i="9"/>
  <c r="O633" i="9"/>
  <c r="M633" i="9"/>
  <c r="J633" i="9"/>
  <c r="I633" i="9"/>
  <c r="N633" i="9" s="1"/>
  <c r="C633" i="9"/>
  <c r="B633" i="9"/>
  <c r="O632" i="9"/>
  <c r="J632" i="9"/>
  <c r="I632" i="9"/>
  <c r="N632" i="9" s="1"/>
  <c r="C632" i="9"/>
  <c r="B632" i="9"/>
  <c r="M632" i="9" s="1"/>
  <c r="P632" i="9" s="1"/>
  <c r="O631" i="9"/>
  <c r="M631" i="9"/>
  <c r="J631" i="9"/>
  <c r="I631" i="9"/>
  <c r="N631" i="9" s="1"/>
  <c r="C631" i="9"/>
  <c r="B631" i="9"/>
  <c r="O630" i="9"/>
  <c r="M630" i="9"/>
  <c r="P630" i="9" s="1"/>
  <c r="J630" i="9"/>
  <c r="I630" i="9"/>
  <c r="N630" i="9" s="1"/>
  <c r="C630" i="9"/>
  <c r="B630" i="9"/>
  <c r="O629" i="9"/>
  <c r="J629" i="9"/>
  <c r="I629" i="9"/>
  <c r="N629" i="9" s="1"/>
  <c r="C629" i="9"/>
  <c r="B629" i="9"/>
  <c r="O628" i="9"/>
  <c r="J628" i="9"/>
  <c r="I628" i="9"/>
  <c r="N628" i="9" s="1"/>
  <c r="C628" i="9"/>
  <c r="B628" i="9"/>
  <c r="M628" i="9" s="1"/>
  <c r="O627" i="9"/>
  <c r="N627" i="9"/>
  <c r="M627" i="9"/>
  <c r="J627" i="9"/>
  <c r="I627" i="9"/>
  <c r="C627" i="9"/>
  <c r="B627" i="9"/>
  <c r="O626" i="9"/>
  <c r="M626" i="9"/>
  <c r="P626" i="9" s="1"/>
  <c r="J626" i="9"/>
  <c r="I626" i="9"/>
  <c r="N626" i="9" s="1"/>
  <c r="C626" i="9"/>
  <c r="B626" i="9"/>
  <c r="O625" i="9"/>
  <c r="M625" i="9"/>
  <c r="P625" i="9" s="1"/>
  <c r="J625" i="9"/>
  <c r="I625" i="9"/>
  <c r="N625" i="9" s="1"/>
  <c r="C625" i="9"/>
  <c r="B625" i="9"/>
  <c r="O624" i="9"/>
  <c r="J624" i="9"/>
  <c r="I624" i="9"/>
  <c r="N624" i="9" s="1"/>
  <c r="C624" i="9"/>
  <c r="B624" i="9"/>
  <c r="M624" i="9" s="1"/>
  <c r="P624" i="9" s="1"/>
  <c r="O623" i="9"/>
  <c r="N623" i="9"/>
  <c r="M623" i="9"/>
  <c r="J623" i="9"/>
  <c r="I623" i="9"/>
  <c r="C623" i="9"/>
  <c r="B623" i="9"/>
  <c r="O622" i="9"/>
  <c r="J622" i="9"/>
  <c r="I622" i="9"/>
  <c r="N622" i="9" s="1"/>
  <c r="C622" i="9"/>
  <c r="B622" i="9"/>
  <c r="M622" i="9" s="1"/>
  <c r="P622" i="9" s="1"/>
  <c r="O621" i="9"/>
  <c r="M621" i="9"/>
  <c r="P621" i="9" s="1"/>
  <c r="J621" i="9"/>
  <c r="I621" i="9"/>
  <c r="N621" i="9" s="1"/>
  <c r="C621" i="9"/>
  <c r="B621" i="9"/>
  <c r="O620" i="9"/>
  <c r="J620" i="9"/>
  <c r="I620" i="9"/>
  <c r="N620" i="9" s="1"/>
  <c r="C620" i="9"/>
  <c r="B620" i="9"/>
  <c r="O619" i="9"/>
  <c r="N619" i="9"/>
  <c r="M619" i="9"/>
  <c r="P619" i="9" s="1"/>
  <c r="J619" i="9"/>
  <c r="I619" i="9"/>
  <c r="C619" i="9"/>
  <c r="B619" i="9"/>
  <c r="O618" i="9"/>
  <c r="J618" i="9"/>
  <c r="I618" i="9"/>
  <c r="N618" i="9" s="1"/>
  <c r="C618" i="9"/>
  <c r="B618" i="9"/>
  <c r="O617" i="9"/>
  <c r="M617" i="9"/>
  <c r="P617" i="9" s="1"/>
  <c r="J617" i="9"/>
  <c r="I617" i="9"/>
  <c r="N617" i="9" s="1"/>
  <c r="C617" i="9"/>
  <c r="B617" i="9"/>
  <c r="O616" i="9"/>
  <c r="J616" i="9"/>
  <c r="I616" i="9"/>
  <c r="N616" i="9" s="1"/>
  <c r="C616" i="9"/>
  <c r="B616" i="9"/>
  <c r="M616" i="9" s="1"/>
  <c r="O615" i="9"/>
  <c r="M615" i="9"/>
  <c r="J615" i="9"/>
  <c r="I615" i="9"/>
  <c r="N615" i="9" s="1"/>
  <c r="C615" i="9"/>
  <c r="B615" i="9"/>
  <c r="O614" i="9"/>
  <c r="M614" i="9"/>
  <c r="P614" i="9" s="1"/>
  <c r="J614" i="9"/>
  <c r="I614" i="9"/>
  <c r="N614" i="9" s="1"/>
  <c r="C614" i="9"/>
  <c r="B614" i="9"/>
  <c r="O613" i="9"/>
  <c r="J613" i="9"/>
  <c r="I613" i="9"/>
  <c r="N613" i="9" s="1"/>
  <c r="C613" i="9"/>
  <c r="B613" i="9"/>
  <c r="M613" i="9" s="1"/>
  <c r="P613" i="9" s="1"/>
  <c r="O612" i="9"/>
  <c r="J612" i="9"/>
  <c r="I612" i="9"/>
  <c r="N612" i="9" s="1"/>
  <c r="C612" i="9"/>
  <c r="B612" i="9"/>
  <c r="M612" i="9" s="1"/>
  <c r="O611" i="9"/>
  <c r="M611" i="9"/>
  <c r="J611" i="9"/>
  <c r="I611" i="9"/>
  <c r="N611" i="9" s="1"/>
  <c r="C611" i="9"/>
  <c r="B611" i="9"/>
  <c r="O610" i="9"/>
  <c r="M610" i="9"/>
  <c r="J610" i="9"/>
  <c r="I610" i="9"/>
  <c r="N610" i="9" s="1"/>
  <c r="P610" i="9" s="1"/>
  <c r="C610" i="9"/>
  <c r="B610" i="9"/>
  <c r="O609" i="9"/>
  <c r="J609" i="9"/>
  <c r="I609" i="9"/>
  <c r="N609" i="9" s="1"/>
  <c r="C609" i="9"/>
  <c r="B609" i="9"/>
  <c r="O608" i="9"/>
  <c r="J608" i="9"/>
  <c r="I608" i="9"/>
  <c r="N608" i="9" s="1"/>
  <c r="C608" i="9"/>
  <c r="B608" i="9"/>
  <c r="M608" i="9" s="1"/>
  <c r="O607" i="9"/>
  <c r="M607" i="9"/>
  <c r="J607" i="9"/>
  <c r="I607" i="9"/>
  <c r="N607" i="9" s="1"/>
  <c r="C607" i="9"/>
  <c r="B607" i="9"/>
  <c r="P606" i="9"/>
  <c r="O606" i="9"/>
  <c r="M606" i="9"/>
  <c r="J606" i="9"/>
  <c r="I606" i="9"/>
  <c r="N606" i="9" s="1"/>
  <c r="C606" i="9"/>
  <c r="B606" i="9"/>
  <c r="O605" i="9"/>
  <c r="M605" i="9"/>
  <c r="J605" i="9"/>
  <c r="I605" i="9"/>
  <c r="N605" i="9" s="1"/>
  <c r="C605" i="9"/>
  <c r="B605" i="9"/>
  <c r="O604" i="9"/>
  <c r="M604" i="9"/>
  <c r="P604" i="9" s="1"/>
  <c r="J604" i="9"/>
  <c r="I604" i="9"/>
  <c r="N604" i="9" s="1"/>
  <c r="C604" i="9"/>
  <c r="B604" i="9"/>
  <c r="O603" i="9"/>
  <c r="N603" i="9"/>
  <c r="M603" i="9"/>
  <c r="J603" i="9"/>
  <c r="I603" i="9"/>
  <c r="C603" i="9"/>
  <c r="B603" i="9"/>
  <c r="O602" i="9"/>
  <c r="J602" i="9"/>
  <c r="I602" i="9"/>
  <c r="N602" i="9" s="1"/>
  <c r="C602" i="9"/>
  <c r="B602" i="9"/>
  <c r="M602" i="9" s="1"/>
  <c r="O601" i="9"/>
  <c r="M601" i="9"/>
  <c r="P601" i="9" s="1"/>
  <c r="J601" i="9"/>
  <c r="I601" i="9"/>
  <c r="N601" i="9" s="1"/>
  <c r="C601" i="9"/>
  <c r="B601" i="9"/>
  <c r="O600" i="9"/>
  <c r="J600" i="9"/>
  <c r="I600" i="9"/>
  <c r="N600" i="9" s="1"/>
  <c r="C600" i="9"/>
  <c r="B600" i="9"/>
  <c r="M600" i="9" s="1"/>
  <c r="P600" i="9" s="1"/>
  <c r="O599" i="9"/>
  <c r="M599" i="9"/>
  <c r="P599" i="9" s="1"/>
  <c r="J599" i="9"/>
  <c r="I599" i="9"/>
  <c r="N599" i="9" s="1"/>
  <c r="C599" i="9"/>
  <c r="B599" i="9"/>
  <c r="O598" i="9"/>
  <c r="M598" i="9"/>
  <c r="P598" i="9" s="1"/>
  <c r="J598" i="9"/>
  <c r="I598" i="9"/>
  <c r="N598" i="9" s="1"/>
  <c r="C598" i="9"/>
  <c r="B598" i="9"/>
  <c r="O597" i="9"/>
  <c r="J597" i="9"/>
  <c r="I597" i="9"/>
  <c r="N597" i="9" s="1"/>
  <c r="C597" i="9"/>
  <c r="B597" i="9"/>
  <c r="M597" i="9" s="1"/>
  <c r="P597" i="9" s="1"/>
  <c r="O596" i="9"/>
  <c r="J596" i="9"/>
  <c r="I596" i="9"/>
  <c r="N596" i="9" s="1"/>
  <c r="C596" i="9"/>
  <c r="B596" i="9"/>
  <c r="M596" i="9" s="1"/>
  <c r="P596" i="9" s="1"/>
  <c r="O595" i="9"/>
  <c r="J595" i="9"/>
  <c r="I595" i="9"/>
  <c r="N595" i="9" s="1"/>
  <c r="C595" i="9"/>
  <c r="B595" i="9"/>
  <c r="M595" i="9" s="1"/>
  <c r="P595" i="9" s="1"/>
  <c r="O594" i="9"/>
  <c r="J594" i="9"/>
  <c r="I594" i="9"/>
  <c r="N594" i="9" s="1"/>
  <c r="C594" i="9"/>
  <c r="B594" i="9"/>
  <c r="M594" i="9" s="1"/>
  <c r="P594" i="9" s="1"/>
  <c r="O593" i="9"/>
  <c r="J593" i="9"/>
  <c r="I593" i="9"/>
  <c r="N593" i="9" s="1"/>
  <c r="C593" i="9"/>
  <c r="B593" i="9"/>
  <c r="M593" i="9" s="1"/>
  <c r="P593" i="9" s="1"/>
  <c r="O592" i="9"/>
  <c r="J592" i="9"/>
  <c r="I592" i="9"/>
  <c r="N592" i="9" s="1"/>
  <c r="C592" i="9"/>
  <c r="B592" i="9"/>
  <c r="M592" i="9" s="1"/>
  <c r="P592" i="9" s="1"/>
  <c r="O591" i="9"/>
  <c r="N591" i="9"/>
  <c r="J591" i="9"/>
  <c r="I591" i="9"/>
  <c r="C591" i="9"/>
  <c r="B591" i="9"/>
  <c r="M591" i="9" s="1"/>
  <c r="P591" i="9" s="1"/>
  <c r="O590" i="9"/>
  <c r="J590" i="9"/>
  <c r="I590" i="9"/>
  <c r="N590" i="9" s="1"/>
  <c r="C590" i="9"/>
  <c r="B590" i="9"/>
  <c r="M590" i="9" s="1"/>
  <c r="P590" i="9" s="1"/>
  <c r="O589" i="9"/>
  <c r="M589" i="9"/>
  <c r="J589" i="9"/>
  <c r="I589" i="9"/>
  <c r="N589" i="9" s="1"/>
  <c r="C589" i="9"/>
  <c r="B589" i="9"/>
  <c r="O588" i="9"/>
  <c r="J588" i="9"/>
  <c r="I588" i="9"/>
  <c r="N588" i="9" s="1"/>
  <c r="C588" i="9"/>
  <c r="B588" i="9"/>
  <c r="M588" i="9" s="1"/>
  <c r="O587" i="9"/>
  <c r="M587" i="9"/>
  <c r="J587" i="9"/>
  <c r="I587" i="9"/>
  <c r="N587" i="9" s="1"/>
  <c r="C587" i="9"/>
  <c r="B587" i="9"/>
  <c r="O586" i="9"/>
  <c r="M586" i="9"/>
  <c r="J586" i="9"/>
  <c r="I586" i="9"/>
  <c r="N586" i="9" s="1"/>
  <c r="P586" i="9" s="1"/>
  <c r="C586" i="9"/>
  <c r="B586" i="9"/>
  <c r="O585" i="9"/>
  <c r="M585" i="9"/>
  <c r="J585" i="9"/>
  <c r="I585" i="9"/>
  <c r="N585" i="9" s="1"/>
  <c r="C585" i="9"/>
  <c r="B585" i="9"/>
  <c r="O584" i="9"/>
  <c r="M584" i="9"/>
  <c r="P584" i="9" s="1"/>
  <c r="J584" i="9"/>
  <c r="I584" i="9"/>
  <c r="N584" i="9" s="1"/>
  <c r="C584" i="9"/>
  <c r="B584" i="9"/>
  <c r="O583" i="9"/>
  <c r="N583" i="9"/>
  <c r="M583" i="9"/>
  <c r="J583" i="9"/>
  <c r="I583" i="9"/>
  <c r="C583" i="9"/>
  <c r="B583" i="9"/>
  <c r="O582" i="9"/>
  <c r="P582" i="9" s="1"/>
  <c r="M582" i="9"/>
  <c r="J582" i="9"/>
  <c r="I582" i="9"/>
  <c r="N582" i="9" s="1"/>
  <c r="C582" i="9"/>
  <c r="B582" i="9"/>
  <c r="O581" i="9"/>
  <c r="J581" i="9"/>
  <c r="I581" i="9"/>
  <c r="N581" i="9" s="1"/>
  <c r="C581" i="9"/>
  <c r="B581" i="9"/>
  <c r="O580" i="9"/>
  <c r="J580" i="9"/>
  <c r="I580" i="9"/>
  <c r="N580" i="9" s="1"/>
  <c r="C580" i="9"/>
  <c r="B580" i="9"/>
  <c r="O579" i="9"/>
  <c r="N579" i="9"/>
  <c r="J579" i="9"/>
  <c r="I579" i="9"/>
  <c r="C579" i="9"/>
  <c r="B579" i="9"/>
  <c r="O578" i="9"/>
  <c r="J578" i="9"/>
  <c r="I578" i="9"/>
  <c r="N578" i="9" s="1"/>
  <c r="C578" i="9"/>
  <c r="B578" i="9"/>
  <c r="O577" i="9"/>
  <c r="M577" i="9"/>
  <c r="J577" i="9"/>
  <c r="I577" i="9"/>
  <c r="N577" i="9" s="1"/>
  <c r="C577" i="9"/>
  <c r="B577" i="9"/>
  <c r="O576" i="9"/>
  <c r="M576" i="9"/>
  <c r="J576" i="9"/>
  <c r="I576" i="9"/>
  <c r="N576" i="9" s="1"/>
  <c r="C576" i="9"/>
  <c r="B576" i="9"/>
  <c r="O575" i="9"/>
  <c r="M575" i="9"/>
  <c r="J575" i="9"/>
  <c r="I575" i="9"/>
  <c r="N575" i="9" s="1"/>
  <c r="C575" i="9"/>
  <c r="B575" i="9"/>
  <c r="P574" i="9"/>
  <c r="O574" i="9"/>
  <c r="M574" i="9"/>
  <c r="J574" i="9"/>
  <c r="I574" i="9"/>
  <c r="N574" i="9" s="1"/>
  <c r="C574" i="9"/>
  <c r="B574" i="9"/>
  <c r="O573" i="9"/>
  <c r="M573" i="9"/>
  <c r="J573" i="9"/>
  <c r="I573" i="9"/>
  <c r="N573" i="9" s="1"/>
  <c r="C573" i="9"/>
  <c r="B573" i="9"/>
  <c r="O572" i="9"/>
  <c r="M572" i="9"/>
  <c r="P572" i="9" s="1"/>
  <c r="J572" i="9"/>
  <c r="I572" i="9"/>
  <c r="N572" i="9" s="1"/>
  <c r="C572" i="9"/>
  <c r="B572" i="9"/>
  <c r="O571" i="9"/>
  <c r="N571" i="9"/>
  <c r="M571" i="9"/>
  <c r="J571" i="9"/>
  <c r="I571" i="9"/>
  <c r="C571" i="9"/>
  <c r="B571" i="9"/>
  <c r="O570" i="9"/>
  <c r="M570" i="9"/>
  <c r="P570" i="9" s="1"/>
  <c r="J570" i="9"/>
  <c r="I570" i="9"/>
  <c r="N570" i="9" s="1"/>
  <c r="C570" i="9"/>
  <c r="B570" i="9"/>
  <c r="O569" i="9"/>
  <c r="M569" i="9"/>
  <c r="P569" i="9" s="1"/>
  <c r="J569" i="9"/>
  <c r="I569" i="9"/>
  <c r="N569" i="9" s="1"/>
  <c r="C569" i="9"/>
  <c r="B569" i="9"/>
  <c r="O568" i="9"/>
  <c r="J568" i="9"/>
  <c r="I568" i="9"/>
  <c r="N568" i="9" s="1"/>
  <c r="C568" i="9"/>
  <c r="B568" i="9"/>
  <c r="M568" i="9" s="1"/>
  <c r="P568" i="9" s="1"/>
  <c r="O567" i="9"/>
  <c r="M567" i="9"/>
  <c r="P567" i="9" s="1"/>
  <c r="J567" i="9"/>
  <c r="I567" i="9"/>
  <c r="N567" i="9" s="1"/>
  <c r="C567" i="9"/>
  <c r="B567" i="9"/>
  <c r="O566" i="9"/>
  <c r="M566" i="9"/>
  <c r="P566" i="9" s="1"/>
  <c r="J566" i="9"/>
  <c r="I566" i="9"/>
  <c r="N566" i="9" s="1"/>
  <c r="C566" i="9"/>
  <c r="B566" i="9"/>
  <c r="O565" i="9"/>
  <c r="J565" i="9"/>
  <c r="I565" i="9"/>
  <c r="N565" i="9" s="1"/>
  <c r="C565" i="9"/>
  <c r="B565" i="9"/>
  <c r="M565" i="9" s="1"/>
  <c r="P565" i="9" s="1"/>
  <c r="O564" i="9"/>
  <c r="J564" i="9"/>
  <c r="I564" i="9"/>
  <c r="N564" i="9" s="1"/>
  <c r="C564" i="9"/>
  <c r="B564" i="9"/>
  <c r="M564" i="9" s="1"/>
  <c r="P564" i="9" s="1"/>
  <c r="O563" i="9"/>
  <c r="J563" i="9"/>
  <c r="I563" i="9"/>
  <c r="N563" i="9" s="1"/>
  <c r="C563" i="9"/>
  <c r="B563" i="9"/>
  <c r="M563" i="9" s="1"/>
  <c r="P563" i="9" s="1"/>
  <c r="O562" i="9"/>
  <c r="J562" i="9"/>
  <c r="I562" i="9"/>
  <c r="N562" i="9" s="1"/>
  <c r="C562" i="9"/>
  <c r="B562" i="9"/>
  <c r="M562" i="9" s="1"/>
  <c r="P562" i="9" s="1"/>
  <c r="O561" i="9"/>
  <c r="J561" i="9"/>
  <c r="I561" i="9"/>
  <c r="N561" i="9" s="1"/>
  <c r="C561" i="9"/>
  <c r="B561" i="9"/>
  <c r="M561" i="9" s="1"/>
  <c r="P561" i="9" s="1"/>
  <c r="O560" i="9"/>
  <c r="J560" i="9"/>
  <c r="I560" i="9"/>
  <c r="N560" i="9" s="1"/>
  <c r="C560" i="9"/>
  <c r="B560" i="9"/>
  <c r="M560" i="9" s="1"/>
  <c r="P560" i="9" s="1"/>
  <c r="O559" i="9"/>
  <c r="N559" i="9"/>
  <c r="J559" i="9"/>
  <c r="I559" i="9"/>
  <c r="C559" i="9"/>
  <c r="B559" i="9"/>
  <c r="M559" i="9" s="1"/>
  <c r="P559" i="9" s="1"/>
  <c r="O558" i="9"/>
  <c r="J558" i="9"/>
  <c r="I558" i="9"/>
  <c r="N558" i="9" s="1"/>
  <c r="C558" i="9"/>
  <c r="B558" i="9"/>
  <c r="M558" i="9" s="1"/>
  <c r="P558" i="9" s="1"/>
  <c r="O557" i="9"/>
  <c r="M557" i="9"/>
  <c r="J557" i="9"/>
  <c r="I557" i="9"/>
  <c r="N557" i="9" s="1"/>
  <c r="C557" i="9"/>
  <c r="B557" i="9"/>
  <c r="O556" i="9"/>
  <c r="J556" i="9"/>
  <c r="I556" i="9"/>
  <c r="N556" i="9" s="1"/>
  <c r="C556" i="9"/>
  <c r="B556" i="9"/>
  <c r="M556" i="9" s="1"/>
  <c r="O555" i="9"/>
  <c r="J555" i="9"/>
  <c r="I555" i="9"/>
  <c r="N555" i="9" s="1"/>
  <c r="C555" i="9"/>
  <c r="B555" i="9"/>
  <c r="M555" i="9" s="1"/>
  <c r="O554" i="9"/>
  <c r="J554" i="9"/>
  <c r="I554" i="9"/>
  <c r="N554" i="9" s="1"/>
  <c r="P554" i="9" s="1"/>
  <c r="C554" i="9"/>
  <c r="B554" i="9"/>
  <c r="M554" i="9" s="1"/>
  <c r="O553" i="9"/>
  <c r="M553" i="9"/>
  <c r="J553" i="9"/>
  <c r="I553" i="9"/>
  <c r="N553" i="9" s="1"/>
  <c r="C553" i="9"/>
  <c r="B553" i="9"/>
  <c r="O552" i="9"/>
  <c r="M552" i="9"/>
  <c r="P552" i="9" s="1"/>
  <c r="J552" i="9"/>
  <c r="I552" i="9"/>
  <c r="N552" i="9" s="1"/>
  <c r="C552" i="9"/>
  <c r="B552" i="9"/>
  <c r="O551" i="9"/>
  <c r="N551" i="9"/>
  <c r="M551" i="9"/>
  <c r="J551" i="9"/>
  <c r="I551" i="9"/>
  <c r="C551" i="9"/>
  <c r="B551" i="9"/>
  <c r="O550" i="9"/>
  <c r="P550" i="9" s="1"/>
  <c r="M550" i="9"/>
  <c r="J550" i="9"/>
  <c r="I550" i="9"/>
  <c r="N550" i="9" s="1"/>
  <c r="C550" i="9"/>
  <c r="B550" i="9"/>
  <c r="O549" i="9"/>
  <c r="J549" i="9"/>
  <c r="I549" i="9"/>
  <c r="N549" i="9" s="1"/>
  <c r="C549" i="9"/>
  <c r="B549" i="9"/>
  <c r="O548" i="9"/>
  <c r="J548" i="9"/>
  <c r="I548" i="9"/>
  <c r="N548" i="9" s="1"/>
  <c r="C548" i="9"/>
  <c r="B548" i="9"/>
  <c r="O547" i="9"/>
  <c r="N547" i="9"/>
  <c r="J547" i="9"/>
  <c r="I547" i="9"/>
  <c r="C547" i="9"/>
  <c r="B547" i="9"/>
  <c r="O546" i="9"/>
  <c r="M546" i="9"/>
  <c r="P546" i="9" s="1"/>
  <c r="J546" i="9"/>
  <c r="I546" i="9"/>
  <c r="N546" i="9" s="1"/>
  <c r="C546" i="9"/>
  <c r="B546" i="9"/>
  <c r="N545" i="9"/>
  <c r="J545" i="9"/>
  <c r="I545" i="9"/>
  <c r="C545" i="9"/>
  <c r="B545" i="9"/>
  <c r="O544" i="9"/>
  <c r="N544" i="9"/>
  <c r="J544" i="9"/>
  <c r="I544" i="9"/>
  <c r="C544" i="9"/>
  <c r="B544" i="9"/>
  <c r="O543" i="9"/>
  <c r="N543" i="9"/>
  <c r="J543" i="9"/>
  <c r="I543" i="9"/>
  <c r="C543" i="9"/>
  <c r="B543" i="9"/>
  <c r="M543" i="9" s="1"/>
  <c r="O542" i="9"/>
  <c r="N542" i="9"/>
  <c r="M542" i="9"/>
  <c r="P542" i="9" s="1"/>
  <c r="J542" i="9"/>
  <c r="I542" i="9"/>
  <c r="C542" i="9"/>
  <c r="B542" i="9"/>
  <c r="O541" i="9"/>
  <c r="N541" i="9"/>
  <c r="M541" i="9"/>
  <c r="P541" i="9" s="1"/>
  <c r="J541" i="9"/>
  <c r="I541" i="9"/>
  <c r="C541" i="9"/>
  <c r="B541" i="9"/>
  <c r="O540" i="9"/>
  <c r="N540" i="9"/>
  <c r="J540" i="9"/>
  <c r="I540" i="9"/>
  <c r="C540" i="9"/>
  <c r="B540" i="9"/>
  <c r="O539" i="9"/>
  <c r="N539" i="9"/>
  <c r="J539" i="9"/>
  <c r="I539" i="9"/>
  <c r="C539" i="9"/>
  <c r="B539" i="9"/>
  <c r="M539" i="9" s="1"/>
  <c r="P539" i="9" s="1"/>
  <c r="O538" i="9"/>
  <c r="N538" i="9"/>
  <c r="M538" i="9"/>
  <c r="P538" i="9" s="1"/>
  <c r="J538" i="9"/>
  <c r="I538" i="9"/>
  <c r="C538" i="9"/>
  <c r="B538" i="9"/>
  <c r="O537" i="9"/>
  <c r="N537" i="9"/>
  <c r="J537" i="9"/>
  <c r="I537" i="9"/>
  <c r="C537" i="9"/>
  <c r="B537" i="9"/>
  <c r="M537" i="9" s="1"/>
  <c r="P537" i="9" s="1"/>
  <c r="O536" i="9"/>
  <c r="J536" i="9"/>
  <c r="I536" i="9"/>
  <c r="N536" i="9" s="1"/>
  <c r="C536" i="9"/>
  <c r="B536" i="9"/>
  <c r="O535" i="9"/>
  <c r="J535" i="9"/>
  <c r="I535" i="9"/>
  <c r="N535" i="9" s="1"/>
  <c r="C535" i="9"/>
  <c r="B535" i="9"/>
  <c r="M535" i="9" s="1"/>
  <c r="O534" i="9"/>
  <c r="N534" i="9"/>
  <c r="M534" i="9"/>
  <c r="J534" i="9"/>
  <c r="I534" i="9"/>
  <c r="C534" i="9"/>
  <c r="B534" i="9"/>
  <c r="O533" i="9"/>
  <c r="N533" i="9"/>
  <c r="M533" i="9"/>
  <c r="P533" i="9" s="1"/>
  <c r="J533" i="9"/>
  <c r="I533" i="9"/>
  <c r="C533" i="9"/>
  <c r="B533" i="9"/>
  <c r="O532" i="9"/>
  <c r="N532" i="9"/>
  <c r="J532" i="9"/>
  <c r="I532" i="9"/>
  <c r="C532" i="9"/>
  <c r="B532" i="9"/>
  <c r="O531" i="9"/>
  <c r="N531" i="9"/>
  <c r="J531" i="9"/>
  <c r="I531" i="9"/>
  <c r="C531" i="9"/>
  <c r="B531" i="9"/>
  <c r="M531" i="9" s="1"/>
  <c r="P531" i="9" s="1"/>
  <c r="O530" i="9"/>
  <c r="N530" i="9"/>
  <c r="M530" i="9"/>
  <c r="P530" i="9" s="1"/>
  <c r="J530" i="9"/>
  <c r="I530" i="9"/>
  <c r="C530" i="9"/>
  <c r="B530" i="9"/>
  <c r="O529" i="9"/>
  <c r="N529" i="9"/>
  <c r="J529" i="9"/>
  <c r="I529" i="9"/>
  <c r="C529" i="9"/>
  <c r="B529" i="9"/>
  <c r="M529" i="9" s="1"/>
  <c r="P529" i="9" s="1"/>
  <c r="O528" i="9"/>
  <c r="J528" i="9"/>
  <c r="I528" i="9"/>
  <c r="N528" i="9" s="1"/>
  <c r="C528" i="9"/>
  <c r="B528" i="9"/>
  <c r="O527" i="9"/>
  <c r="J527" i="9"/>
  <c r="I527" i="9"/>
  <c r="N527" i="9" s="1"/>
  <c r="C527" i="9"/>
  <c r="B527" i="9"/>
  <c r="M527" i="9" s="1"/>
  <c r="P527" i="9" s="1"/>
  <c r="O526" i="9"/>
  <c r="N526" i="9"/>
  <c r="M526" i="9"/>
  <c r="J526" i="9"/>
  <c r="I526" i="9"/>
  <c r="C526" i="9"/>
  <c r="B526" i="9"/>
  <c r="O525" i="9"/>
  <c r="N525" i="9"/>
  <c r="J525" i="9"/>
  <c r="I525" i="9"/>
  <c r="C525" i="9"/>
  <c r="B525" i="9"/>
  <c r="O524" i="9"/>
  <c r="N524" i="9"/>
  <c r="J524" i="9"/>
  <c r="I524" i="9"/>
  <c r="C524" i="9"/>
  <c r="B524" i="9"/>
  <c r="O523" i="9"/>
  <c r="N523" i="9"/>
  <c r="J523" i="9"/>
  <c r="I523" i="9"/>
  <c r="C523" i="9"/>
  <c r="B523" i="9"/>
  <c r="M523" i="9" s="1"/>
  <c r="O522" i="9"/>
  <c r="N522" i="9"/>
  <c r="M522" i="9"/>
  <c r="P522" i="9" s="1"/>
  <c r="J522" i="9"/>
  <c r="I522" i="9"/>
  <c r="C522" i="9"/>
  <c r="B522" i="9"/>
  <c r="O521" i="9"/>
  <c r="N521" i="9"/>
  <c r="J521" i="9"/>
  <c r="I521" i="9"/>
  <c r="C521" i="9"/>
  <c r="B521" i="9"/>
  <c r="M521" i="9" s="1"/>
  <c r="P521" i="9" s="1"/>
  <c r="O520" i="9"/>
  <c r="J520" i="9"/>
  <c r="I520" i="9"/>
  <c r="N520" i="9" s="1"/>
  <c r="C520" i="9"/>
  <c r="B520" i="9"/>
  <c r="O519" i="9"/>
  <c r="J519" i="9"/>
  <c r="I519" i="9"/>
  <c r="N519" i="9" s="1"/>
  <c r="C519" i="9"/>
  <c r="B519" i="9"/>
  <c r="M519" i="9" s="1"/>
  <c r="O518" i="9"/>
  <c r="N518" i="9"/>
  <c r="M518" i="9"/>
  <c r="J518" i="9"/>
  <c r="I518" i="9"/>
  <c r="C518" i="9"/>
  <c r="B518" i="9"/>
  <c r="O517" i="9"/>
  <c r="N517" i="9"/>
  <c r="J517" i="9"/>
  <c r="I517" i="9"/>
  <c r="C517" i="9"/>
  <c r="B517" i="9"/>
  <c r="O516" i="9"/>
  <c r="N516" i="9"/>
  <c r="M516" i="9"/>
  <c r="J516" i="9"/>
  <c r="I516" i="9"/>
  <c r="C516" i="9"/>
  <c r="B516" i="9"/>
  <c r="O515" i="9"/>
  <c r="J515" i="9"/>
  <c r="I515" i="9"/>
  <c r="N515" i="9" s="1"/>
  <c r="C515" i="9"/>
  <c r="B515" i="9"/>
  <c r="O514" i="9"/>
  <c r="J514" i="9"/>
  <c r="I514" i="9"/>
  <c r="N514" i="9" s="1"/>
  <c r="P514" i="9" s="1"/>
  <c r="C514" i="9"/>
  <c r="B514" i="9"/>
  <c r="M514" i="9" s="1"/>
  <c r="P513" i="9"/>
  <c r="O513" i="9"/>
  <c r="M513" i="9"/>
  <c r="J513" i="9"/>
  <c r="I513" i="9"/>
  <c r="N513" i="9" s="1"/>
  <c r="C513" i="9"/>
  <c r="B513" i="9"/>
  <c r="O512" i="9"/>
  <c r="N512" i="9"/>
  <c r="J512" i="9"/>
  <c r="I512" i="9"/>
  <c r="C512" i="9"/>
  <c r="B512" i="9"/>
  <c r="O511" i="9"/>
  <c r="N511" i="9"/>
  <c r="J511" i="9"/>
  <c r="I511" i="9"/>
  <c r="C511" i="9"/>
  <c r="B511" i="9"/>
  <c r="O510" i="9"/>
  <c r="N510" i="9"/>
  <c r="P510" i="9" s="1"/>
  <c r="J510" i="9"/>
  <c r="I510" i="9"/>
  <c r="C510" i="9"/>
  <c r="B510" i="9"/>
  <c r="M510" i="9" s="1"/>
  <c r="O509" i="9"/>
  <c r="M509" i="9"/>
  <c r="P509" i="9" s="1"/>
  <c r="J509" i="9"/>
  <c r="I509" i="9"/>
  <c r="N509" i="9" s="1"/>
  <c r="C509" i="9"/>
  <c r="B509" i="9"/>
  <c r="O508" i="9"/>
  <c r="N508" i="9"/>
  <c r="M508" i="9"/>
  <c r="P508" i="9" s="1"/>
  <c r="J508" i="9"/>
  <c r="I508" i="9"/>
  <c r="C508" i="9"/>
  <c r="B508" i="9"/>
  <c r="O507" i="9"/>
  <c r="N507" i="9"/>
  <c r="J507" i="9"/>
  <c r="I507" i="9"/>
  <c r="C507" i="9"/>
  <c r="B507" i="9"/>
  <c r="O506" i="9"/>
  <c r="N506" i="9"/>
  <c r="J506" i="9"/>
  <c r="I506" i="9"/>
  <c r="C506" i="9"/>
  <c r="B506" i="9"/>
  <c r="M506" i="9" s="1"/>
  <c r="P506" i="9" s="1"/>
  <c r="O505" i="9"/>
  <c r="M505" i="9"/>
  <c r="P505" i="9" s="1"/>
  <c r="J505" i="9"/>
  <c r="I505" i="9"/>
  <c r="N505" i="9" s="1"/>
  <c r="C505" i="9"/>
  <c r="B505" i="9"/>
  <c r="O504" i="9"/>
  <c r="N504" i="9"/>
  <c r="M504" i="9"/>
  <c r="P504" i="9" s="1"/>
  <c r="J504" i="9"/>
  <c r="I504" i="9"/>
  <c r="C504" i="9"/>
  <c r="B504" i="9"/>
  <c r="O503" i="9"/>
  <c r="N503" i="9"/>
  <c r="J503" i="9"/>
  <c r="I503" i="9"/>
  <c r="C503" i="9"/>
  <c r="B503" i="9"/>
  <c r="P502" i="9"/>
  <c r="O502" i="9"/>
  <c r="N502" i="9"/>
  <c r="J502" i="9"/>
  <c r="I502" i="9"/>
  <c r="C502" i="9"/>
  <c r="B502" i="9"/>
  <c r="M502" i="9" s="1"/>
  <c r="P501" i="9"/>
  <c r="O501" i="9"/>
  <c r="M501" i="9"/>
  <c r="J501" i="9"/>
  <c r="I501" i="9"/>
  <c r="N501" i="9" s="1"/>
  <c r="C501" i="9"/>
  <c r="B501" i="9"/>
  <c r="O500" i="9"/>
  <c r="N500" i="9"/>
  <c r="M500" i="9"/>
  <c r="J500" i="9"/>
  <c r="I500" i="9"/>
  <c r="C500" i="9"/>
  <c r="B500" i="9"/>
  <c r="O499" i="9"/>
  <c r="J499" i="9"/>
  <c r="I499" i="9"/>
  <c r="N499" i="9" s="1"/>
  <c r="C499" i="9"/>
  <c r="B499" i="9"/>
  <c r="O498" i="9"/>
  <c r="J498" i="9"/>
  <c r="I498" i="9"/>
  <c r="N498" i="9" s="1"/>
  <c r="C498" i="9"/>
  <c r="B498" i="9"/>
  <c r="M498" i="9" s="1"/>
  <c r="O497" i="9"/>
  <c r="M497" i="9"/>
  <c r="J497" i="9"/>
  <c r="I497" i="9"/>
  <c r="N497" i="9" s="1"/>
  <c r="P497" i="9" s="1"/>
  <c r="C497" i="9"/>
  <c r="B497" i="9"/>
  <c r="O496" i="9"/>
  <c r="N496" i="9"/>
  <c r="J496" i="9"/>
  <c r="I496" i="9"/>
  <c r="C496" i="9"/>
  <c r="B496" i="9"/>
  <c r="M496" i="9" s="1"/>
  <c r="P496" i="9" s="1"/>
  <c r="O495" i="9"/>
  <c r="J495" i="9"/>
  <c r="I495" i="9"/>
  <c r="N495" i="9" s="1"/>
  <c r="C495" i="9"/>
  <c r="B495" i="9"/>
  <c r="O494" i="9"/>
  <c r="J494" i="9"/>
  <c r="I494" i="9"/>
  <c r="N494" i="9" s="1"/>
  <c r="P494" i="9" s="1"/>
  <c r="C494" i="9"/>
  <c r="B494" i="9"/>
  <c r="M494" i="9" s="1"/>
  <c r="O493" i="9"/>
  <c r="M493" i="9"/>
  <c r="P493" i="9" s="1"/>
  <c r="J493" i="9"/>
  <c r="I493" i="9"/>
  <c r="N493" i="9" s="1"/>
  <c r="C493" i="9"/>
  <c r="B493" i="9"/>
  <c r="O492" i="9"/>
  <c r="N492" i="9"/>
  <c r="M492" i="9"/>
  <c r="P492" i="9" s="1"/>
  <c r="J492" i="9"/>
  <c r="I492" i="9"/>
  <c r="C492" i="9"/>
  <c r="B492" i="9"/>
  <c r="O491" i="9"/>
  <c r="J491" i="9"/>
  <c r="I491" i="9"/>
  <c r="N491" i="9" s="1"/>
  <c r="C491" i="9"/>
  <c r="B491" i="9"/>
  <c r="O490" i="9"/>
  <c r="J490" i="9"/>
  <c r="I490" i="9"/>
  <c r="N490" i="9" s="1"/>
  <c r="C490" i="9"/>
  <c r="B490" i="9"/>
  <c r="M490" i="9" s="1"/>
  <c r="P490" i="9" s="1"/>
  <c r="O489" i="9"/>
  <c r="M489" i="9"/>
  <c r="P489" i="9" s="1"/>
  <c r="J489" i="9"/>
  <c r="I489" i="9"/>
  <c r="N489" i="9" s="1"/>
  <c r="C489" i="9"/>
  <c r="B489" i="9"/>
  <c r="O488" i="9"/>
  <c r="N488" i="9"/>
  <c r="J488" i="9"/>
  <c r="I488" i="9"/>
  <c r="C488" i="9"/>
  <c r="B488" i="9"/>
  <c r="O487" i="9"/>
  <c r="N487" i="9"/>
  <c r="J487" i="9"/>
  <c r="I487" i="9"/>
  <c r="C487" i="9"/>
  <c r="B487" i="9"/>
  <c r="P486" i="9"/>
  <c r="O486" i="9"/>
  <c r="N486" i="9"/>
  <c r="J486" i="9"/>
  <c r="I486" i="9"/>
  <c r="C486" i="9"/>
  <c r="B486" i="9"/>
  <c r="M486" i="9" s="1"/>
  <c r="P485" i="9"/>
  <c r="O485" i="9"/>
  <c r="M485" i="9"/>
  <c r="J485" i="9"/>
  <c r="I485" i="9"/>
  <c r="N485" i="9" s="1"/>
  <c r="C485" i="9"/>
  <c r="B485" i="9"/>
  <c r="O484" i="9"/>
  <c r="N484" i="9"/>
  <c r="J484" i="9"/>
  <c r="I484" i="9"/>
  <c r="C484" i="9"/>
  <c r="B484" i="9"/>
  <c r="O483" i="9"/>
  <c r="J483" i="9"/>
  <c r="I483" i="9"/>
  <c r="N483" i="9" s="1"/>
  <c r="C483" i="9"/>
  <c r="B483" i="9"/>
  <c r="O482" i="9"/>
  <c r="J482" i="9"/>
  <c r="I482" i="9"/>
  <c r="N482" i="9" s="1"/>
  <c r="C482" i="9"/>
  <c r="B482" i="9"/>
  <c r="O481" i="9"/>
  <c r="M481" i="9"/>
  <c r="P481" i="9" s="1"/>
  <c r="J481" i="9"/>
  <c r="I481" i="9"/>
  <c r="N481" i="9" s="1"/>
  <c r="C481" i="9"/>
  <c r="B481" i="9"/>
  <c r="O480" i="9"/>
  <c r="N480" i="9"/>
  <c r="M480" i="9"/>
  <c r="P480" i="9" s="1"/>
  <c r="J480" i="9"/>
  <c r="I480" i="9"/>
  <c r="C480" i="9"/>
  <c r="B480" i="9"/>
  <c r="O479" i="9"/>
  <c r="M479" i="9"/>
  <c r="J479" i="9"/>
  <c r="I479" i="9"/>
  <c r="N479" i="9" s="1"/>
  <c r="C479" i="9"/>
  <c r="B479" i="9"/>
  <c r="O478" i="9"/>
  <c r="J478" i="9"/>
  <c r="I478" i="9"/>
  <c r="N478" i="9" s="1"/>
  <c r="C478" i="9"/>
  <c r="B478" i="9"/>
  <c r="O477" i="9"/>
  <c r="M477" i="9"/>
  <c r="J477" i="9"/>
  <c r="I477" i="9"/>
  <c r="N477" i="9" s="1"/>
  <c r="C477" i="9"/>
  <c r="B477" i="9"/>
  <c r="O476" i="9"/>
  <c r="N476" i="9"/>
  <c r="J476" i="9"/>
  <c r="I476" i="9"/>
  <c r="C476" i="9"/>
  <c r="B476" i="9"/>
  <c r="M476" i="9" s="1"/>
  <c r="P476" i="9" s="1"/>
  <c r="O475" i="9"/>
  <c r="N475" i="9"/>
  <c r="M475" i="9"/>
  <c r="P475" i="9" s="1"/>
  <c r="J475" i="9"/>
  <c r="I475" i="9"/>
  <c r="C475" i="9"/>
  <c r="B475" i="9"/>
  <c r="O474" i="9"/>
  <c r="N474" i="9"/>
  <c r="J474" i="9"/>
  <c r="I474" i="9"/>
  <c r="C474" i="9"/>
  <c r="B474" i="9"/>
  <c r="O473" i="9"/>
  <c r="M473" i="9"/>
  <c r="P473" i="9" s="1"/>
  <c r="J473" i="9"/>
  <c r="I473" i="9"/>
  <c r="N473" i="9" s="1"/>
  <c r="C473" i="9"/>
  <c r="B473" i="9"/>
  <c r="O472" i="9"/>
  <c r="N472" i="9"/>
  <c r="M472" i="9"/>
  <c r="P472" i="9" s="1"/>
  <c r="J472" i="9"/>
  <c r="I472" i="9"/>
  <c r="C472" i="9"/>
  <c r="B472" i="9"/>
  <c r="O471" i="9"/>
  <c r="N471" i="9"/>
  <c r="J471" i="9"/>
  <c r="I471" i="9"/>
  <c r="C471" i="9"/>
  <c r="B471" i="9"/>
  <c r="O470" i="9"/>
  <c r="N470" i="9"/>
  <c r="J470" i="9"/>
  <c r="I470" i="9"/>
  <c r="C470" i="9"/>
  <c r="B470" i="9"/>
  <c r="P469" i="9"/>
  <c r="O469" i="9"/>
  <c r="M469" i="9"/>
  <c r="J469" i="9"/>
  <c r="I469" i="9"/>
  <c r="N469" i="9" s="1"/>
  <c r="C469" i="9"/>
  <c r="B469" i="9"/>
  <c r="O468" i="9"/>
  <c r="N468" i="9"/>
  <c r="M468" i="9"/>
  <c r="J468" i="9"/>
  <c r="I468" i="9"/>
  <c r="C468" i="9"/>
  <c r="B468" i="9"/>
  <c r="O467" i="9"/>
  <c r="J467" i="9"/>
  <c r="I467" i="9"/>
  <c r="N467" i="9" s="1"/>
  <c r="C467" i="9"/>
  <c r="B467" i="9"/>
  <c r="M467" i="9" s="1"/>
  <c r="P467" i="9" s="1"/>
  <c r="O466" i="9"/>
  <c r="J466" i="9"/>
  <c r="I466" i="9"/>
  <c r="N466" i="9" s="1"/>
  <c r="C466" i="9"/>
  <c r="B466" i="9"/>
  <c r="P465" i="9"/>
  <c r="O465" i="9"/>
  <c r="M465" i="9"/>
  <c r="J465" i="9"/>
  <c r="I465" i="9"/>
  <c r="N465" i="9" s="1"/>
  <c r="C465" i="9"/>
  <c r="B465" i="9"/>
  <c r="O464" i="9"/>
  <c r="N464" i="9"/>
  <c r="J464" i="9"/>
  <c r="I464" i="9"/>
  <c r="C464" i="9"/>
  <c r="B464" i="9"/>
  <c r="M464" i="9" s="1"/>
  <c r="P464" i="9" s="1"/>
  <c r="O463" i="9"/>
  <c r="N463" i="9"/>
  <c r="M463" i="9"/>
  <c r="P463" i="9" s="1"/>
  <c r="J463" i="9"/>
  <c r="I463" i="9"/>
  <c r="C463" i="9"/>
  <c r="B463" i="9"/>
  <c r="O462" i="9"/>
  <c r="N462" i="9"/>
  <c r="J462" i="9"/>
  <c r="I462" i="9"/>
  <c r="C462" i="9"/>
  <c r="B462" i="9"/>
  <c r="M462" i="9" s="1"/>
  <c r="P461" i="9"/>
  <c r="O461" i="9"/>
  <c r="M461" i="9"/>
  <c r="J461" i="9"/>
  <c r="I461" i="9"/>
  <c r="N461" i="9" s="1"/>
  <c r="C461" i="9"/>
  <c r="B461" i="9"/>
  <c r="O460" i="9"/>
  <c r="M460" i="9"/>
  <c r="J460" i="9"/>
  <c r="I460" i="9"/>
  <c r="N460" i="9" s="1"/>
  <c r="C460" i="9"/>
  <c r="B460" i="9"/>
  <c r="O459" i="9"/>
  <c r="J459" i="9"/>
  <c r="I459" i="9"/>
  <c r="N459" i="9" s="1"/>
  <c r="C459" i="9"/>
  <c r="B459" i="9"/>
  <c r="M459" i="9" s="1"/>
  <c r="P459" i="9" s="1"/>
  <c r="O458" i="9"/>
  <c r="N458" i="9"/>
  <c r="M458" i="9"/>
  <c r="J458" i="9"/>
  <c r="I458" i="9"/>
  <c r="C458" i="9"/>
  <c r="B458" i="9"/>
  <c r="O457" i="9"/>
  <c r="J457" i="9"/>
  <c r="I457" i="9"/>
  <c r="N457" i="9" s="1"/>
  <c r="C457" i="9"/>
  <c r="B457" i="9"/>
  <c r="O456" i="9"/>
  <c r="M456" i="9"/>
  <c r="P456" i="9" s="1"/>
  <c r="J456" i="9"/>
  <c r="I456" i="9"/>
  <c r="N456" i="9" s="1"/>
  <c r="C456" i="9"/>
  <c r="B456" i="9"/>
  <c r="O455" i="9"/>
  <c r="J455" i="9"/>
  <c r="I455" i="9"/>
  <c r="N455" i="9" s="1"/>
  <c r="C455" i="9"/>
  <c r="B455" i="9"/>
  <c r="M455" i="9" s="1"/>
  <c r="P455" i="9" s="1"/>
  <c r="O454" i="9"/>
  <c r="M454" i="9"/>
  <c r="J454" i="9"/>
  <c r="I454" i="9"/>
  <c r="N454" i="9" s="1"/>
  <c r="C454" i="9"/>
  <c r="B454" i="9"/>
  <c r="O453" i="9"/>
  <c r="J453" i="9"/>
  <c r="I453" i="9"/>
  <c r="N453" i="9" s="1"/>
  <c r="C453" i="9"/>
  <c r="B453" i="9"/>
  <c r="O452" i="9"/>
  <c r="M452" i="9"/>
  <c r="P452" i="9" s="1"/>
  <c r="J452" i="9"/>
  <c r="I452" i="9"/>
  <c r="N452" i="9" s="1"/>
  <c r="C452" i="9"/>
  <c r="B452" i="9"/>
  <c r="O451" i="9"/>
  <c r="J451" i="9"/>
  <c r="I451" i="9"/>
  <c r="N451" i="9" s="1"/>
  <c r="C451" i="9"/>
  <c r="B451" i="9"/>
  <c r="M451" i="9" s="1"/>
  <c r="O450" i="9"/>
  <c r="N450" i="9"/>
  <c r="M450" i="9"/>
  <c r="J450" i="9"/>
  <c r="I450" i="9"/>
  <c r="C450" i="9"/>
  <c r="B450" i="9"/>
  <c r="O449" i="9"/>
  <c r="J449" i="9"/>
  <c r="I449" i="9"/>
  <c r="N449" i="9" s="1"/>
  <c r="C449" i="9"/>
  <c r="B449" i="9"/>
  <c r="O448" i="9"/>
  <c r="M448" i="9"/>
  <c r="J448" i="9"/>
  <c r="I448" i="9"/>
  <c r="N448" i="9" s="1"/>
  <c r="C448" i="9"/>
  <c r="B448" i="9"/>
  <c r="O447" i="9"/>
  <c r="J447" i="9"/>
  <c r="I447" i="9"/>
  <c r="N447" i="9" s="1"/>
  <c r="C447" i="9"/>
  <c r="B447" i="9"/>
  <c r="M447" i="9" s="1"/>
  <c r="O446" i="9"/>
  <c r="M446" i="9"/>
  <c r="J446" i="9"/>
  <c r="I446" i="9"/>
  <c r="N446" i="9" s="1"/>
  <c r="C446" i="9"/>
  <c r="B446" i="9"/>
  <c r="O445" i="9"/>
  <c r="J445" i="9"/>
  <c r="I445" i="9"/>
  <c r="N445" i="9" s="1"/>
  <c r="C445" i="9"/>
  <c r="B445" i="9"/>
  <c r="O444" i="9"/>
  <c r="M444" i="9"/>
  <c r="J444" i="9"/>
  <c r="I444" i="9"/>
  <c r="N444" i="9" s="1"/>
  <c r="C444" i="9"/>
  <c r="B444" i="9"/>
  <c r="O443" i="9"/>
  <c r="J443" i="9"/>
  <c r="I443" i="9"/>
  <c r="N443" i="9" s="1"/>
  <c r="C443" i="9"/>
  <c r="B443" i="9"/>
  <c r="M443" i="9" s="1"/>
  <c r="O442" i="9"/>
  <c r="N442" i="9"/>
  <c r="M442" i="9"/>
  <c r="J442" i="9"/>
  <c r="I442" i="9"/>
  <c r="C442" i="9"/>
  <c r="B442" i="9"/>
  <c r="O441" i="9"/>
  <c r="J441" i="9"/>
  <c r="I441" i="9"/>
  <c r="N441" i="9" s="1"/>
  <c r="C441" i="9"/>
  <c r="B441" i="9"/>
  <c r="O440" i="9"/>
  <c r="M440" i="9"/>
  <c r="P440" i="9" s="1"/>
  <c r="J440" i="9"/>
  <c r="I440" i="9"/>
  <c r="N440" i="9" s="1"/>
  <c r="C440" i="9"/>
  <c r="B440" i="9"/>
  <c r="O439" i="9"/>
  <c r="M439" i="9"/>
  <c r="P439" i="9" s="1"/>
  <c r="J439" i="9"/>
  <c r="I439" i="9"/>
  <c r="N439" i="9" s="1"/>
  <c r="C439" i="9"/>
  <c r="B439" i="9"/>
  <c r="O438" i="9"/>
  <c r="J438" i="9"/>
  <c r="I438" i="9"/>
  <c r="N438" i="9" s="1"/>
  <c r="C438" i="9"/>
  <c r="B438" i="9"/>
  <c r="O437" i="9"/>
  <c r="J437" i="9"/>
  <c r="I437" i="9"/>
  <c r="N437" i="9" s="1"/>
  <c r="C437" i="9"/>
  <c r="B437" i="9"/>
  <c r="O436" i="9"/>
  <c r="M436" i="9"/>
  <c r="J436" i="9"/>
  <c r="I436" i="9"/>
  <c r="N436" i="9" s="1"/>
  <c r="C436" i="9"/>
  <c r="B436" i="9"/>
  <c r="O435" i="9"/>
  <c r="M435" i="9"/>
  <c r="P435" i="9" s="1"/>
  <c r="J435" i="9"/>
  <c r="I435" i="9"/>
  <c r="N435" i="9" s="1"/>
  <c r="C435" i="9"/>
  <c r="B435" i="9"/>
  <c r="O434" i="9"/>
  <c r="N434" i="9"/>
  <c r="M434" i="9"/>
  <c r="J434" i="9"/>
  <c r="I434" i="9"/>
  <c r="C434" i="9"/>
  <c r="B434" i="9"/>
  <c r="O433" i="9"/>
  <c r="J433" i="9"/>
  <c r="I433" i="9"/>
  <c r="N433" i="9" s="1"/>
  <c r="C433" i="9"/>
  <c r="B433" i="9"/>
  <c r="O432" i="9"/>
  <c r="M432" i="9"/>
  <c r="P432" i="9" s="1"/>
  <c r="J432" i="9"/>
  <c r="I432" i="9"/>
  <c r="N432" i="9" s="1"/>
  <c r="C432" i="9"/>
  <c r="B432" i="9"/>
  <c r="O431" i="9"/>
  <c r="J431" i="9"/>
  <c r="I431" i="9"/>
  <c r="N431" i="9" s="1"/>
  <c r="C431" i="9"/>
  <c r="B431" i="9"/>
  <c r="M431" i="9" s="1"/>
  <c r="P431" i="9" s="1"/>
  <c r="O430" i="9"/>
  <c r="M430" i="9"/>
  <c r="J430" i="9"/>
  <c r="I430" i="9"/>
  <c r="N430" i="9" s="1"/>
  <c r="C430" i="9"/>
  <c r="B430" i="9"/>
  <c r="O429" i="9"/>
  <c r="J429" i="9"/>
  <c r="I429" i="9"/>
  <c r="N429" i="9" s="1"/>
  <c r="C429" i="9"/>
  <c r="B429" i="9"/>
  <c r="O428" i="9"/>
  <c r="M428" i="9"/>
  <c r="J428" i="9"/>
  <c r="I428" i="9"/>
  <c r="N428" i="9" s="1"/>
  <c r="C428" i="9"/>
  <c r="B428" i="9"/>
  <c r="O427" i="9"/>
  <c r="J427" i="9"/>
  <c r="I427" i="9"/>
  <c r="N427" i="9" s="1"/>
  <c r="C427" i="9"/>
  <c r="B427" i="9"/>
  <c r="O426" i="9"/>
  <c r="J426" i="9"/>
  <c r="I426" i="9"/>
  <c r="N426" i="9" s="1"/>
  <c r="C426" i="9"/>
  <c r="B426" i="9"/>
  <c r="O425" i="9"/>
  <c r="J425" i="9"/>
  <c r="I425" i="9"/>
  <c r="N425" i="9" s="1"/>
  <c r="C425" i="9"/>
  <c r="B425" i="9"/>
  <c r="O424" i="9"/>
  <c r="J424" i="9"/>
  <c r="I424" i="9"/>
  <c r="N424" i="9" s="1"/>
  <c r="C424" i="9"/>
  <c r="B424" i="9"/>
  <c r="O423" i="9"/>
  <c r="M423" i="9"/>
  <c r="J423" i="9"/>
  <c r="I423" i="9"/>
  <c r="N423" i="9" s="1"/>
  <c r="C423" i="9"/>
  <c r="B423" i="9"/>
  <c r="O422" i="9"/>
  <c r="N422" i="9"/>
  <c r="J422" i="9"/>
  <c r="I422" i="9"/>
  <c r="C422" i="9"/>
  <c r="B422" i="9"/>
  <c r="O421" i="9"/>
  <c r="J421" i="9"/>
  <c r="I421" i="9"/>
  <c r="N421" i="9" s="1"/>
  <c r="C421" i="9"/>
  <c r="B421" i="9"/>
  <c r="O420" i="9"/>
  <c r="J420" i="9"/>
  <c r="I420" i="9"/>
  <c r="N420" i="9" s="1"/>
  <c r="C420" i="9"/>
  <c r="B420" i="9"/>
  <c r="O419" i="9"/>
  <c r="M419" i="9"/>
  <c r="P419" i="9" s="1"/>
  <c r="J419" i="9"/>
  <c r="I419" i="9"/>
  <c r="N419" i="9" s="1"/>
  <c r="C419" i="9"/>
  <c r="B419" i="9"/>
  <c r="O418" i="9"/>
  <c r="N418" i="9"/>
  <c r="J418" i="9"/>
  <c r="I418" i="9"/>
  <c r="C418" i="9"/>
  <c r="B418" i="9"/>
  <c r="O417" i="9"/>
  <c r="J417" i="9"/>
  <c r="I417" i="9"/>
  <c r="N417" i="9" s="1"/>
  <c r="C417" i="9"/>
  <c r="B417" i="9"/>
  <c r="O416" i="9"/>
  <c r="M416" i="9"/>
  <c r="P416" i="9" s="1"/>
  <c r="J416" i="9"/>
  <c r="I416" i="9"/>
  <c r="N416" i="9" s="1"/>
  <c r="C416" i="9"/>
  <c r="B416" i="9"/>
  <c r="O415" i="9"/>
  <c r="M415" i="9"/>
  <c r="J415" i="9"/>
  <c r="I415" i="9"/>
  <c r="N415" i="9" s="1"/>
  <c r="C415" i="9"/>
  <c r="B415" i="9"/>
  <c r="O414" i="9"/>
  <c r="M414" i="9"/>
  <c r="J414" i="9"/>
  <c r="I414" i="9"/>
  <c r="N414" i="9" s="1"/>
  <c r="C414" i="9"/>
  <c r="B414" i="9"/>
  <c r="O413" i="9"/>
  <c r="M413" i="9"/>
  <c r="P413" i="9" s="1"/>
  <c r="J413" i="9"/>
  <c r="I413" i="9"/>
  <c r="N413" i="9" s="1"/>
  <c r="C413" i="9"/>
  <c r="B413" i="9"/>
  <c r="O412" i="9"/>
  <c r="J412" i="9"/>
  <c r="I412" i="9"/>
  <c r="N412" i="9" s="1"/>
  <c r="C412" i="9"/>
  <c r="B412" i="9"/>
  <c r="M412" i="9" s="1"/>
  <c r="P412" i="9" s="1"/>
  <c r="O411" i="9"/>
  <c r="M411" i="9"/>
  <c r="P411" i="9" s="1"/>
  <c r="J411" i="9"/>
  <c r="I411" i="9"/>
  <c r="N411" i="9" s="1"/>
  <c r="C411" i="9"/>
  <c r="B411" i="9"/>
  <c r="O410" i="9"/>
  <c r="N410" i="9"/>
  <c r="J410" i="9"/>
  <c r="I410" i="9"/>
  <c r="C410" i="9"/>
  <c r="B410" i="9"/>
  <c r="M410" i="9" s="1"/>
  <c r="P410" i="9" s="1"/>
  <c r="O409" i="9"/>
  <c r="M409" i="9"/>
  <c r="P409" i="9" s="1"/>
  <c r="J409" i="9"/>
  <c r="I409" i="9"/>
  <c r="N409" i="9" s="1"/>
  <c r="C409" i="9"/>
  <c r="B409" i="9"/>
  <c r="O408" i="9"/>
  <c r="M408" i="9"/>
  <c r="J408" i="9"/>
  <c r="I408" i="9"/>
  <c r="N408" i="9" s="1"/>
  <c r="C408" i="9"/>
  <c r="B408" i="9"/>
  <c r="O407" i="9"/>
  <c r="M407" i="9"/>
  <c r="P407" i="9" s="1"/>
  <c r="J407" i="9"/>
  <c r="I407" i="9"/>
  <c r="N407" i="9" s="1"/>
  <c r="C407" i="9"/>
  <c r="B407" i="9"/>
  <c r="O406" i="9"/>
  <c r="N406" i="9"/>
  <c r="J406" i="9"/>
  <c r="I406" i="9"/>
  <c r="C406" i="9"/>
  <c r="B406" i="9"/>
  <c r="O405" i="9"/>
  <c r="M405" i="9"/>
  <c r="J405" i="9"/>
  <c r="I405" i="9"/>
  <c r="N405" i="9" s="1"/>
  <c r="C405" i="9"/>
  <c r="B405" i="9"/>
  <c r="O404" i="9"/>
  <c r="N404" i="9"/>
  <c r="J404" i="9"/>
  <c r="I404" i="9"/>
  <c r="C404" i="9"/>
  <c r="B404" i="9"/>
  <c r="O403" i="9"/>
  <c r="J403" i="9"/>
  <c r="I403" i="9"/>
  <c r="N403" i="9" s="1"/>
  <c r="C403" i="9"/>
  <c r="B403" i="9"/>
  <c r="O402" i="9"/>
  <c r="J402" i="9"/>
  <c r="I402" i="9"/>
  <c r="N402" i="9" s="1"/>
  <c r="C402" i="9"/>
  <c r="B402" i="9"/>
  <c r="O401" i="9"/>
  <c r="M401" i="9"/>
  <c r="P401" i="9" s="1"/>
  <c r="J401" i="9"/>
  <c r="I401" i="9"/>
  <c r="N401" i="9" s="1"/>
  <c r="C401" i="9"/>
  <c r="B401" i="9"/>
  <c r="O400" i="9"/>
  <c r="N400" i="9"/>
  <c r="M400" i="9"/>
  <c r="J400" i="9"/>
  <c r="I400" i="9"/>
  <c r="C400" i="9"/>
  <c r="B400" i="9"/>
  <c r="O399" i="9"/>
  <c r="M399" i="9"/>
  <c r="P399" i="9" s="1"/>
  <c r="J399" i="9"/>
  <c r="I399" i="9"/>
  <c r="N399" i="9" s="1"/>
  <c r="C399" i="9"/>
  <c r="B399" i="9"/>
  <c r="O398" i="9"/>
  <c r="M398" i="9"/>
  <c r="J398" i="9"/>
  <c r="I398" i="9"/>
  <c r="N398" i="9" s="1"/>
  <c r="C398" i="9"/>
  <c r="B398" i="9"/>
  <c r="O397" i="9"/>
  <c r="J397" i="9"/>
  <c r="I397" i="9"/>
  <c r="N397" i="9" s="1"/>
  <c r="C397" i="9"/>
  <c r="B397" i="9"/>
  <c r="M397" i="9" s="1"/>
  <c r="P397" i="9" s="1"/>
  <c r="O396" i="9"/>
  <c r="M396" i="9"/>
  <c r="J396" i="9"/>
  <c r="I396" i="9"/>
  <c r="N396" i="9" s="1"/>
  <c r="C396" i="9"/>
  <c r="B396" i="9"/>
  <c r="O395" i="9"/>
  <c r="M395" i="9"/>
  <c r="P395" i="9" s="1"/>
  <c r="J395" i="9"/>
  <c r="I395" i="9"/>
  <c r="N395" i="9" s="1"/>
  <c r="C395" i="9"/>
  <c r="B395" i="9"/>
  <c r="O394" i="9"/>
  <c r="N394" i="9"/>
  <c r="J394" i="9"/>
  <c r="I394" i="9"/>
  <c r="C394" i="9"/>
  <c r="B394" i="9"/>
  <c r="M394" i="9" s="1"/>
  <c r="P394" i="9" s="1"/>
  <c r="O393" i="9"/>
  <c r="M393" i="9"/>
  <c r="P393" i="9" s="1"/>
  <c r="J393" i="9"/>
  <c r="I393" i="9"/>
  <c r="N393" i="9" s="1"/>
  <c r="C393" i="9"/>
  <c r="B393" i="9"/>
  <c r="O392" i="9"/>
  <c r="M392" i="9"/>
  <c r="J392" i="9"/>
  <c r="I392" i="9"/>
  <c r="N392" i="9" s="1"/>
  <c r="C392" i="9"/>
  <c r="B392" i="9"/>
  <c r="O391" i="9"/>
  <c r="M391" i="9"/>
  <c r="P391" i="9" s="1"/>
  <c r="J391" i="9"/>
  <c r="I391" i="9"/>
  <c r="N391" i="9" s="1"/>
  <c r="C391" i="9"/>
  <c r="B391" i="9"/>
  <c r="O390" i="9"/>
  <c r="N390" i="9"/>
  <c r="J390" i="9"/>
  <c r="I390" i="9"/>
  <c r="C390" i="9"/>
  <c r="B390" i="9"/>
  <c r="O389" i="9"/>
  <c r="M389" i="9"/>
  <c r="P389" i="9" s="1"/>
  <c r="J389" i="9"/>
  <c r="I389" i="9"/>
  <c r="N389" i="9" s="1"/>
  <c r="C389" i="9"/>
  <c r="B389" i="9"/>
  <c r="O388" i="9"/>
  <c r="N388" i="9"/>
  <c r="J388" i="9"/>
  <c r="I388" i="9"/>
  <c r="C388" i="9"/>
  <c r="B388" i="9"/>
  <c r="O387" i="9"/>
  <c r="J387" i="9"/>
  <c r="I387" i="9"/>
  <c r="N387" i="9" s="1"/>
  <c r="C387" i="9"/>
  <c r="B387" i="9"/>
  <c r="O386" i="9"/>
  <c r="M386" i="9"/>
  <c r="P386" i="9" s="1"/>
  <c r="J386" i="9"/>
  <c r="I386" i="9"/>
  <c r="N386" i="9" s="1"/>
  <c r="C386" i="9"/>
  <c r="B386" i="9"/>
  <c r="O385" i="9"/>
  <c r="N385" i="9"/>
  <c r="M385" i="9"/>
  <c r="P385" i="9" s="1"/>
  <c r="J385" i="9"/>
  <c r="I385" i="9"/>
  <c r="C385" i="9"/>
  <c r="B385" i="9"/>
  <c r="O384" i="9"/>
  <c r="M384" i="9"/>
  <c r="J384" i="9"/>
  <c r="I384" i="9"/>
  <c r="N384" i="9" s="1"/>
  <c r="C384" i="9"/>
  <c r="B384" i="9"/>
  <c r="O383" i="9"/>
  <c r="J383" i="9"/>
  <c r="I383" i="9"/>
  <c r="N383" i="9" s="1"/>
  <c r="C383" i="9"/>
  <c r="B383" i="9"/>
  <c r="O382" i="9"/>
  <c r="M382" i="9"/>
  <c r="J382" i="9"/>
  <c r="I382" i="9"/>
  <c r="N382" i="9" s="1"/>
  <c r="C382" i="9"/>
  <c r="B382" i="9"/>
  <c r="O381" i="9"/>
  <c r="N381" i="9"/>
  <c r="M381" i="9"/>
  <c r="P381" i="9" s="1"/>
  <c r="J381" i="9"/>
  <c r="I381" i="9"/>
  <c r="C381" i="9"/>
  <c r="B381" i="9"/>
  <c r="O380" i="9"/>
  <c r="M380" i="9"/>
  <c r="P380" i="9" s="1"/>
  <c r="J380" i="9"/>
  <c r="I380" i="9"/>
  <c r="N380" i="9" s="1"/>
  <c r="C380" i="9"/>
  <c r="B380" i="9"/>
  <c r="O379" i="9"/>
  <c r="J379" i="9"/>
  <c r="I379" i="9"/>
  <c r="N379" i="9" s="1"/>
  <c r="C379" i="9"/>
  <c r="B379" i="9"/>
  <c r="O378" i="9"/>
  <c r="M378" i="9"/>
  <c r="J378" i="9"/>
  <c r="I378" i="9"/>
  <c r="N378" i="9" s="1"/>
  <c r="C378" i="9"/>
  <c r="B378" i="9"/>
  <c r="O377" i="9"/>
  <c r="N377" i="9"/>
  <c r="M377" i="9"/>
  <c r="P377" i="9" s="1"/>
  <c r="J377" i="9"/>
  <c r="I377" i="9"/>
  <c r="C377" i="9"/>
  <c r="B377" i="9"/>
  <c r="O376" i="9"/>
  <c r="M376" i="9"/>
  <c r="P376" i="9" s="1"/>
  <c r="J376" i="9"/>
  <c r="I376" i="9"/>
  <c r="N376" i="9" s="1"/>
  <c r="C376" i="9"/>
  <c r="B376" i="9"/>
  <c r="O375" i="9"/>
  <c r="J375" i="9"/>
  <c r="I375" i="9"/>
  <c r="N375" i="9" s="1"/>
  <c r="C375" i="9"/>
  <c r="B375" i="9"/>
  <c r="O374" i="9"/>
  <c r="M374" i="9"/>
  <c r="J374" i="9"/>
  <c r="I374" i="9"/>
  <c r="N374" i="9" s="1"/>
  <c r="C374" i="9"/>
  <c r="B374" i="9"/>
  <c r="O373" i="9"/>
  <c r="N373" i="9"/>
  <c r="M373" i="9"/>
  <c r="P373" i="9" s="1"/>
  <c r="J373" i="9"/>
  <c r="I373" i="9"/>
  <c r="C373" i="9"/>
  <c r="B373" i="9"/>
  <c r="O372" i="9"/>
  <c r="M372" i="9"/>
  <c r="J372" i="9"/>
  <c r="I372" i="9"/>
  <c r="N372" i="9" s="1"/>
  <c r="C372" i="9"/>
  <c r="B372" i="9"/>
  <c r="O371" i="9"/>
  <c r="J371" i="9"/>
  <c r="I371" i="9"/>
  <c r="N371" i="9" s="1"/>
  <c r="C371" i="9"/>
  <c r="B371" i="9"/>
  <c r="O370" i="9"/>
  <c r="M370" i="9"/>
  <c r="J370" i="9"/>
  <c r="I370" i="9"/>
  <c r="N370" i="9" s="1"/>
  <c r="C370" i="9"/>
  <c r="B370" i="9"/>
  <c r="O369" i="9"/>
  <c r="N369" i="9"/>
  <c r="M369" i="9"/>
  <c r="P369" i="9" s="1"/>
  <c r="J369" i="9"/>
  <c r="I369" i="9"/>
  <c r="C369" i="9"/>
  <c r="B369" i="9"/>
  <c r="O368" i="9"/>
  <c r="M368" i="9"/>
  <c r="J368" i="9"/>
  <c r="I368" i="9"/>
  <c r="N368" i="9" s="1"/>
  <c r="C368" i="9"/>
  <c r="B368" i="9"/>
  <c r="O367" i="9"/>
  <c r="J367" i="9"/>
  <c r="I367" i="9"/>
  <c r="N367" i="9" s="1"/>
  <c r="C367" i="9"/>
  <c r="B367" i="9"/>
  <c r="O366" i="9"/>
  <c r="M366" i="9"/>
  <c r="J366" i="9"/>
  <c r="I366" i="9"/>
  <c r="N366" i="9" s="1"/>
  <c r="C366" i="9"/>
  <c r="B366" i="9"/>
  <c r="O365" i="9"/>
  <c r="N365" i="9"/>
  <c r="M365" i="9"/>
  <c r="P365" i="9" s="1"/>
  <c r="J365" i="9"/>
  <c r="I365" i="9"/>
  <c r="C365" i="9"/>
  <c r="B365" i="9"/>
  <c r="O364" i="9"/>
  <c r="J364" i="9"/>
  <c r="I364" i="9"/>
  <c r="N364" i="9" s="1"/>
  <c r="C364" i="9"/>
  <c r="B364" i="9"/>
  <c r="O363" i="9"/>
  <c r="J363" i="9"/>
  <c r="I363" i="9"/>
  <c r="N363" i="9" s="1"/>
  <c r="C363" i="9"/>
  <c r="B363" i="9"/>
  <c r="O362" i="9"/>
  <c r="M362" i="9"/>
  <c r="P362" i="9" s="1"/>
  <c r="J362" i="9"/>
  <c r="I362" i="9"/>
  <c r="N362" i="9" s="1"/>
  <c r="C362" i="9"/>
  <c r="B362" i="9"/>
  <c r="O361" i="9"/>
  <c r="N361" i="9"/>
  <c r="M361" i="9"/>
  <c r="P361" i="9" s="1"/>
  <c r="J361" i="9"/>
  <c r="I361" i="9"/>
  <c r="C361" i="9"/>
  <c r="B361" i="9"/>
  <c r="O360" i="9"/>
  <c r="M360" i="9"/>
  <c r="J360" i="9"/>
  <c r="I360" i="9"/>
  <c r="N360" i="9" s="1"/>
  <c r="C360" i="9"/>
  <c r="B360" i="9"/>
  <c r="O359" i="9"/>
  <c r="J359" i="9"/>
  <c r="I359" i="9"/>
  <c r="N359" i="9" s="1"/>
  <c r="C359" i="9"/>
  <c r="B359" i="9"/>
  <c r="O358" i="9"/>
  <c r="M358" i="9"/>
  <c r="P358" i="9" s="1"/>
  <c r="J358" i="9"/>
  <c r="I358" i="9"/>
  <c r="N358" i="9" s="1"/>
  <c r="C358" i="9"/>
  <c r="B358" i="9"/>
  <c r="O357" i="9"/>
  <c r="N357" i="9"/>
  <c r="M357" i="9"/>
  <c r="P357" i="9" s="1"/>
  <c r="J357" i="9"/>
  <c r="I357" i="9"/>
  <c r="C357" i="9"/>
  <c r="B357" i="9"/>
  <c r="O356" i="9"/>
  <c r="M356" i="9"/>
  <c r="J356" i="9"/>
  <c r="I356" i="9"/>
  <c r="N356" i="9" s="1"/>
  <c r="C356" i="9"/>
  <c r="B356" i="9"/>
  <c r="O355" i="9"/>
  <c r="J355" i="9"/>
  <c r="I355" i="9"/>
  <c r="N355" i="9" s="1"/>
  <c r="C355" i="9"/>
  <c r="B355" i="9"/>
  <c r="O354" i="9"/>
  <c r="M354" i="9"/>
  <c r="J354" i="9"/>
  <c r="I354" i="9"/>
  <c r="N354" i="9" s="1"/>
  <c r="C354" i="9"/>
  <c r="B354" i="9"/>
  <c r="O353" i="9"/>
  <c r="N353" i="9"/>
  <c r="M353" i="9"/>
  <c r="P353" i="9" s="1"/>
  <c r="J353" i="9"/>
  <c r="I353" i="9"/>
  <c r="C353" i="9"/>
  <c r="B353" i="9"/>
  <c r="O352" i="9"/>
  <c r="J352" i="9"/>
  <c r="I352" i="9"/>
  <c r="N352" i="9" s="1"/>
  <c r="C352" i="9"/>
  <c r="B352" i="9"/>
  <c r="O351" i="9"/>
  <c r="J351" i="9"/>
  <c r="I351" i="9"/>
  <c r="N351" i="9" s="1"/>
  <c r="C351" i="9"/>
  <c r="B351" i="9"/>
  <c r="O350" i="9"/>
  <c r="M350" i="9"/>
  <c r="P350" i="9" s="1"/>
  <c r="J350" i="9"/>
  <c r="I350" i="9"/>
  <c r="N350" i="9" s="1"/>
  <c r="C350" i="9"/>
  <c r="B350" i="9"/>
  <c r="O349" i="9"/>
  <c r="N349" i="9"/>
  <c r="M349" i="9"/>
  <c r="P349" i="9" s="1"/>
  <c r="J349" i="9"/>
  <c r="I349" i="9"/>
  <c r="C349" i="9"/>
  <c r="B349" i="9"/>
  <c r="O348" i="9"/>
  <c r="J348" i="9"/>
  <c r="I348" i="9"/>
  <c r="N348" i="9" s="1"/>
  <c r="C348" i="9"/>
  <c r="B348" i="9"/>
  <c r="O347" i="9"/>
  <c r="J347" i="9"/>
  <c r="I347" i="9"/>
  <c r="N347" i="9" s="1"/>
  <c r="C347" i="9"/>
  <c r="B347" i="9"/>
  <c r="O346" i="9"/>
  <c r="M346" i="9"/>
  <c r="P346" i="9" s="1"/>
  <c r="J346" i="9"/>
  <c r="I346" i="9"/>
  <c r="N346" i="9" s="1"/>
  <c r="C346" i="9"/>
  <c r="B346" i="9"/>
  <c r="O345" i="9"/>
  <c r="N345" i="9"/>
  <c r="M345" i="9"/>
  <c r="P345" i="9" s="1"/>
  <c r="J345" i="9"/>
  <c r="I345" i="9"/>
  <c r="C345" i="9"/>
  <c r="B345" i="9"/>
  <c r="O344" i="9"/>
  <c r="M344" i="9"/>
  <c r="J344" i="9"/>
  <c r="I344" i="9"/>
  <c r="N344" i="9" s="1"/>
  <c r="C344" i="9"/>
  <c r="B344" i="9"/>
  <c r="O343" i="9"/>
  <c r="J343" i="9"/>
  <c r="I343" i="9"/>
  <c r="N343" i="9" s="1"/>
  <c r="C343" i="9"/>
  <c r="B343" i="9"/>
  <c r="O342" i="9"/>
  <c r="M342" i="9"/>
  <c r="J342" i="9"/>
  <c r="I342" i="9"/>
  <c r="N342" i="9" s="1"/>
  <c r="C342" i="9"/>
  <c r="B342" i="9"/>
  <c r="O341" i="9"/>
  <c r="N341" i="9"/>
  <c r="J341" i="9"/>
  <c r="I341" i="9"/>
  <c r="C341" i="9"/>
  <c r="B341" i="9"/>
  <c r="O340" i="9"/>
  <c r="J340" i="9"/>
  <c r="I340" i="9"/>
  <c r="N340" i="9" s="1"/>
  <c r="C340" i="9"/>
  <c r="B340" i="9"/>
  <c r="O339" i="9"/>
  <c r="J339" i="9"/>
  <c r="I339" i="9"/>
  <c r="N339" i="9" s="1"/>
  <c r="C339" i="9"/>
  <c r="B339" i="9"/>
  <c r="M339" i="9" s="1"/>
  <c r="P339" i="9" s="1"/>
  <c r="O338" i="9"/>
  <c r="N338" i="9"/>
  <c r="M338" i="9"/>
  <c r="P338" i="9" s="1"/>
  <c r="J338" i="9"/>
  <c r="I338" i="9"/>
  <c r="C338" i="9"/>
  <c r="B338" i="9"/>
  <c r="O337" i="9"/>
  <c r="N337" i="9"/>
  <c r="J337" i="9"/>
  <c r="I337" i="9"/>
  <c r="C337" i="9"/>
  <c r="B337" i="9"/>
  <c r="O336" i="9"/>
  <c r="M336" i="9"/>
  <c r="P336" i="9" s="1"/>
  <c r="J336" i="9"/>
  <c r="I336" i="9"/>
  <c r="N336" i="9" s="1"/>
  <c r="C336" i="9"/>
  <c r="B336" i="9"/>
  <c r="O335" i="9"/>
  <c r="J335" i="9"/>
  <c r="I335" i="9"/>
  <c r="N335" i="9" s="1"/>
  <c r="C335" i="9"/>
  <c r="B335" i="9"/>
  <c r="M335" i="9" s="1"/>
  <c r="O334" i="9"/>
  <c r="N334" i="9"/>
  <c r="M334" i="9"/>
  <c r="J334" i="9"/>
  <c r="I334" i="9"/>
  <c r="C334" i="9"/>
  <c r="B334" i="9"/>
  <c r="O333" i="9"/>
  <c r="N333" i="9"/>
  <c r="J333" i="9"/>
  <c r="I333" i="9"/>
  <c r="C333" i="9"/>
  <c r="B333" i="9"/>
  <c r="M333" i="9" s="1"/>
  <c r="P333" i="9" s="1"/>
  <c r="O332" i="9"/>
  <c r="M332" i="9"/>
  <c r="J332" i="9"/>
  <c r="I332" i="9"/>
  <c r="N332" i="9" s="1"/>
  <c r="C332" i="9"/>
  <c r="B332" i="9"/>
  <c r="O331" i="9"/>
  <c r="J331" i="9"/>
  <c r="I331" i="9"/>
  <c r="N331" i="9" s="1"/>
  <c r="C331" i="9"/>
  <c r="B331" i="9"/>
  <c r="M331" i="9" s="1"/>
  <c r="O330" i="9"/>
  <c r="M330" i="9"/>
  <c r="J330" i="9"/>
  <c r="I330" i="9"/>
  <c r="N330" i="9" s="1"/>
  <c r="C330" i="9"/>
  <c r="B330" i="9"/>
  <c r="O329" i="9"/>
  <c r="N329" i="9"/>
  <c r="M329" i="9"/>
  <c r="P329" i="9" s="1"/>
  <c r="J329" i="9"/>
  <c r="I329" i="9"/>
  <c r="C329" i="9"/>
  <c r="B329" i="9"/>
  <c r="O328" i="9"/>
  <c r="J328" i="9"/>
  <c r="I328" i="9"/>
  <c r="N328" i="9" s="1"/>
  <c r="C328" i="9"/>
  <c r="B328" i="9"/>
  <c r="O327" i="9"/>
  <c r="J327" i="9"/>
  <c r="I327" i="9"/>
  <c r="N327" i="9" s="1"/>
  <c r="C327" i="9"/>
  <c r="B327" i="9"/>
  <c r="M327" i="9" s="1"/>
  <c r="O326" i="9"/>
  <c r="M326" i="9"/>
  <c r="J326" i="9"/>
  <c r="I326" i="9"/>
  <c r="N326" i="9" s="1"/>
  <c r="C326" i="9"/>
  <c r="B326" i="9"/>
  <c r="O325" i="9"/>
  <c r="N325" i="9"/>
  <c r="J325" i="9"/>
  <c r="I325" i="9"/>
  <c r="C325" i="9"/>
  <c r="B325" i="9"/>
  <c r="O324" i="9"/>
  <c r="J324" i="9"/>
  <c r="I324" i="9"/>
  <c r="N324" i="9" s="1"/>
  <c r="C324" i="9"/>
  <c r="B324" i="9"/>
  <c r="O323" i="9"/>
  <c r="J323" i="9"/>
  <c r="I323" i="9"/>
  <c r="N323" i="9" s="1"/>
  <c r="C323" i="9"/>
  <c r="B323" i="9"/>
  <c r="M323" i="9" s="1"/>
  <c r="O322" i="9"/>
  <c r="M322" i="9"/>
  <c r="J322" i="9"/>
  <c r="I322" i="9"/>
  <c r="N322" i="9" s="1"/>
  <c r="P322" i="9" s="1"/>
  <c r="C322" i="9"/>
  <c r="B322" i="9"/>
  <c r="O321" i="9"/>
  <c r="N321" i="9"/>
  <c r="M321" i="9"/>
  <c r="P321" i="9" s="1"/>
  <c r="J321" i="9"/>
  <c r="I321" i="9"/>
  <c r="C321" i="9"/>
  <c r="B321" i="9"/>
  <c r="O320" i="9"/>
  <c r="M320" i="9"/>
  <c r="P320" i="9" s="1"/>
  <c r="J320" i="9"/>
  <c r="I320" i="9"/>
  <c r="N320" i="9" s="1"/>
  <c r="C320" i="9"/>
  <c r="B320" i="9"/>
  <c r="O319" i="9"/>
  <c r="J319" i="9"/>
  <c r="I319" i="9"/>
  <c r="N319" i="9" s="1"/>
  <c r="C319" i="9"/>
  <c r="B319" i="9"/>
  <c r="M319" i="9" s="1"/>
  <c r="O318" i="9"/>
  <c r="N318" i="9"/>
  <c r="M318" i="9"/>
  <c r="P318" i="9" s="1"/>
  <c r="J318" i="9"/>
  <c r="I318" i="9"/>
  <c r="C318" i="9"/>
  <c r="B318" i="9"/>
  <c r="O317" i="9"/>
  <c r="N317" i="9"/>
  <c r="J317" i="9"/>
  <c r="I317" i="9"/>
  <c r="C317" i="9"/>
  <c r="B317" i="9"/>
  <c r="M317" i="9" s="1"/>
  <c r="P317" i="9" s="1"/>
  <c r="O316" i="9"/>
  <c r="N316" i="9"/>
  <c r="M316" i="9"/>
  <c r="P316" i="9" s="1"/>
  <c r="J316" i="9"/>
  <c r="I316" i="9"/>
  <c r="C316" i="9"/>
  <c r="B316" i="9"/>
  <c r="O315" i="9"/>
  <c r="N315" i="9"/>
  <c r="J315" i="9"/>
  <c r="I315" i="9"/>
  <c r="C315" i="9"/>
  <c r="B315" i="9"/>
  <c r="M315" i="9" s="1"/>
  <c r="P315" i="9" s="1"/>
  <c r="O314" i="9"/>
  <c r="J314" i="9"/>
  <c r="I314" i="9"/>
  <c r="N314" i="9" s="1"/>
  <c r="C314" i="9"/>
  <c r="B314" i="9"/>
  <c r="O313" i="9"/>
  <c r="M313" i="9"/>
  <c r="J313" i="9"/>
  <c r="I313" i="9"/>
  <c r="N313" i="9" s="1"/>
  <c r="C313" i="9"/>
  <c r="B313" i="9"/>
  <c r="O312" i="9"/>
  <c r="N312" i="9"/>
  <c r="J312" i="9"/>
  <c r="I312" i="9"/>
  <c r="C312" i="9"/>
  <c r="B312" i="9"/>
  <c r="M312" i="9" s="1"/>
  <c r="P312" i="9" s="1"/>
  <c r="O311" i="9"/>
  <c r="M311" i="9"/>
  <c r="J311" i="9"/>
  <c r="I311" i="9"/>
  <c r="N311" i="9" s="1"/>
  <c r="C311" i="9"/>
  <c r="B311" i="9"/>
  <c r="L311" i="9" s="1"/>
  <c r="O310" i="9"/>
  <c r="J310" i="9"/>
  <c r="I310" i="9"/>
  <c r="N310" i="9" s="1"/>
  <c r="C310" i="9"/>
  <c r="B310" i="9"/>
  <c r="O309" i="9"/>
  <c r="M309" i="9"/>
  <c r="J309" i="9"/>
  <c r="I309" i="9"/>
  <c r="N309" i="9" s="1"/>
  <c r="C309" i="9"/>
  <c r="B309" i="9"/>
  <c r="O308" i="9"/>
  <c r="N308" i="9"/>
  <c r="J308" i="9"/>
  <c r="I308" i="9"/>
  <c r="C308" i="9"/>
  <c r="B308" i="9"/>
  <c r="M308" i="9" s="1"/>
  <c r="P308" i="9" s="1"/>
  <c r="O307" i="9"/>
  <c r="M307" i="9"/>
  <c r="J307" i="9"/>
  <c r="I307" i="9"/>
  <c r="N307" i="9" s="1"/>
  <c r="C307" i="9"/>
  <c r="B307" i="9"/>
  <c r="O306" i="9"/>
  <c r="J306" i="9"/>
  <c r="I306" i="9"/>
  <c r="N306" i="9" s="1"/>
  <c r="C306" i="9"/>
  <c r="B306" i="9"/>
  <c r="O305" i="9"/>
  <c r="M305" i="9"/>
  <c r="J305" i="9"/>
  <c r="I305" i="9"/>
  <c r="N305" i="9" s="1"/>
  <c r="C305" i="9"/>
  <c r="B305" i="9"/>
  <c r="O304" i="9"/>
  <c r="N304" i="9"/>
  <c r="J304" i="9"/>
  <c r="I304" i="9"/>
  <c r="C304" i="9"/>
  <c r="B304" i="9"/>
  <c r="M304" i="9" s="1"/>
  <c r="P304" i="9" s="1"/>
  <c r="O303" i="9"/>
  <c r="M303" i="9"/>
  <c r="J303" i="9"/>
  <c r="I303" i="9"/>
  <c r="N303" i="9" s="1"/>
  <c r="C303" i="9"/>
  <c r="B303" i="9"/>
  <c r="O302" i="9"/>
  <c r="J302" i="9"/>
  <c r="I302" i="9"/>
  <c r="N302" i="9" s="1"/>
  <c r="C302" i="9"/>
  <c r="B302" i="9"/>
  <c r="O301" i="9"/>
  <c r="M301" i="9"/>
  <c r="J301" i="9"/>
  <c r="I301" i="9"/>
  <c r="N301" i="9" s="1"/>
  <c r="C301" i="9"/>
  <c r="B301" i="9"/>
  <c r="O300" i="9"/>
  <c r="N300" i="9"/>
  <c r="J300" i="9"/>
  <c r="I300" i="9"/>
  <c r="C300" i="9"/>
  <c r="B300" i="9"/>
  <c r="M300" i="9" s="1"/>
  <c r="P300" i="9" s="1"/>
  <c r="O299" i="9"/>
  <c r="M299" i="9"/>
  <c r="J299" i="9"/>
  <c r="I299" i="9"/>
  <c r="N299" i="9" s="1"/>
  <c r="C299" i="9"/>
  <c r="B299" i="9"/>
  <c r="O298" i="9"/>
  <c r="J298" i="9"/>
  <c r="I298" i="9"/>
  <c r="N298" i="9" s="1"/>
  <c r="C298" i="9"/>
  <c r="B298" i="9"/>
  <c r="O297" i="9"/>
  <c r="M297" i="9"/>
  <c r="J297" i="9"/>
  <c r="I297" i="9"/>
  <c r="N297" i="9" s="1"/>
  <c r="C297" i="9"/>
  <c r="B297" i="9"/>
  <c r="O296" i="9"/>
  <c r="N296" i="9"/>
  <c r="J296" i="9"/>
  <c r="I296" i="9"/>
  <c r="C296" i="9"/>
  <c r="B296" i="9"/>
  <c r="M296" i="9" s="1"/>
  <c r="P296" i="9" s="1"/>
  <c r="O295" i="9"/>
  <c r="M295" i="9"/>
  <c r="J295" i="9"/>
  <c r="I295" i="9"/>
  <c r="N295" i="9" s="1"/>
  <c r="C295" i="9"/>
  <c r="B295" i="9"/>
  <c r="O294" i="9"/>
  <c r="J294" i="9"/>
  <c r="I294" i="9"/>
  <c r="N294" i="9" s="1"/>
  <c r="C294" i="9"/>
  <c r="B294" i="9"/>
  <c r="O293" i="9"/>
  <c r="M293" i="9"/>
  <c r="P293" i="9" s="1"/>
  <c r="J293" i="9"/>
  <c r="I293" i="9"/>
  <c r="N293" i="9" s="1"/>
  <c r="C293" i="9"/>
  <c r="B293" i="9"/>
  <c r="O292" i="9"/>
  <c r="N292" i="9"/>
  <c r="J292" i="9"/>
  <c r="I292" i="9"/>
  <c r="C292" i="9"/>
  <c r="B292" i="9"/>
  <c r="O291" i="9"/>
  <c r="M291" i="9"/>
  <c r="P291" i="9" s="1"/>
  <c r="J291" i="9"/>
  <c r="I291" i="9"/>
  <c r="N291" i="9" s="1"/>
  <c r="C291" i="9"/>
  <c r="B291" i="9"/>
  <c r="O290" i="9"/>
  <c r="J290" i="9"/>
  <c r="I290" i="9"/>
  <c r="N290" i="9" s="1"/>
  <c r="C290" i="9"/>
  <c r="B290" i="9"/>
  <c r="O289" i="9"/>
  <c r="M289" i="9"/>
  <c r="P289" i="9" s="1"/>
  <c r="J289" i="9"/>
  <c r="I289" i="9"/>
  <c r="N289" i="9" s="1"/>
  <c r="C289" i="9"/>
  <c r="B289" i="9"/>
  <c r="O288" i="9"/>
  <c r="N288" i="9"/>
  <c r="J288" i="9"/>
  <c r="I288" i="9"/>
  <c r="C288" i="9"/>
  <c r="B288" i="9"/>
  <c r="O287" i="9"/>
  <c r="M287" i="9"/>
  <c r="J287" i="9"/>
  <c r="I287" i="9"/>
  <c r="N287" i="9" s="1"/>
  <c r="C287" i="9"/>
  <c r="B287" i="9"/>
  <c r="O286" i="9"/>
  <c r="J286" i="9"/>
  <c r="I286" i="9"/>
  <c r="N286" i="9" s="1"/>
  <c r="C286" i="9"/>
  <c r="B286" i="9"/>
  <c r="O285" i="9"/>
  <c r="M285" i="9"/>
  <c r="P285" i="9" s="1"/>
  <c r="J285" i="9"/>
  <c r="I285" i="9"/>
  <c r="N285" i="9" s="1"/>
  <c r="C285" i="9"/>
  <c r="B285" i="9"/>
  <c r="O284" i="9"/>
  <c r="N284" i="9"/>
  <c r="J284" i="9"/>
  <c r="I284" i="9"/>
  <c r="C284" i="9"/>
  <c r="B284" i="9"/>
  <c r="O283" i="9"/>
  <c r="M283" i="9"/>
  <c r="J283" i="9"/>
  <c r="I283" i="9"/>
  <c r="N283" i="9" s="1"/>
  <c r="C283" i="9"/>
  <c r="B283" i="9"/>
  <c r="O282" i="9"/>
  <c r="J282" i="9"/>
  <c r="I282" i="9"/>
  <c r="N282" i="9" s="1"/>
  <c r="C282" i="9"/>
  <c r="B282" i="9"/>
  <c r="O281" i="9"/>
  <c r="M281" i="9"/>
  <c r="J281" i="9"/>
  <c r="I281" i="9"/>
  <c r="N281" i="9" s="1"/>
  <c r="C281" i="9"/>
  <c r="B281" i="9"/>
  <c r="O280" i="9"/>
  <c r="N280" i="9"/>
  <c r="J280" i="9"/>
  <c r="I280" i="9"/>
  <c r="C280" i="9"/>
  <c r="B280" i="9"/>
  <c r="O279" i="9"/>
  <c r="M279" i="9"/>
  <c r="P279" i="9" s="1"/>
  <c r="J279" i="9"/>
  <c r="I279" i="9"/>
  <c r="N279" i="9" s="1"/>
  <c r="C279" i="9"/>
  <c r="B279" i="9"/>
  <c r="O278" i="9"/>
  <c r="J278" i="9"/>
  <c r="I278" i="9"/>
  <c r="N278" i="9" s="1"/>
  <c r="C278" i="9"/>
  <c r="B278" i="9"/>
  <c r="O277" i="9"/>
  <c r="M277" i="9"/>
  <c r="P277" i="9" s="1"/>
  <c r="J277" i="9"/>
  <c r="I277" i="9"/>
  <c r="N277" i="9" s="1"/>
  <c r="C277" i="9"/>
  <c r="B277" i="9"/>
  <c r="O276" i="9"/>
  <c r="N276" i="9"/>
  <c r="J276" i="9"/>
  <c r="I276" i="9"/>
  <c r="C276" i="9"/>
  <c r="B276" i="9"/>
  <c r="O275" i="9"/>
  <c r="M275" i="9"/>
  <c r="J275" i="9"/>
  <c r="I275" i="9"/>
  <c r="N275" i="9" s="1"/>
  <c r="P275" i="9" s="1"/>
  <c r="C275" i="9"/>
  <c r="B275" i="9"/>
  <c r="O274" i="9"/>
  <c r="J274" i="9"/>
  <c r="I274" i="9"/>
  <c r="N274" i="9" s="1"/>
  <c r="C274" i="9"/>
  <c r="B274" i="9"/>
  <c r="O273" i="9"/>
  <c r="M273" i="9"/>
  <c r="L273" i="9"/>
  <c r="J273" i="9"/>
  <c r="I273" i="9"/>
  <c r="N273" i="9" s="1"/>
  <c r="C273" i="9"/>
  <c r="B273" i="9"/>
  <c r="O272" i="9"/>
  <c r="N272" i="9"/>
  <c r="J272" i="9"/>
  <c r="I272" i="9"/>
  <c r="C272" i="9"/>
  <c r="B272" i="9"/>
  <c r="O271" i="9"/>
  <c r="M271" i="9"/>
  <c r="J271" i="9"/>
  <c r="I271" i="9"/>
  <c r="N271" i="9" s="1"/>
  <c r="C271" i="9"/>
  <c r="B271" i="9"/>
  <c r="O270" i="9"/>
  <c r="J270" i="9"/>
  <c r="I270" i="9"/>
  <c r="N270" i="9" s="1"/>
  <c r="C270" i="9"/>
  <c r="B270" i="9"/>
  <c r="O269" i="9"/>
  <c r="M269" i="9"/>
  <c r="J269" i="9"/>
  <c r="I269" i="9"/>
  <c r="N269" i="9" s="1"/>
  <c r="C269" i="9"/>
  <c r="B269" i="9"/>
  <c r="O268" i="9"/>
  <c r="N268" i="9"/>
  <c r="J268" i="9"/>
  <c r="I268" i="9"/>
  <c r="C268" i="9"/>
  <c r="B268" i="9"/>
  <c r="O267" i="9"/>
  <c r="J267" i="9"/>
  <c r="I267" i="9"/>
  <c r="N267" i="9" s="1"/>
  <c r="C267" i="9"/>
  <c r="B267" i="9"/>
  <c r="O266" i="9"/>
  <c r="J266" i="9"/>
  <c r="I266" i="9"/>
  <c r="N266" i="9" s="1"/>
  <c r="C266" i="9"/>
  <c r="B266" i="9"/>
  <c r="O265" i="9"/>
  <c r="M265" i="9"/>
  <c r="J265" i="9"/>
  <c r="I265" i="9"/>
  <c r="N265" i="9" s="1"/>
  <c r="C265" i="9"/>
  <c r="B265" i="9"/>
  <c r="O264" i="9"/>
  <c r="N264" i="9"/>
  <c r="M264" i="9"/>
  <c r="P264" i="9" s="1"/>
  <c r="J264" i="9"/>
  <c r="I264" i="9"/>
  <c r="C264" i="9"/>
  <c r="B264" i="9"/>
  <c r="O263" i="9"/>
  <c r="M263" i="9"/>
  <c r="P263" i="9" s="1"/>
  <c r="J263" i="9"/>
  <c r="I263" i="9"/>
  <c r="N263" i="9" s="1"/>
  <c r="C263" i="9"/>
  <c r="B263" i="9"/>
  <c r="O262" i="9"/>
  <c r="J262" i="9"/>
  <c r="I262" i="9"/>
  <c r="N262" i="9" s="1"/>
  <c r="C262" i="9"/>
  <c r="B262" i="9"/>
  <c r="O261" i="9"/>
  <c r="M261" i="9"/>
  <c r="J261" i="9"/>
  <c r="I261" i="9"/>
  <c r="N261" i="9" s="1"/>
  <c r="C261" i="9"/>
  <c r="B261" i="9"/>
  <c r="O260" i="9"/>
  <c r="N260" i="9"/>
  <c r="M260" i="9"/>
  <c r="P260" i="9" s="1"/>
  <c r="J260" i="9"/>
  <c r="I260" i="9"/>
  <c r="C260" i="9"/>
  <c r="B260" i="9"/>
  <c r="O259" i="9"/>
  <c r="M259" i="9"/>
  <c r="P259" i="9" s="1"/>
  <c r="J259" i="9"/>
  <c r="I259" i="9"/>
  <c r="N259" i="9" s="1"/>
  <c r="C259" i="9"/>
  <c r="B259" i="9"/>
  <c r="O258" i="9"/>
  <c r="J258" i="9"/>
  <c r="I258" i="9"/>
  <c r="N258" i="9" s="1"/>
  <c r="C258" i="9"/>
  <c r="B258" i="9"/>
  <c r="O257" i="9"/>
  <c r="M257" i="9"/>
  <c r="J257" i="9"/>
  <c r="I257" i="9"/>
  <c r="N257" i="9" s="1"/>
  <c r="C257" i="9"/>
  <c r="B257" i="9"/>
  <c r="O256" i="9"/>
  <c r="N256" i="9"/>
  <c r="M256" i="9"/>
  <c r="J256" i="9"/>
  <c r="I256" i="9"/>
  <c r="C256" i="9"/>
  <c r="B256" i="9"/>
  <c r="O255" i="9"/>
  <c r="J255" i="9"/>
  <c r="I255" i="9"/>
  <c r="N255" i="9" s="1"/>
  <c r="C255" i="9"/>
  <c r="B255" i="9"/>
  <c r="O254" i="9"/>
  <c r="J254" i="9"/>
  <c r="I254" i="9"/>
  <c r="N254" i="9" s="1"/>
  <c r="C254" i="9"/>
  <c r="B254" i="9"/>
  <c r="O253" i="9"/>
  <c r="M253" i="9"/>
  <c r="P253" i="9" s="1"/>
  <c r="K253" i="9"/>
  <c r="J253" i="9"/>
  <c r="I253" i="9"/>
  <c r="N253" i="9" s="1"/>
  <c r="C253" i="9"/>
  <c r="B253" i="9"/>
  <c r="O252" i="9"/>
  <c r="N252" i="9"/>
  <c r="J252" i="9"/>
  <c r="I252" i="9"/>
  <c r="C252" i="9"/>
  <c r="B252" i="9"/>
  <c r="M252" i="9" s="1"/>
  <c r="P252" i="9" s="1"/>
  <c r="P251" i="9"/>
  <c r="O251" i="9"/>
  <c r="M251" i="9"/>
  <c r="J251" i="9"/>
  <c r="I251" i="9"/>
  <c r="N251" i="9" s="1"/>
  <c r="C251" i="9"/>
  <c r="B251" i="9"/>
  <c r="O250" i="9"/>
  <c r="J250" i="9"/>
  <c r="I250" i="9"/>
  <c r="N250" i="9" s="1"/>
  <c r="C250" i="9"/>
  <c r="B250" i="9"/>
  <c r="O249" i="9"/>
  <c r="M249" i="9"/>
  <c r="J249" i="9"/>
  <c r="I249" i="9"/>
  <c r="N249" i="9" s="1"/>
  <c r="C249" i="9"/>
  <c r="B249" i="9"/>
  <c r="O248" i="9"/>
  <c r="N248" i="9"/>
  <c r="J248" i="9"/>
  <c r="I248" i="9"/>
  <c r="C248" i="9"/>
  <c r="B248" i="9"/>
  <c r="M248" i="9" s="1"/>
  <c r="P248" i="9" s="1"/>
  <c r="O247" i="9"/>
  <c r="J247" i="9"/>
  <c r="I247" i="9"/>
  <c r="N247" i="9" s="1"/>
  <c r="C247" i="9"/>
  <c r="B247" i="9"/>
  <c r="O246" i="9"/>
  <c r="J246" i="9"/>
  <c r="I246" i="9"/>
  <c r="N246" i="9" s="1"/>
  <c r="C246" i="9"/>
  <c r="B246" i="9"/>
  <c r="O245" i="9"/>
  <c r="M245" i="9"/>
  <c r="P245" i="9" s="1"/>
  <c r="J245" i="9"/>
  <c r="I245" i="9"/>
  <c r="N245" i="9" s="1"/>
  <c r="C245" i="9"/>
  <c r="B245" i="9"/>
  <c r="O244" i="9"/>
  <c r="N244" i="9"/>
  <c r="J244" i="9"/>
  <c r="I244" i="9"/>
  <c r="C244" i="9"/>
  <c r="B244" i="9"/>
  <c r="O243" i="9"/>
  <c r="J243" i="9"/>
  <c r="I243" i="9"/>
  <c r="N243" i="9" s="1"/>
  <c r="C243" i="9"/>
  <c r="B243" i="9"/>
  <c r="O242" i="9"/>
  <c r="J242" i="9"/>
  <c r="I242" i="9"/>
  <c r="N242" i="9" s="1"/>
  <c r="C242" i="9"/>
  <c r="B242" i="9"/>
  <c r="O241" i="9"/>
  <c r="M241" i="9"/>
  <c r="P241" i="9" s="1"/>
  <c r="J241" i="9"/>
  <c r="I241" i="9"/>
  <c r="N241" i="9" s="1"/>
  <c r="C241" i="9"/>
  <c r="B241" i="9"/>
  <c r="O240" i="9"/>
  <c r="N240" i="9"/>
  <c r="M240" i="9"/>
  <c r="J240" i="9"/>
  <c r="I240" i="9"/>
  <c r="C240" i="9"/>
  <c r="B240" i="9"/>
  <c r="O239" i="9"/>
  <c r="M239" i="9"/>
  <c r="P239" i="9" s="1"/>
  <c r="J239" i="9"/>
  <c r="I239" i="9"/>
  <c r="N239" i="9" s="1"/>
  <c r="C239" i="9"/>
  <c r="B239" i="9"/>
  <c r="O238" i="9"/>
  <c r="J238" i="9"/>
  <c r="I238" i="9"/>
  <c r="N238" i="9" s="1"/>
  <c r="C238" i="9"/>
  <c r="B238" i="9"/>
  <c r="O237" i="9"/>
  <c r="M237" i="9"/>
  <c r="P237" i="9" s="1"/>
  <c r="J237" i="9"/>
  <c r="I237" i="9"/>
  <c r="N237" i="9" s="1"/>
  <c r="C237" i="9"/>
  <c r="B237" i="9"/>
  <c r="O236" i="9"/>
  <c r="N236" i="9"/>
  <c r="M236" i="9"/>
  <c r="P236" i="9" s="1"/>
  <c r="J236" i="9"/>
  <c r="I236" i="9"/>
  <c r="C236" i="9"/>
  <c r="B236" i="9"/>
  <c r="O235" i="9"/>
  <c r="M235" i="9"/>
  <c r="J235" i="9"/>
  <c r="I235" i="9"/>
  <c r="N235" i="9" s="1"/>
  <c r="C235" i="9"/>
  <c r="B235" i="9"/>
  <c r="O234" i="9"/>
  <c r="J234" i="9"/>
  <c r="I234" i="9"/>
  <c r="N234" i="9" s="1"/>
  <c r="C234" i="9"/>
  <c r="B234" i="9"/>
  <c r="O233" i="9"/>
  <c r="M233" i="9"/>
  <c r="P233" i="9" s="1"/>
  <c r="J233" i="9"/>
  <c r="I233" i="9"/>
  <c r="N233" i="9" s="1"/>
  <c r="C233" i="9"/>
  <c r="B233" i="9"/>
  <c r="O232" i="9"/>
  <c r="N232" i="9"/>
  <c r="J232" i="9"/>
  <c r="I232" i="9"/>
  <c r="C232" i="9"/>
  <c r="B232" i="9"/>
  <c r="O231" i="9"/>
  <c r="N231" i="9"/>
  <c r="J231" i="9"/>
  <c r="I231" i="9"/>
  <c r="C231" i="9"/>
  <c r="B231" i="9"/>
  <c r="O230" i="9"/>
  <c r="J230" i="9"/>
  <c r="I230" i="9"/>
  <c r="N230" i="9" s="1"/>
  <c r="C230" i="9"/>
  <c r="B230" i="9"/>
  <c r="M230" i="9" s="1"/>
  <c r="P230" i="9" s="1"/>
  <c r="O229" i="9"/>
  <c r="M229" i="9"/>
  <c r="P229" i="9" s="1"/>
  <c r="J229" i="9"/>
  <c r="I229" i="9"/>
  <c r="N229" i="9" s="1"/>
  <c r="C229" i="9"/>
  <c r="B229" i="9"/>
  <c r="O228" i="9"/>
  <c r="N228" i="9"/>
  <c r="J228" i="9"/>
  <c r="I228" i="9"/>
  <c r="C228" i="9"/>
  <c r="B228" i="9"/>
  <c r="O227" i="9"/>
  <c r="J227" i="9"/>
  <c r="I227" i="9"/>
  <c r="N227" i="9" s="1"/>
  <c r="C227" i="9"/>
  <c r="B227" i="9"/>
  <c r="M227" i="9" s="1"/>
  <c r="O226" i="9"/>
  <c r="J226" i="9"/>
  <c r="I226" i="9"/>
  <c r="N226" i="9" s="1"/>
  <c r="C226" i="9"/>
  <c r="B226" i="9"/>
  <c r="M226" i="9" s="1"/>
  <c r="O225" i="9"/>
  <c r="N225" i="9"/>
  <c r="M225" i="9"/>
  <c r="P225" i="9" s="1"/>
  <c r="K225" i="9"/>
  <c r="J225" i="9"/>
  <c r="I225" i="9"/>
  <c r="C225" i="9"/>
  <c r="B225" i="9"/>
  <c r="O224" i="9"/>
  <c r="N224" i="9"/>
  <c r="M224" i="9"/>
  <c r="P224" i="9" s="1"/>
  <c r="J224" i="9"/>
  <c r="I224" i="9"/>
  <c r="C224" i="9"/>
  <c r="B224" i="9"/>
  <c r="O223" i="9"/>
  <c r="J223" i="9"/>
  <c r="I223" i="9"/>
  <c r="N223" i="9" s="1"/>
  <c r="C223" i="9"/>
  <c r="B223" i="9"/>
  <c r="O222" i="9"/>
  <c r="J222" i="9"/>
  <c r="I222" i="9"/>
  <c r="N222" i="9" s="1"/>
  <c r="C222" i="9"/>
  <c r="B222" i="9"/>
  <c r="M222" i="9" s="1"/>
  <c r="O221" i="9"/>
  <c r="N221" i="9"/>
  <c r="M221" i="9"/>
  <c r="P221" i="9" s="1"/>
  <c r="J221" i="9"/>
  <c r="I221" i="9"/>
  <c r="C221" i="9"/>
  <c r="B221" i="9"/>
  <c r="O220" i="9"/>
  <c r="N220" i="9"/>
  <c r="M220" i="9"/>
  <c r="P220" i="9" s="1"/>
  <c r="J220" i="9"/>
  <c r="I220" i="9"/>
  <c r="C220" i="9"/>
  <c r="B220" i="9"/>
  <c r="O219" i="9"/>
  <c r="J219" i="9"/>
  <c r="I219" i="9"/>
  <c r="N219" i="9" s="1"/>
  <c r="C219" i="9"/>
  <c r="B219" i="9"/>
  <c r="O218" i="9"/>
  <c r="J218" i="9"/>
  <c r="I218" i="9"/>
  <c r="N218" i="9" s="1"/>
  <c r="C218" i="9"/>
  <c r="B218" i="9"/>
  <c r="M218" i="9" s="1"/>
  <c r="P218" i="9" s="1"/>
  <c r="O217" i="9"/>
  <c r="N217" i="9"/>
  <c r="M217" i="9"/>
  <c r="P217" i="9" s="1"/>
  <c r="J217" i="9"/>
  <c r="I217" i="9"/>
  <c r="C217" i="9"/>
  <c r="B217" i="9"/>
  <c r="O216" i="9"/>
  <c r="N216" i="9"/>
  <c r="M216" i="9"/>
  <c r="P216" i="9" s="1"/>
  <c r="J216" i="9"/>
  <c r="I216" i="9"/>
  <c r="C216" i="9"/>
  <c r="B216" i="9"/>
  <c r="O215" i="9"/>
  <c r="J215" i="9"/>
  <c r="I215" i="9"/>
  <c r="N215" i="9" s="1"/>
  <c r="C215" i="9"/>
  <c r="B215" i="9"/>
  <c r="O214" i="9"/>
  <c r="J214" i="9"/>
  <c r="I214" i="9"/>
  <c r="N214" i="9" s="1"/>
  <c r="C214" i="9"/>
  <c r="B214" i="9"/>
  <c r="M214" i="9" s="1"/>
  <c r="O213" i="9"/>
  <c r="N213" i="9"/>
  <c r="M213" i="9"/>
  <c r="P213" i="9" s="1"/>
  <c r="J213" i="9"/>
  <c r="I213" i="9"/>
  <c r="C213" i="9"/>
  <c r="B213" i="9"/>
  <c r="O212" i="9"/>
  <c r="N212" i="9"/>
  <c r="M212" i="9"/>
  <c r="P212" i="9" s="1"/>
  <c r="J212" i="9"/>
  <c r="I212" i="9"/>
  <c r="C212" i="9"/>
  <c r="B212" i="9"/>
  <c r="O211" i="9"/>
  <c r="J211" i="9"/>
  <c r="I211" i="9"/>
  <c r="N211" i="9" s="1"/>
  <c r="C211" i="9"/>
  <c r="B211" i="9"/>
  <c r="O210" i="9"/>
  <c r="J210" i="9"/>
  <c r="I210" i="9"/>
  <c r="N210" i="9" s="1"/>
  <c r="C210" i="9"/>
  <c r="B210" i="9"/>
  <c r="M210" i="9" s="1"/>
  <c r="P210" i="9" s="1"/>
  <c r="O209" i="9"/>
  <c r="N209" i="9"/>
  <c r="M209" i="9"/>
  <c r="P209" i="9" s="1"/>
  <c r="J209" i="9"/>
  <c r="I209" i="9"/>
  <c r="C209" i="9"/>
  <c r="B209" i="9"/>
  <c r="O208" i="9"/>
  <c r="N208" i="9"/>
  <c r="M208" i="9"/>
  <c r="P208" i="9" s="1"/>
  <c r="J208" i="9"/>
  <c r="I208" i="9"/>
  <c r="C208" i="9"/>
  <c r="B208" i="9"/>
  <c r="O207" i="9"/>
  <c r="J207" i="9"/>
  <c r="I207" i="9"/>
  <c r="N207" i="9" s="1"/>
  <c r="C207" i="9"/>
  <c r="B207" i="9"/>
  <c r="O206" i="9"/>
  <c r="J206" i="9"/>
  <c r="I206" i="9"/>
  <c r="N206" i="9" s="1"/>
  <c r="C206" i="9"/>
  <c r="B206" i="9"/>
  <c r="M206" i="9" s="1"/>
  <c r="O205" i="9"/>
  <c r="N205" i="9"/>
  <c r="M205" i="9"/>
  <c r="P205" i="9" s="1"/>
  <c r="J205" i="9"/>
  <c r="I205" i="9"/>
  <c r="C205" i="9"/>
  <c r="B205" i="9"/>
  <c r="O204" i="9"/>
  <c r="N204" i="9"/>
  <c r="M204" i="9"/>
  <c r="P204" i="9" s="1"/>
  <c r="J204" i="9"/>
  <c r="I204" i="9"/>
  <c r="C204" i="9"/>
  <c r="B204" i="9"/>
  <c r="L204" i="9" s="1"/>
  <c r="O203" i="9"/>
  <c r="J203" i="9"/>
  <c r="I203" i="9"/>
  <c r="N203" i="9" s="1"/>
  <c r="C203" i="9"/>
  <c r="B203" i="9"/>
  <c r="O202" i="9"/>
  <c r="J202" i="9"/>
  <c r="I202" i="9"/>
  <c r="N202" i="9" s="1"/>
  <c r="C202" i="9"/>
  <c r="B202" i="9"/>
  <c r="M202" i="9" s="1"/>
  <c r="O201" i="9"/>
  <c r="N201" i="9"/>
  <c r="M201" i="9"/>
  <c r="P201" i="9" s="1"/>
  <c r="J201" i="9"/>
  <c r="I201" i="9"/>
  <c r="C201" i="9"/>
  <c r="B201" i="9"/>
  <c r="O200" i="9"/>
  <c r="N200" i="9"/>
  <c r="M200" i="9"/>
  <c r="P200" i="9" s="1"/>
  <c r="J200" i="9"/>
  <c r="I200" i="9"/>
  <c r="C200" i="9"/>
  <c r="B200" i="9"/>
  <c r="O199" i="9"/>
  <c r="J199" i="9"/>
  <c r="I199" i="9"/>
  <c r="N199" i="9" s="1"/>
  <c r="C199" i="9"/>
  <c r="B199" i="9"/>
  <c r="O198" i="9"/>
  <c r="J198" i="9"/>
  <c r="I198" i="9"/>
  <c r="N198" i="9" s="1"/>
  <c r="C198" i="9"/>
  <c r="B198" i="9"/>
  <c r="M198" i="9" s="1"/>
  <c r="P198" i="9" s="1"/>
  <c r="O197" i="9"/>
  <c r="N197" i="9"/>
  <c r="M197" i="9"/>
  <c r="P197" i="9" s="1"/>
  <c r="J197" i="9"/>
  <c r="I197" i="9"/>
  <c r="C197" i="9"/>
  <c r="B197" i="9"/>
  <c r="O196" i="9"/>
  <c r="N196" i="9"/>
  <c r="M196" i="9"/>
  <c r="P196" i="9" s="1"/>
  <c r="J196" i="9"/>
  <c r="I196" i="9"/>
  <c r="C196" i="9"/>
  <c r="B196" i="9"/>
  <c r="O195" i="9"/>
  <c r="J195" i="9"/>
  <c r="I195" i="9"/>
  <c r="N195" i="9" s="1"/>
  <c r="C195" i="9"/>
  <c r="B195" i="9"/>
  <c r="O194" i="9"/>
  <c r="J194" i="9"/>
  <c r="I194" i="9"/>
  <c r="N194" i="9" s="1"/>
  <c r="C194" i="9"/>
  <c r="B194" i="9"/>
  <c r="M194" i="9" s="1"/>
  <c r="O193" i="9"/>
  <c r="N193" i="9"/>
  <c r="M193" i="9"/>
  <c r="P193" i="9" s="1"/>
  <c r="K193" i="9"/>
  <c r="J193" i="9"/>
  <c r="I193" i="9"/>
  <c r="C193" i="9"/>
  <c r="B193" i="9"/>
  <c r="O192" i="9"/>
  <c r="N192" i="9"/>
  <c r="M192" i="9"/>
  <c r="P192" i="9" s="1"/>
  <c r="J192" i="9"/>
  <c r="I192" i="9"/>
  <c r="C192" i="9"/>
  <c r="B192" i="9"/>
  <c r="O191" i="9"/>
  <c r="J191" i="9"/>
  <c r="I191" i="9"/>
  <c r="N191" i="9" s="1"/>
  <c r="C191" i="9"/>
  <c r="B191" i="9"/>
  <c r="O190" i="9"/>
  <c r="J190" i="9"/>
  <c r="I190" i="9"/>
  <c r="N190" i="9" s="1"/>
  <c r="C190" i="9"/>
  <c r="B190" i="9"/>
  <c r="M190" i="9" s="1"/>
  <c r="O189" i="9"/>
  <c r="N189" i="9"/>
  <c r="M189" i="9"/>
  <c r="P189" i="9" s="1"/>
  <c r="J189" i="9"/>
  <c r="I189" i="9"/>
  <c r="C189" i="9"/>
  <c r="B189" i="9"/>
  <c r="O188" i="9"/>
  <c r="N188" i="9"/>
  <c r="M188" i="9"/>
  <c r="P188" i="9" s="1"/>
  <c r="J188" i="9"/>
  <c r="I188" i="9"/>
  <c r="C188" i="9"/>
  <c r="B188" i="9"/>
  <c r="O187" i="9"/>
  <c r="J187" i="9"/>
  <c r="I187" i="9"/>
  <c r="N187" i="9" s="1"/>
  <c r="C187" i="9"/>
  <c r="B187" i="9"/>
  <c r="O186" i="9"/>
  <c r="J186" i="9"/>
  <c r="I186" i="9"/>
  <c r="N186" i="9" s="1"/>
  <c r="C186" i="9"/>
  <c r="B186" i="9"/>
  <c r="M186" i="9" s="1"/>
  <c r="P186" i="9" s="1"/>
  <c r="O185" i="9"/>
  <c r="N185" i="9"/>
  <c r="M185" i="9"/>
  <c r="P185" i="9" s="1"/>
  <c r="J185" i="9"/>
  <c r="I185" i="9"/>
  <c r="C185" i="9"/>
  <c r="B185" i="9"/>
  <c r="O184" i="9"/>
  <c r="N184" i="9"/>
  <c r="M184" i="9"/>
  <c r="P184" i="9" s="1"/>
  <c r="J184" i="9"/>
  <c r="I184" i="9"/>
  <c r="C184" i="9"/>
  <c r="B184" i="9"/>
  <c r="O183" i="9"/>
  <c r="J183" i="9"/>
  <c r="I183" i="9"/>
  <c r="N183" i="9" s="1"/>
  <c r="C183" i="9"/>
  <c r="B183" i="9"/>
  <c r="O182" i="9"/>
  <c r="J182" i="9"/>
  <c r="I182" i="9"/>
  <c r="N182" i="9" s="1"/>
  <c r="C182" i="9"/>
  <c r="B182" i="9"/>
  <c r="M182" i="9" s="1"/>
  <c r="O181" i="9"/>
  <c r="N181" i="9"/>
  <c r="M181" i="9"/>
  <c r="P181" i="9" s="1"/>
  <c r="J181" i="9"/>
  <c r="I181" i="9"/>
  <c r="C181" i="9"/>
  <c r="B181" i="9"/>
  <c r="O180" i="9"/>
  <c r="N180" i="9"/>
  <c r="M180" i="9"/>
  <c r="P180" i="9" s="1"/>
  <c r="J180" i="9"/>
  <c r="I180" i="9"/>
  <c r="C180" i="9"/>
  <c r="B180" i="9"/>
  <c r="O179" i="9"/>
  <c r="J179" i="9"/>
  <c r="I179" i="9"/>
  <c r="N179" i="9" s="1"/>
  <c r="C179" i="9"/>
  <c r="B179" i="9"/>
  <c r="O178" i="9"/>
  <c r="J178" i="9"/>
  <c r="I178" i="9"/>
  <c r="N178" i="9" s="1"/>
  <c r="C178" i="9"/>
  <c r="B178" i="9"/>
  <c r="M178" i="9" s="1"/>
  <c r="P178" i="9" s="1"/>
  <c r="O177" i="9"/>
  <c r="N177" i="9"/>
  <c r="M177" i="9"/>
  <c r="P177" i="9" s="1"/>
  <c r="J177" i="9"/>
  <c r="I177" i="9"/>
  <c r="C177" i="9"/>
  <c r="B177" i="9"/>
  <c r="O176" i="9"/>
  <c r="N176" i="9"/>
  <c r="M176" i="9"/>
  <c r="P176" i="9" s="1"/>
  <c r="J176" i="9"/>
  <c r="I176" i="9"/>
  <c r="C176" i="9"/>
  <c r="B176" i="9"/>
  <c r="O175" i="9"/>
  <c r="J175" i="9"/>
  <c r="I175" i="9"/>
  <c r="N175" i="9" s="1"/>
  <c r="C175" i="9"/>
  <c r="B175" i="9"/>
  <c r="O174" i="9"/>
  <c r="J174" i="9"/>
  <c r="I174" i="9"/>
  <c r="N174" i="9" s="1"/>
  <c r="C174" i="9"/>
  <c r="B174" i="9"/>
  <c r="M174" i="9" s="1"/>
  <c r="O173" i="9"/>
  <c r="N173" i="9"/>
  <c r="M173" i="9"/>
  <c r="P173" i="9" s="1"/>
  <c r="J173" i="9"/>
  <c r="I173" i="9"/>
  <c r="C173" i="9"/>
  <c r="B173" i="9"/>
  <c r="O172" i="9"/>
  <c r="N172" i="9"/>
  <c r="M172" i="9"/>
  <c r="P172" i="9" s="1"/>
  <c r="J172" i="9"/>
  <c r="I172" i="9"/>
  <c r="C172" i="9"/>
  <c r="B172" i="9"/>
  <c r="L172" i="9" s="1"/>
  <c r="O171" i="9"/>
  <c r="J171" i="9"/>
  <c r="I171" i="9"/>
  <c r="N171" i="9" s="1"/>
  <c r="C171" i="9"/>
  <c r="B171" i="9"/>
  <c r="O170" i="9"/>
  <c r="J170" i="9"/>
  <c r="I170" i="9"/>
  <c r="N170" i="9" s="1"/>
  <c r="C170" i="9"/>
  <c r="B170" i="9"/>
  <c r="M170" i="9" s="1"/>
  <c r="O169" i="9"/>
  <c r="N169" i="9"/>
  <c r="M169" i="9"/>
  <c r="P169" i="9" s="1"/>
  <c r="J169" i="9"/>
  <c r="I169" i="9"/>
  <c r="C169" i="9"/>
  <c r="B169" i="9"/>
  <c r="O168" i="9"/>
  <c r="N168" i="9"/>
  <c r="M168" i="9"/>
  <c r="P168" i="9" s="1"/>
  <c r="J168" i="9"/>
  <c r="I168" i="9"/>
  <c r="C168" i="9"/>
  <c r="B168" i="9"/>
  <c r="O167" i="9"/>
  <c r="J167" i="9"/>
  <c r="I167" i="9"/>
  <c r="N167" i="9" s="1"/>
  <c r="C167" i="9"/>
  <c r="B167" i="9"/>
  <c r="O166" i="9"/>
  <c r="J166" i="9"/>
  <c r="I166" i="9"/>
  <c r="N166" i="9" s="1"/>
  <c r="C166" i="9"/>
  <c r="B166" i="9"/>
  <c r="M166" i="9" s="1"/>
  <c r="P166" i="9" s="1"/>
  <c r="O165" i="9"/>
  <c r="N165" i="9"/>
  <c r="M165" i="9"/>
  <c r="P165" i="9" s="1"/>
  <c r="J165" i="9"/>
  <c r="I165" i="9"/>
  <c r="C165" i="9"/>
  <c r="B165" i="9"/>
  <c r="O164" i="9"/>
  <c r="N164" i="9"/>
  <c r="M164" i="9"/>
  <c r="P164" i="9" s="1"/>
  <c r="J164" i="9"/>
  <c r="I164" i="9"/>
  <c r="C164" i="9"/>
  <c r="B164" i="9"/>
  <c r="O163" i="9"/>
  <c r="J163" i="9"/>
  <c r="I163" i="9"/>
  <c r="N163" i="9" s="1"/>
  <c r="C163" i="9"/>
  <c r="B163" i="9"/>
  <c r="O162" i="9"/>
  <c r="J162" i="9"/>
  <c r="I162" i="9"/>
  <c r="N162" i="9" s="1"/>
  <c r="C162" i="9"/>
  <c r="B162" i="9"/>
  <c r="M162" i="9" s="1"/>
  <c r="O161" i="9"/>
  <c r="N161" i="9"/>
  <c r="M161" i="9"/>
  <c r="P161" i="9" s="1"/>
  <c r="K161" i="9"/>
  <c r="J161" i="9"/>
  <c r="I161" i="9"/>
  <c r="C161" i="9"/>
  <c r="B161" i="9"/>
  <c r="O160" i="9"/>
  <c r="N160" i="9"/>
  <c r="M160" i="9"/>
  <c r="P160" i="9" s="1"/>
  <c r="J160" i="9"/>
  <c r="I160" i="9"/>
  <c r="C160" i="9"/>
  <c r="B160" i="9"/>
  <c r="O159" i="9"/>
  <c r="J159" i="9"/>
  <c r="I159" i="9"/>
  <c r="N159" i="9" s="1"/>
  <c r="C159" i="9"/>
  <c r="B159" i="9"/>
  <c r="O158" i="9"/>
  <c r="J158" i="9"/>
  <c r="I158" i="9"/>
  <c r="N158" i="9" s="1"/>
  <c r="C158" i="9"/>
  <c r="B158" i="9"/>
  <c r="M158" i="9" s="1"/>
  <c r="O157" i="9"/>
  <c r="N157" i="9"/>
  <c r="M157" i="9"/>
  <c r="P157" i="9" s="1"/>
  <c r="J157" i="9"/>
  <c r="I157" i="9"/>
  <c r="C157" i="9"/>
  <c r="B157" i="9"/>
  <c r="O156" i="9"/>
  <c r="N156" i="9"/>
  <c r="M156" i="9"/>
  <c r="P156" i="9" s="1"/>
  <c r="J156" i="9"/>
  <c r="I156" i="9"/>
  <c r="C156" i="9"/>
  <c r="B156" i="9"/>
  <c r="O155" i="9"/>
  <c r="J155" i="9"/>
  <c r="I155" i="9"/>
  <c r="N155" i="9" s="1"/>
  <c r="C155" i="9"/>
  <c r="B155" i="9"/>
  <c r="O154" i="9"/>
  <c r="J154" i="9"/>
  <c r="I154" i="9"/>
  <c r="N154" i="9" s="1"/>
  <c r="C154" i="9"/>
  <c r="B154" i="9"/>
  <c r="M154" i="9" s="1"/>
  <c r="P154" i="9" s="1"/>
  <c r="O153" i="9"/>
  <c r="N153" i="9"/>
  <c r="M153" i="9"/>
  <c r="P153" i="9" s="1"/>
  <c r="J153" i="9"/>
  <c r="I153" i="9"/>
  <c r="C153" i="9"/>
  <c r="B153" i="9"/>
  <c r="O152" i="9"/>
  <c r="N152" i="9"/>
  <c r="J152" i="9"/>
  <c r="I152" i="9"/>
  <c r="C152" i="9"/>
  <c r="B152" i="9"/>
  <c r="O151" i="9"/>
  <c r="J151" i="9"/>
  <c r="I151" i="9"/>
  <c r="N151" i="9" s="1"/>
  <c r="C151" i="9"/>
  <c r="B151" i="9"/>
  <c r="O150" i="9"/>
  <c r="J150" i="9"/>
  <c r="I150" i="9"/>
  <c r="N150" i="9" s="1"/>
  <c r="C150" i="9"/>
  <c r="B150" i="9"/>
  <c r="M150" i="9" s="1"/>
  <c r="O149" i="9"/>
  <c r="N149" i="9"/>
  <c r="M149" i="9"/>
  <c r="P149" i="9" s="1"/>
  <c r="J149" i="9"/>
  <c r="I149" i="9"/>
  <c r="C149" i="9"/>
  <c r="B149" i="9"/>
  <c r="O148" i="9"/>
  <c r="N148" i="9"/>
  <c r="J148" i="9"/>
  <c r="I148" i="9"/>
  <c r="C148" i="9"/>
  <c r="B148" i="9"/>
  <c r="O147" i="9"/>
  <c r="J147" i="9"/>
  <c r="I147" i="9"/>
  <c r="N147" i="9" s="1"/>
  <c r="C147" i="9"/>
  <c r="B147" i="9"/>
  <c r="O146" i="9"/>
  <c r="J146" i="9"/>
  <c r="I146" i="9"/>
  <c r="N146" i="9" s="1"/>
  <c r="C146" i="9"/>
  <c r="B146" i="9"/>
  <c r="M146" i="9" s="1"/>
  <c r="P146" i="9" s="1"/>
  <c r="O145" i="9"/>
  <c r="N145" i="9"/>
  <c r="M145" i="9"/>
  <c r="P145" i="9" s="1"/>
  <c r="J145" i="9"/>
  <c r="I145" i="9"/>
  <c r="C145" i="9"/>
  <c r="B145" i="9"/>
  <c r="O144" i="9"/>
  <c r="N144" i="9"/>
  <c r="M144" i="9"/>
  <c r="P144" i="9" s="1"/>
  <c r="J144" i="9"/>
  <c r="I144" i="9"/>
  <c r="C144" i="9"/>
  <c r="B144" i="9"/>
  <c r="O143" i="9"/>
  <c r="J143" i="9"/>
  <c r="I143" i="9"/>
  <c r="N143" i="9" s="1"/>
  <c r="C143" i="9"/>
  <c r="B143" i="9"/>
  <c r="O142" i="9"/>
  <c r="J142" i="9"/>
  <c r="I142" i="9"/>
  <c r="N142" i="9" s="1"/>
  <c r="C142" i="9"/>
  <c r="B142" i="9"/>
  <c r="M142" i="9" s="1"/>
  <c r="O141" i="9"/>
  <c r="N141" i="9"/>
  <c r="M141" i="9"/>
  <c r="P141" i="9" s="1"/>
  <c r="J141" i="9"/>
  <c r="I141" i="9"/>
  <c r="C141" i="9"/>
  <c r="B141" i="9"/>
  <c r="O140" i="9"/>
  <c r="N140" i="9"/>
  <c r="M140" i="9"/>
  <c r="P140" i="9" s="1"/>
  <c r="J140" i="9"/>
  <c r="I140" i="9"/>
  <c r="C140" i="9"/>
  <c r="B140" i="9"/>
  <c r="O139" i="9"/>
  <c r="J139" i="9"/>
  <c r="I139" i="9"/>
  <c r="N139" i="9" s="1"/>
  <c r="C139" i="9"/>
  <c r="B139" i="9"/>
  <c r="O138" i="9"/>
  <c r="J138" i="9"/>
  <c r="I138" i="9"/>
  <c r="N138" i="9" s="1"/>
  <c r="C138" i="9"/>
  <c r="B138" i="9"/>
  <c r="M138" i="9" s="1"/>
  <c r="P138" i="9" s="1"/>
  <c r="O137" i="9"/>
  <c r="N137" i="9"/>
  <c r="M137" i="9"/>
  <c r="P137" i="9" s="1"/>
  <c r="J137" i="9"/>
  <c r="I137" i="9"/>
  <c r="C137" i="9"/>
  <c r="B137" i="9"/>
  <c r="O136" i="9"/>
  <c r="N136" i="9"/>
  <c r="J136" i="9"/>
  <c r="I136" i="9"/>
  <c r="C136" i="9"/>
  <c r="B136" i="9"/>
  <c r="O135" i="9"/>
  <c r="J135" i="9"/>
  <c r="I135" i="9"/>
  <c r="N135" i="9" s="1"/>
  <c r="C135" i="9"/>
  <c r="B135" i="9"/>
  <c r="O134" i="9"/>
  <c r="J134" i="9"/>
  <c r="I134" i="9"/>
  <c r="N134" i="9" s="1"/>
  <c r="C134" i="9"/>
  <c r="B134" i="9"/>
  <c r="M134" i="9" s="1"/>
  <c r="O133" i="9"/>
  <c r="N133" i="9"/>
  <c r="M133" i="9"/>
  <c r="P133" i="9" s="1"/>
  <c r="J133" i="9"/>
  <c r="I133" i="9"/>
  <c r="C133" i="9"/>
  <c r="B133" i="9"/>
  <c r="O132" i="9"/>
  <c r="N132" i="9"/>
  <c r="M132" i="9"/>
  <c r="P132" i="9" s="1"/>
  <c r="J132" i="9"/>
  <c r="I132" i="9"/>
  <c r="C132" i="9"/>
  <c r="B132" i="9"/>
  <c r="O131" i="9"/>
  <c r="J131" i="9"/>
  <c r="I131" i="9"/>
  <c r="N131" i="9" s="1"/>
  <c r="C131" i="9"/>
  <c r="B131" i="9"/>
  <c r="O130" i="9"/>
  <c r="J130" i="9"/>
  <c r="I130" i="9"/>
  <c r="N130" i="9" s="1"/>
  <c r="C130" i="9"/>
  <c r="B130" i="9"/>
  <c r="M130" i="9" s="1"/>
  <c r="P130" i="9" s="1"/>
  <c r="O129" i="9"/>
  <c r="N129" i="9"/>
  <c r="M129" i="9"/>
  <c r="J129" i="9"/>
  <c r="I129" i="9"/>
  <c r="C129" i="9"/>
  <c r="B129" i="9"/>
  <c r="O128" i="9"/>
  <c r="N128" i="9"/>
  <c r="J128" i="9"/>
  <c r="I128" i="9"/>
  <c r="C128" i="9"/>
  <c r="B128" i="9"/>
  <c r="O127" i="9"/>
  <c r="J127" i="9"/>
  <c r="I127" i="9"/>
  <c r="N127" i="9" s="1"/>
  <c r="C127" i="9"/>
  <c r="B127" i="9"/>
  <c r="O126" i="9"/>
  <c r="J126" i="9"/>
  <c r="I126" i="9"/>
  <c r="N126" i="9" s="1"/>
  <c r="C126" i="9"/>
  <c r="B126" i="9"/>
  <c r="M126" i="9" s="1"/>
  <c r="O125" i="9"/>
  <c r="N125" i="9"/>
  <c r="M125" i="9"/>
  <c r="P125" i="9" s="1"/>
  <c r="J125" i="9"/>
  <c r="I125" i="9"/>
  <c r="C125" i="9"/>
  <c r="B125" i="9"/>
  <c r="O124" i="9"/>
  <c r="N124" i="9"/>
  <c r="M124" i="9"/>
  <c r="P124" i="9" s="1"/>
  <c r="J124" i="9"/>
  <c r="I124" i="9"/>
  <c r="C124" i="9"/>
  <c r="B124" i="9"/>
  <c r="O123" i="9"/>
  <c r="J123" i="9"/>
  <c r="I123" i="9"/>
  <c r="N123" i="9" s="1"/>
  <c r="C123" i="9"/>
  <c r="B123" i="9"/>
  <c r="O122" i="9"/>
  <c r="J122" i="9"/>
  <c r="I122" i="9"/>
  <c r="N122" i="9" s="1"/>
  <c r="C122" i="9"/>
  <c r="B122" i="9"/>
  <c r="M122" i="9" s="1"/>
  <c r="P122" i="9" s="1"/>
  <c r="O121" i="9"/>
  <c r="N121" i="9"/>
  <c r="M121" i="9"/>
  <c r="J121" i="9"/>
  <c r="I121" i="9"/>
  <c r="C121" i="9"/>
  <c r="B121" i="9"/>
  <c r="P120" i="9"/>
  <c r="O120" i="9"/>
  <c r="N120" i="9"/>
  <c r="M120" i="9"/>
  <c r="J120" i="9"/>
  <c r="I120" i="9"/>
  <c r="C120" i="9"/>
  <c r="B120" i="9"/>
  <c r="O119" i="9"/>
  <c r="J119" i="9"/>
  <c r="I119" i="9"/>
  <c r="N119" i="9" s="1"/>
  <c r="C119" i="9"/>
  <c r="B119" i="9"/>
  <c r="O118" i="9"/>
  <c r="K118" i="9"/>
  <c r="J118" i="9"/>
  <c r="I118" i="9"/>
  <c r="N118" i="9" s="1"/>
  <c r="C118" i="9"/>
  <c r="B118" i="9"/>
  <c r="M118" i="9" s="1"/>
  <c r="O117" i="9"/>
  <c r="N117" i="9"/>
  <c r="M117" i="9"/>
  <c r="L117" i="9"/>
  <c r="J117" i="9"/>
  <c r="I117" i="9"/>
  <c r="C117" i="9"/>
  <c r="B117" i="9"/>
  <c r="O116" i="9"/>
  <c r="N116" i="9"/>
  <c r="P116" i="9" s="1"/>
  <c r="M116" i="9"/>
  <c r="J116" i="9"/>
  <c r="I116" i="9"/>
  <c r="C116" i="9"/>
  <c r="B116" i="9"/>
  <c r="O115" i="9"/>
  <c r="J115" i="9"/>
  <c r="I115" i="9"/>
  <c r="N115" i="9" s="1"/>
  <c r="C115" i="9"/>
  <c r="B115" i="9"/>
  <c r="O114" i="9"/>
  <c r="J114" i="9"/>
  <c r="I114" i="9"/>
  <c r="N114" i="9" s="1"/>
  <c r="C114" i="9"/>
  <c r="B114" i="9"/>
  <c r="M114" i="9" s="1"/>
  <c r="O113" i="9"/>
  <c r="N113" i="9"/>
  <c r="M113" i="9"/>
  <c r="P113" i="9" s="1"/>
  <c r="J113" i="9"/>
  <c r="I113" i="9"/>
  <c r="C113" i="9"/>
  <c r="B113" i="9"/>
  <c r="O112" i="9"/>
  <c r="N112" i="9"/>
  <c r="M112" i="9"/>
  <c r="P112" i="9" s="1"/>
  <c r="J112" i="9"/>
  <c r="I112" i="9"/>
  <c r="C112" i="9"/>
  <c r="B112" i="9"/>
  <c r="O111" i="9"/>
  <c r="J111" i="9"/>
  <c r="I111" i="9"/>
  <c r="N111" i="9" s="1"/>
  <c r="C111" i="9"/>
  <c r="B111" i="9"/>
  <c r="O110" i="9"/>
  <c r="J110" i="9"/>
  <c r="I110" i="9"/>
  <c r="N110" i="9" s="1"/>
  <c r="C110" i="9"/>
  <c r="B110" i="9"/>
  <c r="M110" i="9" s="1"/>
  <c r="P110" i="9" s="1"/>
  <c r="O109" i="9"/>
  <c r="N109" i="9"/>
  <c r="M109" i="9"/>
  <c r="P109" i="9" s="1"/>
  <c r="J109" i="9"/>
  <c r="I109" i="9"/>
  <c r="C109" i="9"/>
  <c r="B109" i="9"/>
  <c r="O108" i="9"/>
  <c r="N108" i="9"/>
  <c r="M108" i="9"/>
  <c r="P108" i="9" s="1"/>
  <c r="J108" i="9"/>
  <c r="I108" i="9"/>
  <c r="C108" i="9"/>
  <c r="B108" i="9"/>
  <c r="O107" i="9"/>
  <c r="J107" i="9"/>
  <c r="I107" i="9"/>
  <c r="N107" i="9" s="1"/>
  <c r="C107" i="9"/>
  <c r="B107" i="9"/>
  <c r="O106" i="9"/>
  <c r="J106" i="9"/>
  <c r="I106" i="9"/>
  <c r="N106" i="9" s="1"/>
  <c r="C106" i="9"/>
  <c r="B106" i="9"/>
  <c r="M106" i="9" s="1"/>
  <c r="P106" i="9" s="1"/>
  <c r="O105" i="9"/>
  <c r="N105" i="9"/>
  <c r="M105" i="9"/>
  <c r="J105" i="9"/>
  <c r="I105" i="9"/>
  <c r="C105" i="9"/>
  <c r="B105" i="9"/>
  <c r="P104" i="9"/>
  <c r="O104" i="9"/>
  <c r="N104" i="9"/>
  <c r="M104" i="9"/>
  <c r="J104" i="9"/>
  <c r="I104" i="9"/>
  <c r="C104" i="9"/>
  <c r="B104" i="9"/>
  <c r="O103" i="9"/>
  <c r="J103" i="9"/>
  <c r="I103" i="9"/>
  <c r="N103" i="9" s="1"/>
  <c r="C103" i="9"/>
  <c r="B103" i="9"/>
  <c r="O102" i="9"/>
  <c r="K102" i="9"/>
  <c r="J102" i="9"/>
  <c r="I102" i="9"/>
  <c r="N102" i="9" s="1"/>
  <c r="C102" i="9"/>
  <c r="B102" i="9"/>
  <c r="M102" i="9" s="1"/>
  <c r="O101" i="9"/>
  <c r="N101" i="9"/>
  <c r="M101" i="9"/>
  <c r="L101" i="9"/>
  <c r="J101" i="9"/>
  <c r="I101" i="9"/>
  <c r="C101" i="9"/>
  <c r="B101" i="9"/>
  <c r="O100" i="9"/>
  <c r="N100" i="9"/>
  <c r="J100" i="9"/>
  <c r="I100" i="9"/>
  <c r="C100" i="9"/>
  <c r="B100" i="9"/>
  <c r="O99" i="9"/>
  <c r="J99" i="9"/>
  <c r="I99" i="9"/>
  <c r="N99" i="9" s="1"/>
  <c r="C99" i="9"/>
  <c r="B99" i="9"/>
  <c r="O98" i="9"/>
  <c r="J98" i="9"/>
  <c r="I98" i="9"/>
  <c r="N98" i="9" s="1"/>
  <c r="C98" i="9"/>
  <c r="B98" i="9"/>
  <c r="M98" i="9" s="1"/>
  <c r="O97" i="9"/>
  <c r="N97" i="9"/>
  <c r="M97" i="9"/>
  <c r="P97" i="9" s="1"/>
  <c r="J97" i="9"/>
  <c r="I97" i="9"/>
  <c r="C97" i="9"/>
  <c r="B97" i="9"/>
  <c r="O96" i="9"/>
  <c r="N96" i="9"/>
  <c r="M96" i="9"/>
  <c r="P96" i="9" s="1"/>
  <c r="J96" i="9"/>
  <c r="I96" i="9"/>
  <c r="C96" i="9"/>
  <c r="B96" i="9"/>
  <c r="O95" i="9"/>
  <c r="J95" i="9"/>
  <c r="I95" i="9"/>
  <c r="N95" i="9" s="1"/>
  <c r="C95" i="9"/>
  <c r="B95" i="9"/>
  <c r="O94" i="9"/>
  <c r="J94" i="9"/>
  <c r="I94" i="9"/>
  <c r="N94" i="9" s="1"/>
  <c r="C94" i="9"/>
  <c r="B94" i="9"/>
  <c r="M94" i="9" s="1"/>
  <c r="P94" i="9" s="1"/>
  <c r="O93" i="9"/>
  <c r="M93" i="9"/>
  <c r="J93" i="9"/>
  <c r="I93" i="9"/>
  <c r="N93" i="9" s="1"/>
  <c r="C93" i="9"/>
  <c r="B93" i="9"/>
  <c r="L93" i="9" s="1"/>
  <c r="O92" i="9"/>
  <c r="M92" i="9"/>
  <c r="J92" i="9"/>
  <c r="I92" i="9"/>
  <c r="N92" i="9" s="1"/>
  <c r="C92" i="9"/>
  <c r="B92" i="9"/>
  <c r="O91" i="9"/>
  <c r="M91" i="9"/>
  <c r="P91" i="9" s="1"/>
  <c r="J91" i="9"/>
  <c r="I91" i="9"/>
  <c r="N91" i="9" s="1"/>
  <c r="C91" i="9"/>
  <c r="B91" i="9"/>
  <c r="O90" i="9"/>
  <c r="J90" i="9"/>
  <c r="I90" i="9"/>
  <c r="N90" i="9" s="1"/>
  <c r="C90" i="9"/>
  <c r="B90" i="9"/>
  <c r="M90" i="9" s="1"/>
  <c r="P90" i="9" s="1"/>
  <c r="O89" i="9"/>
  <c r="M89" i="9"/>
  <c r="J89" i="9"/>
  <c r="I89" i="9"/>
  <c r="N89" i="9" s="1"/>
  <c r="C89" i="9"/>
  <c r="B89" i="9"/>
  <c r="O88" i="9"/>
  <c r="N88" i="9"/>
  <c r="M88" i="9"/>
  <c r="P88" i="9" s="1"/>
  <c r="K88" i="9"/>
  <c r="J88" i="9"/>
  <c r="I88" i="9"/>
  <c r="C88" i="9"/>
  <c r="B88" i="9"/>
  <c r="O87" i="9"/>
  <c r="N87" i="9"/>
  <c r="M87" i="9"/>
  <c r="P87" i="9" s="1"/>
  <c r="J87" i="9"/>
  <c r="I87" i="9"/>
  <c r="C87" i="9"/>
  <c r="B87" i="9"/>
  <c r="O86" i="9"/>
  <c r="M86" i="9"/>
  <c r="P86" i="9" s="1"/>
  <c r="J86" i="9"/>
  <c r="I86" i="9"/>
  <c r="N86" i="9" s="1"/>
  <c r="C86" i="9"/>
  <c r="B86" i="9"/>
  <c r="L86" i="9" s="1"/>
  <c r="O85" i="9"/>
  <c r="N85" i="9"/>
  <c r="J85" i="9"/>
  <c r="I85" i="9"/>
  <c r="C85" i="9"/>
  <c r="B85" i="9"/>
  <c r="M85" i="9" s="1"/>
  <c r="P85" i="9" s="1"/>
  <c r="O84" i="9"/>
  <c r="M84" i="9"/>
  <c r="J84" i="9"/>
  <c r="I84" i="9"/>
  <c r="N84" i="9" s="1"/>
  <c r="P84" i="9" s="1"/>
  <c r="C84" i="9"/>
  <c r="B84" i="9"/>
  <c r="L84" i="9" s="1"/>
  <c r="O83" i="9"/>
  <c r="M83" i="9"/>
  <c r="J83" i="9"/>
  <c r="I83" i="9"/>
  <c r="N83" i="9" s="1"/>
  <c r="C83" i="9"/>
  <c r="B83" i="9"/>
  <c r="O82" i="9"/>
  <c r="M82" i="9"/>
  <c r="P82" i="9" s="1"/>
  <c r="J82" i="9"/>
  <c r="I82" i="9"/>
  <c r="N82" i="9" s="1"/>
  <c r="C82" i="9"/>
  <c r="B82" i="9"/>
  <c r="O81" i="9"/>
  <c r="N81" i="9"/>
  <c r="L81" i="9"/>
  <c r="J81" i="9"/>
  <c r="I81" i="9"/>
  <c r="C81" i="9"/>
  <c r="B81" i="9"/>
  <c r="K81" i="9" s="1"/>
  <c r="O80" i="9"/>
  <c r="N80" i="9"/>
  <c r="J80" i="9"/>
  <c r="I80" i="9"/>
  <c r="C80" i="9"/>
  <c r="B80" i="9"/>
  <c r="M80" i="9" s="1"/>
  <c r="P80" i="9" s="1"/>
  <c r="O79" i="9"/>
  <c r="M79" i="9"/>
  <c r="J79" i="9"/>
  <c r="I79" i="9"/>
  <c r="N79" i="9" s="1"/>
  <c r="P79" i="9" s="1"/>
  <c r="C79" i="9"/>
  <c r="B79" i="9"/>
  <c r="L79" i="9" s="1"/>
  <c r="O78" i="9"/>
  <c r="M78" i="9"/>
  <c r="P78" i="9" s="1"/>
  <c r="J78" i="9"/>
  <c r="I78" i="9"/>
  <c r="N78" i="9" s="1"/>
  <c r="C78" i="9"/>
  <c r="B78" i="9"/>
  <c r="O77" i="9"/>
  <c r="N77" i="9"/>
  <c r="L77" i="9"/>
  <c r="J77" i="9"/>
  <c r="I77" i="9"/>
  <c r="C77" i="9"/>
  <c r="B77" i="9"/>
  <c r="K77" i="9" s="1"/>
  <c r="O76" i="9"/>
  <c r="N76" i="9"/>
  <c r="J76" i="9"/>
  <c r="I76" i="9"/>
  <c r="C76" i="9"/>
  <c r="B76" i="9"/>
  <c r="M76" i="9" s="1"/>
  <c r="P76" i="9" s="1"/>
  <c r="O75" i="9"/>
  <c r="M75" i="9"/>
  <c r="J75" i="9"/>
  <c r="I75" i="9"/>
  <c r="N75" i="9" s="1"/>
  <c r="P75" i="9" s="1"/>
  <c r="C75" i="9"/>
  <c r="B75" i="9"/>
  <c r="L75" i="9" s="1"/>
  <c r="O74" i="9"/>
  <c r="M74" i="9"/>
  <c r="J74" i="9"/>
  <c r="I74" i="9"/>
  <c r="N74" i="9" s="1"/>
  <c r="C74" i="9"/>
  <c r="B74" i="9"/>
  <c r="O73" i="9"/>
  <c r="N73" i="9"/>
  <c r="L73" i="9"/>
  <c r="J73" i="9"/>
  <c r="I73" i="9"/>
  <c r="C73" i="9"/>
  <c r="B73" i="9"/>
  <c r="K73" i="9" s="1"/>
  <c r="O72" i="9"/>
  <c r="N72" i="9"/>
  <c r="J72" i="9"/>
  <c r="I72" i="9"/>
  <c r="C72" i="9"/>
  <c r="B72" i="9"/>
  <c r="M72" i="9" s="1"/>
  <c r="P72" i="9" s="1"/>
  <c r="O71" i="9"/>
  <c r="M71" i="9"/>
  <c r="J71" i="9"/>
  <c r="I71" i="9"/>
  <c r="N71" i="9" s="1"/>
  <c r="P71" i="9" s="1"/>
  <c r="C71" i="9"/>
  <c r="B71" i="9"/>
  <c r="L71" i="9" s="1"/>
  <c r="O70" i="9"/>
  <c r="M70" i="9"/>
  <c r="P70" i="9" s="1"/>
  <c r="J70" i="9"/>
  <c r="I70" i="9"/>
  <c r="N70" i="9" s="1"/>
  <c r="C70" i="9"/>
  <c r="B70" i="9"/>
  <c r="O69" i="9"/>
  <c r="N69" i="9"/>
  <c r="L69" i="9"/>
  <c r="J69" i="9"/>
  <c r="I69" i="9"/>
  <c r="C69" i="9"/>
  <c r="B69" i="9"/>
  <c r="K69" i="9" s="1"/>
  <c r="O68" i="9"/>
  <c r="N68" i="9"/>
  <c r="J68" i="9"/>
  <c r="I68" i="9"/>
  <c r="C68" i="9"/>
  <c r="B68" i="9"/>
  <c r="M68" i="9" s="1"/>
  <c r="P68" i="9" s="1"/>
  <c r="O67" i="9"/>
  <c r="M67" i="9"/>
  <c r="J67" i="9"/>
  <c r="I67" i="9"/>
  <c r="N67" i="9" s="1"/>
  <c r="P67" i="9" s="1"/>
  <c r="C67" i="9"/>
  <c r="B67" i="9"/>
  <c r="L67" i="9" s="1"/>
  <c r="O66" i="9"/>
  <c r="M66" i="9"/>
  <c r="P66" i="9" s="1"/>
  <c r="J66" i="9"/>
  <c r="I66" i="9"/>
  <c r="N66" i="9" s="1"/>
  <c r="C66" i="9"/>
  <c r="B66" i="9"/>
  <c r="O65" i="9"/>
  <c r="N65" i="9"/>
  <c r="L65" i="9"/>
  <c r="J65" i="9"/>
  <c r="I65" i="9"/>
  <c r="C65" i="9"/>
  <c r="B65" i="9"/>
  <c r="K65" i="9" s="1"/>
  <c r="O64" i="9"/>
  <c r="N64" i="9"/>
  <c r="J64" i="9"/>
  <c r="I64" i="9"/>
  <c r="C64" i="9"/>
  <c r="B64" i="9"/>
  <c r="M64" i="9" s="1"/>
  <c r="P64" i="9" s="1"/>
  <c r="O63" i="9"/>
  <c r="M63" i="9"/>
  <c r="J63" i="9"/>
  <c r="I63" i="9"/>
  <c r="N63" i="9" s="1"/>
  <c r="P63" i="9" s="1"/>
  <c r="C63" i="9"/>
  <c r="B63" i="9"/>
  <c r="L63" i="9" s="1"/>
  <c r="O62" i="9"/>
  <c r="M62" i="9"/>
  <c r="J62" i="9"/>
  <c r="I62" i="9"/>
  <c r="N62" i="9" s="1"/>
  <c r="C62" i="9"/>
  <c r="B62" i="9"/>
  <c r="O61" i="9"/>
  <c r="N61" i="9"/>
  <c r="L61" i="9"/>
  <c r="J61" i="9"/>
  <c r="I61" i="9"/>
  <c r="C61" i="9"/>
  <c r="B61" i="9"/>
  <c r="K61" i="9" s="1"/>
  <c r="O60" i="9"/>
  <c r="N60" i="9"/>
  <c r="J60" i="9"/>
  <c r="I60" i="9"/>
  <c r="C60" i="9"/>
  <c r="B60" i="9"/>
  <c r="M60" i="9" s="1"/>
  <c r="P60" i="9" s="1"/>
  <c r="O59" i="9"/>
  <c r="M59" i="9"/>
  <c r="J59" i="9"/>
  <c r="I59" i="9"/>
  <c r="N59" i="9" s="1"/>
  <c r="P59" i="9" s="1"/>
  <c r="C59" i="9"/>
  <c r="B59" i="9"/>
  <c r="L59" i="9" s="1"/>
  <c r="O58" i="9"/>
  <c r="M58" i="9"/>
  <c r="J58" i="9"/>
  <c r="I58" i="9"/>
  <c r="N58" i="9" s="1"/>
  <c r="C58" i="9"/>
  <c r="B58" i="9"/>
  <c r="O57" i="9"/>
  <c r="N57" i="9"/>
  <c r="L57" i="9"/>
  <c r="J57" i="9"/>
  <c r="I57" i="9"/>
  <c r="C57" i="9"/>
  <c r="B57" i="9"/>
  <c r="K57" i="9" s="1"/>
  <c r="O56" i="9"/>
  <c r="N56" i="9"/>
  <c r="J56" i="9"/>
  <c r="I56" i="9"/>
  <c r="C56" i="9"/>
  <c r="B56" i="9"/>
  <c r="M56" i="9" s="1"/>
  <c r="P56" i="9" s="1"/>
  <c r="O55" i="9"/>
  <c r="M55" i="9"/>
  <c r="J55" i="9"/>
  <c r="I55" i="9"/>
  <c r="N55" i="9" s="1"/>
  <c r="P55" i="9" s="1"/>
  <c r="C55" i="9"/>
  <c r="B55" i="9"/>
  <c r="L55" i="9" s="1"/>
  <c r="O54" i="9"/>
  <c r="M54" i="9"/>
  <c r="P54" i="9" s="1"/>
  <c r="J54" i="9"/>
  <c r="I54" i="9"/>
  <c r="N54" i="9" s="1"/>
  <c r="C54" i="9"/>
  <c r="B54" i="9"/>
  <c r="O53" i="9"/>
  <c r="N53" i="9"/>
  <c r="L53" i="9"/>
  <c r="J53" i="9"/>
  <c r="I53" i="9"/>
  <c r="C53" i="9"/>
  <c r="B53" i="9"/>
  <c r="K53" i="9" s="1"/>
  <c r="O52" i="9"/>
  <c r="N52" i="9"/>
  <c r="J52" i="9"/>
  <c r="I52" i="9"/>
  <c r="C52" i="9"/>
  <c r="B52" i="9"/>
  <c r="M52" i="9" s="1"/>
  <c r="P52" i="9" s="1"/>
  <c r="O51" i="9"/>
  <c r="M51" i="9"/>
  <c r="J51" i="9"/>
  <c r="I51" i="9"/>
  <c r="N51" i="9" s="1"/>
  <c r="P51" i="9" s="1"/>
  <c r="C51" i="9"/>
  <c r="B51" i="9"/>
  <c r="L51" i="9" s="1"/>
  <c r="O50" i="9"/>
  <c r="M50" i="9"/>
  <c r="J50" i="9"/>
  <c r="I50" i="9"/>
  <c r="N50" i="9" s="1"/>
  <c r="C50" i="9"/>
  <c r="B50" i="9"/>
  <c r="O49" i="9"/>
  <c r="N49" i="9"/>
  <c r="L49" i="9"/>
  <c r="J49" i="9"/>
  <c r="I49" i="9"/>
  <c r="C49" i="9"/>
  <c r="B49" i="9"/>
  <c r="K49" i="9" s="1"/>
  <c r="O48" i="9"/>
  <c r="N48" i="9"/>
  <c r="J48" i="9"/>
  <c r="I48" i="9"/>
  <c r="C48" i="9"/>
  <c r="B48" i="9"/>
  <c r="M48" i="9" s="1"/>
  <c r="P48" i="9" s="1"/>
  <c r="O47" i="9"/>
  <c r="M47" i="9"/>
  <c r="J47" i="9"/>
  <c r="I47" i="9"/>
  <c r="N47" i="9" s="1"/>
  <c r="P47" i="9" s="1"/>
  <c r="C47" i="9"/>
  <c r="B47" i="9"/>
  <c r="L47" i="9" s="1"/>
  <c r="O46" i="9"/>
  <c r="M46" i="9"/>
  <c r="P46" i="9" s="1"/>
  <c r="J46" i="9"/>
  <c r="I46" i="9"/>
  <c r="N46" i="9" s="1"/>
  <c r="C46" i="9"/>
  <c r="B46" i="9"/>
  <c r="O45" i="9"/>
  <c r="N45" i="9"/>
  <c r="L45" i="9"/>
  <c r="J45" i="9"/>
  <c r="I45" i="9"/>
  <c r="C45" i="9"/>
  <c r="B45" i="9"/>
  <c r="K45" i="9" s="1"/>
  <c r="O44" i="9"/>
  <c r="N44" i="9"/>
  <c r="J44" i="9"/>
  <c r="I44" i="9"/>
  <c r="C44" i="9"/>
  <c r="B44" i="9"/>
  <c r="M44" i="9" s="1"/>
  <c r="P44" i="9" s="1"/>
  <c r="O43" i="9"/>
  <c r="M43" i="9"/>
  <c r="J43" i="9"/>
  <c r="I43" i="9"/>
  <c r="N43" i="9" s="1"/>
  <c r="P43" i="9" s="1"/>
  <c r="C43" i="9"/>
  <c r="B43" i="9"/>
  <c r="L43" i="9" s="1"/>
  <c r="O42" i="9"/>
  <c r="M42" i="9"/>
  <c r="J42" i="9"/>
  <c r="I42" i="9"/>
  <c r="N42" i="9" s="1"/>
  <c r="C42" i="9"/>
  <c r="B42" i="9"/>
  <c r="O41" i="9"/>
  <c r="N41" i="9"/>
  <c r="L41" i="9"/>
  <c r="J41" i="9"/>
  <c r="I41" i="9"/>
  <c r="C41" i="9"/>
  <c r="B41" i="9"/>
  <c r="K41" i="9" s="1"/>
  <c r="O40" i="9"/>
  <c r="N40" i="9"/>
  <c r="J40" i="9"/>
  <c r="I40" i="9"/>
  <c r="C40" i="9"/>
  <c r="B40" i="9"/>
  <c r="M40" i="9" s="1"/>
  <c r="P40" i="9" s="1"/>
  <c r="O39" i="9"/>
  <c r="M39" i="9"/>
  <c r="J39" i="9"/>
  <c r="I39" i="9"/>
  <c r="N39" i="9" s="1"/>
  <c r="P39" i="9" s="1"/>
  <c r="C39" i="9"/>
  <c r="B39" i="9"/>
  <c r="L39" i="9" s="1"/>
  <c r="O38" i="9"/>
  <c r="M38" i="9"/>
  <c r="P38" i="9" s="1"/>
  <c r="J38" i="9"/>
  <c r="I38" i="9"/>
  <c r="N38" i="9" s="1"/>
  <c r="C38" i="9"/>
  <c r="B38" i="9"/>
  <c r="O37" i="9"/>
  <c r="L37" i="9"/>
  <c r="J37" i="9"/>
  <c r="I37" i="9"/>
  <c r="N37" i="9" s="1"/>
  <c r="C37" i="9"/>
  <c r="B37" i="9"/>
  <c r="K37" i="9" s="1"/>
  <c r="O36" i="9"/>
  <c r="N36" i="9"/>
  <c r="J36" i="9"/>
  <c r="I36" i="9"/>
  <c r="C36" i="9"/>
  <c r="B36" i="9"/>
  <c r="M36" i="9" s="1"/>
  <c r="P36" i="9" s="1"/>
  <c r="O35" i="9"/>
  <c r="M35" i="9"/>
  <c r="K35" i="9"/>
  <c r="J35" i="9"/>
  <c r="I35" i="9"/>
  <c r="N35" i="9" s="1"/>
  <c r="P35" i="9" s="1"/>
  <c r="C35" i="9"/>
  <c r="B35" i="9"/>
  <c r="L35" i="9" s="1"/>
  <c r="O34" i="9"/>
  <c r="M34" i="9"/>
  <c r="P34" i="9" s="1"/>
  <c r="J34" i="9"/>
  <c r="I34" i="9"/>
  <c r="N34" i="9" s="1"/>
  <c r="C34" i="9"/>
  <c r="B34" i="9"/>
  <c r="L34" i="9" s="1"/>
  <c r="O33" i="9"/>
  <c r="L33" i="9"/>
  <c r="J33" i="9"/>
  <c r="I33" i="9"/>
  <c r="N33" i="9" s="1"/>
  <c r="C33" i="9"/>
  <c r="B33" i="9"/>
  <c r="K33" i="9" s="1"/>
  <c r="O32" i="9"/>
  <c r="N32" i="9"/>
  <c r="J32" i="9"/>
  <c r="I32" i="9"/>
  <c r="C32" i="9"/>
  <c r="B32" i="9"/>
  <c r="M32" i="9" s="1"/>
  <c r="P32" i="9" s="1"/>
  <c r="O31" i="9"/>
  <c r="M31" i="9"/>
  <c r="K31" i="9"/>
  <c r="J31" i="9"/>
  <c r="I31" i="9"/>
  <c r="N31" i="9" s="1"/>
  <c r="P31" i="9" s="1"/>
  <c r="C31" i="9"/>
  <c r="B31" i="9"/>
  <c r="L31" i="9" s="1"/>
  <c r="O30" i="9"/>
  <c r="M30" i="9"/>
  <c r="J30" i="9"/>
  <c r="I30" i="9"/>
  <c r="N30" i="9" s="1"/>
  <c r="C30" i="9"/>
  <c r="B30" i="9"/>
  <c r="L30" i="9" s="1"/>
  <c r="O29" i="9"/>
  <c r="L29" i="9"/>
  <c r="J29" i="9"/>
  <c r="I29" i="9"/>
  <c r="N29" i="9" s="1"/>
  <c r="C29" i="9"/>
  <c r="B29" i="9"/>
  <c r="K29" i="9" s="1"/>
  <c r="O28" i="9"/>
  <c r="N28" i="9"/>
  <c r="K28" i="9"/>
  <c r="J28" i="9"/>
  <c r="I28" i="9"/>
  <c r="C28" i="9"/>
  <c r="B28" i="9"/>
  <c r="M28" i="9" s="1"/>
  <c r="P28" i="9" s="1"/>
  <c r="O27" i="9"/>
  <c r="M27" i="9"/>
  <c r="K27" i="9"/>
  <c r="J27" i="9"/>
  <c r="I27" i="9"/>
  <c r="C27" i="9"/>
  <c r="B27" i="9"/>
  <c r="L27" i="9" s="1"/>
  <c r="G17" i="9"/>
  <c r="F17" i="9"/>
  <c r="G16" i="9"/>
  <c r="F16" i="9"/>
  <c r="G15" i="9"/>
  <c r="F15" i="9"/>
  <c r="G14" i="9"/>
  <c r="F14" i="9"/>
  <c r="G13" i="9"/>
  <c r="F13" i="9"/>
  <c r="G12" i="9"/>
  <c r="F12" i="9"/>
  <c r="G11" i="9"/>
  <c r="F11" i="9"/>
  <c r="G10" i="9"/>
  <c r="F10" i="9"/>
  <c r="G9" i="9"/>
  <c r="F9" i="9"/>
  <c r="J8" i="9"/>
  <c r="G8" i="9"/>
  <c r="F8" i="9"/>
  <c r="G7" i="9"/>
  <c r="F7" i="9"/>
  <c r="G6" i="9"/>
  <c r="F6" i="9"/>
  <c r="G5" i="9"/>
  <c r="L118" i="9" s="1"/>
  <c r="F5" i="9"/>
  <c r="G7" i="7"/>
  <c r="F7" i="7"/>
  <c r="E7" i="7"/>
  <c r="E24" i="6"/>
  <c r="R38" i="5" s="1"/>
  <c r="D24" i="6"/>
  <c r="Q38" i="5" s="1"/>
  <c r="E23" i="6"/>
  <c r="R37" i="5" s="1"/>
  <c r="D23" i="6"/>
  <c r="Q37" i="5" s="1"/>
  <c r="E22" i="6"/>
  <c r="R36" i="5" s="1"/>
  <c r="R45" i="5" s="1"/>
  <c r="F8" i="5" s="1"/>
  <c r="D22" i="6"/>
  <c r="Q36" i="5" s="1"/>
  <c r="Q45" i="5" s="1"/>
  <c r="E21" i="6"/>
  <c r="R35" i="5" s="1"/>
  <c r="R44" i="5" s="1"/>
  <c r="D21" i="6"/>
  <c r="Q35" i="5" s="1"/>
  <c r="Q44" i="5" s="1"/>
  <c r="E20" i="6"/>
  <c r="R34" i="5" s="1"/>
  <c r="R43" i="5" s="1"/>
  <c r="D20" i="6"/>
  <c r="Q34" i="5" s="1"/>
  <c r="Q43" i="5" s="1"/>
  <c r="E19" i="6"/>
  <c r="R33" i="5" s="1"/>
  <c r="R42" i="5" s="1"/>
  <c r="D19" i="6"/>
  <c r="Q33" i="5" s="1"/>
  <c r="Q42" i="5" s="1"/>
  <c r="E17" i="6"/>
  <c r="R20" i="5" s="1"/>
  <c r="D17" i="6"/>
  <c r="Q20" i="5" s="1"/>
  <c r="E16" i="6"/>
  <c r="R19" i="5" s="1"/>
  <c r="D16" i="6"/>
  <c r="Q19" i="5" s="1"/>
  <c r="E15" i="6"/>
  <c r="R18" i="5" s="1"/>
  <c r="D15" i="6"/>
  <c r="Q18" i="5" s="1"/>
  <c r="E14" i="6"/>
  <c r="R17" i="5" s="1"/>
  <c r="D14" i="6"/>
  <c r="Q17" i="5" s="1"/>
  <c r="E13" i="6"/>
  <c r="R16" i="5" s="1"/>
  <c r="D13" i="6"/>
  <c r="Q16" i="5" s="1"/>
  <c r="E12" i="6"/>
  <c r="R15" i="5" s="1"/>
  <c r="D12" i="6"/>
  <c r="Q15" i="5" s="1"/>
  <c r="M8" i="6"/>
  <c r="P8" i="6" s="1"/>
  <c r="G8" i="6"/>
  <c r="E8" i="6"/>
  <c r="D8" i="6"/>
  <c r="N8" i="6" s="1"/>
  <c r="O8" i="6" s="1"/>
  <c r="M7" i="6"/>
  <c r="P7" i="6" s="1"/>
  <c r="G7" i="6"/>
  <c r="E7" i="6"/>
  <c r="D7" i="6"/>
  <c r="N7" i="6" s="1"/>
  <c r="O7" i="6" s="1"/>
  <c r="M6" i="6"/>
  <c r="P6" i="6" s="1"/>
  <c r="G6" i="6"/>
  <c r="E6" i="6"/>
  <c r="D6" i="6"/>
  <c r="N6" i="6" s="1"/>
  <c r="O6" i="6" s="1"/>
  <c r="G5" i="6"/>
  <c r="D5" i="6"/>
  <c r="D8" i="5"/>
  <c r="S9" i="5"/>
  <c r="K27" i="2"/>
  <c r="K13" i="2"/>
  <c r="K19" i="2"/>
  <c r="K6" i="2"/>
  <c r="S18" i="24" l="1"/>
  <c r="Q27" i="24"/>
  <c r="S27" i="24" s="1"/>
  <c r="N8" i="27" s="1"/>
  <c r="O8" i="27" s="1"/>
  <c r="S34" i="24"/>
  <c r="S38" i="24"/>
  <c r="S20" i="24"/>
  <c r="Q29" i="24"/>
  <c r="S33" i="24"/>
  <c r="F7" i="24"/>
  <c r="F9" i="24" s="1"/>
  <c r="E42" i="25"/>
  <c r="R35" i="24" s="1"/>
  <c r="Q8" i="24"/>
  <c r="R8" i="24"/>
  <c r="F25" i="2" s="1"/>
  <c r="O22" i="25"/>
  <c r="P22" i="25"/>
  <c r="O27" i="25"/>
  <c r="E39" i="25" s="1"/>
  <c r="R21" i="24" s="1"/>
  <c r="N27" i="25"/>
  <c r="C7" i="24"/>
  <c r="C9" i="24" s="1"/>
  <c r="N9" i="25"/>
  <c r="O9" i="25" s="1"/>
  <c r="O23" i="25"/>
  <c r="P23" i="25"/>
  <c r="Q12" i="24"/>
  <c r="R12" i="24"/>
  <c r="F26" i="2" s="1"/>
  <c r="N8" i="25"/>
  <c r="O8" i="25" s="1"/>
  <c r="D35" i="25" s="1"/>
  <c r="Q17" i="24" s="1"/>
  <c r="P21" i="25"/>
  <c r="P24" i="25"/>
  <c r="K23" i="26"/>
  <c r="C8" i="26" s="1"/>
  <c r="L25" i="2"/>
  <c r="S20" i="29"/>
  <c r="S47" i="29"/>
  <c r="H6" i="2"/>
  <c r="Q42" i="29"/>
  <c r="O5" i="19"/>
  <c r="P16" i="19"/>
  <c r="P20" i="19"/>
  <c r="P24" i="19"/>
  <c r="H20" i="2"/>
  <c r="R42" i="29"/>
  <c r="H7" i="29"/>
  <c r="R7" i="29"/>
  <c r="F21" i="2" s="1"/>
  <c r="Q7" i="29"/>
  <c r="D50" i="19"/>
  <c r="Q18" i="29" s="1"/>
  <c r="R9" i="29"/>
  <c r="F23" i="2" s="1"/>
  <c r="Q9" i="29"/>
  <c r="S38" i="29"/>
  <c r="P6" i="19"/>
  <c r="P10" i="19"/>
  <c r="P14" i="19"/>
  <c r="Q48" i="29"/>
  <c r="S39" i="29"/>
  <c r="G8" i="2"/>
  <c r="E7" i="29"/>
  <c r="Q10" i="29"/>
  <c r="R10" i="29"/>
  <c r="F24" i="2" s="1"/>
  <c r="O7" i="19"/>
  <c r="P7" i="19"/>
  <c r="P11" i="19"/>
  <c r="P15" i="19"/>
  <c r="P18" i="19"/>
  <c r="P22" i="19"/>
  <c r="P26" i="19"/>
  <c r="P30" i="19"/>
  <c r="P34" i="19"/>
  <c r="O39" i="19"/>
  <c r="H22" i="2"/>
  <c r="R44" i="29"/>
  <c r="E8" i="29" s="1"/>
  <c r="S33" i="29"/>
  <c r="J5" i="13"/>
  <c r="M5" i="13" s="1"/>
  <c r="P5" i="13" s="1"/>
  <c r="F8" i="12"/>
  <c r="D8" i="12"/>
  <c r="O22" i="13"/>
  <c r="O19" i="13"/>
  <c r="Q12" i="12"/>
  <c r="P10" i="13"/>
  <c r="E7" i="12"/>
  <c r="C7" i="12"/>
  <c r="N5" i="6"/>
  <c r="S35" i="5"/>
  <c r="C8" i="5"/>
  <c r="R12" i="5"/>
  <c r="F19" i="2" s="1"/>
  <c r="E25" i="6"/>
  <c r="R39" i="5" s="1"/>
  <c r="Q12" i="5"/>
  <c r="F5" i="2" s="1"/>
  <c r="E8" i="5"/>
  <c r="S15" i="29"/>
  <c r="H9" i="29"/>
  <c r="S30" i="29"/>
  <c r="N5" i="21" s="1"/>
  <c r="O5" i="21" s="1"/>
  <c r="S21" i="29"/>
  <c r="E6" i="2"/>
  <c r="E8" i="2"/>
  <c r="S17" i="29"/>
  <c r="S15" i="5"/>
  <c r="S19" i="5"/>
  <c r="D57" i="19"/>
  <c r="Q36" i="29" s="1"/>
  <c r="Q45" i="29" s="1"/>
  <c r="H8" i="2"/>
  <c r="S35" i="29"/>
  <c r="I8" i="2"/>
  <c r="S16" i="24"/>
  <c r="K23" i="20"/>
  <c r="C8" i="20" s="1"/>
  <c r="L20" i="2"/>
  <c r="C7" i="20"/>
  <c r="H7" i="24"/>
  <c r="S45" i="24"/>
  <c r="S29" i="24"/>
  <c r="S15" i="24"/>
  <c r="C8" i="24"/>
  <c r="R47" i="24"/>
  <c r="H8" i="24" s="1"/>
  <c r="S19" i="24"/>
  <c r="S36" i="24"/>
  <c r="K22" i="26"/>
  <c r="S11" i="24"/>
  <c r="G8" i="24"/>
  <c r="S26" i="29"/>
  <c r="N7" i="21" s="1"/>
  <c r="O7" i="21" s="1"/>
  <c r="P11" i="25"/>
  <c r="N5" i="25"/>
  <c r="O5" i="25" s="1"/>
  <c r="O14" i="19"/>
  <c r="O30" i="19"/>
  <c r="O9" i="19"/>
  <c r="O26" i="19"/>
  <c r="O22" i="19"/>
  <c r="O8" i="19"/>
  <c r="P35" i="19"/>
  <c r="O18" i="19"/>
  <c r="O34" i="19"/>
  <c r="E48" i="19"/>
  <c r="R16" i="29" s="1"/>
  <c r="M42" i="19"/>
  <c r="P42" i="19" s="1"/>
  <c r="E55" i="19" s="1"/>
  <c r="R34" i="29" s="1"/>
  <c r="S38" i="12"/>
  <c r="S36" i="12"/>
  <c r="S28" i="12"/>
  <c r="S19" i="12"/>
  <c r="S15" i="12"/>
  <c r="S44" i="12"/>
  <c r="S16" i="12"/>
  <c r="Q47" i="12"/>
  <c r="H7" i="12" s="1"/>
  <c r="M5" i="14"/>
  <c r="M7" i="14"/>
  <c r="S18" i="12"/>
  <c r="S51" i="12"/>
  <c r="M8" i="14"/>
  <c r="M6" i="14"/>
  <c r="S37" i="5"/>
  <c r="E7" i="5"/>
  <c r="Q46" i="5"/>
  <c r="G7" i="5" s="1"/>
  <c r="S11" i="5"/>
  <c r="J7" i="13"/>
  <c r="M7" i="13" s="1"/>
  <c r="P7" i="13" s="1"/>
  <c r="J9" i="13"/>
  <c r="M9" i="13" s="1"/>
  <c r="P9" i="13" s="1"/>
  <c r="P14" i="13"/>
  <c r="P18" i="13"/>
  <c r="O15" i="13"/>
  <c r="P11" i="13"/>
  <c r="O14" i="13"/>
  <c r="P22" i="13"/>
  <c r="P19" i="13"/>
  <c r="S20" i="12"/>
  <c r="S17" i="12"/>
  <c r="R46" i="12"/>
  <c r="G8" i="12" s="1"/>
  <c r="R47" i="12"/>
  <c r="H8" i="12" s="1"/>
  <c r="S35" i="12"/>
  <c r="S29" i="12"/>
  <c r="S45" i="12"/>
  <c r="K14" i="7"/>
  <c r="K15" i="7" s="1"/>
  <c r="J5" i="6"/>
  <c r="P5" i="6" s="1"/>
  <c r="D25" i="6" s="1"/>
  <c r="Q39" i="5" s="1"/>
  <c r="Q48" i="5" s="1"/>
  <c r="O5" i="6"/>
  <c r="D18" i="6" s="1"/>
  <c r="Q21" i="5" s="1"/>
  <c r="S51" i="5"/>
  <c r="Q47" i="5"/>
  <c r="S6" i="5"/>
  <c r="S28" i="5"/>
  <c r="K13" i="7"/>
  <c r="S17" i="5"/>
  <c r="R46" i="5"/>
  <c r="S18" i="5"/>
  <c r="S7" i="5"/>
  <c r="S10" i="5"/>
  <c r="S16" i="5"/>
  <c r="R47" i="5"/>
  <c r="S20" i="5"/>
  <c r="S33" i="5"/>
  <c r="S8" i="5"/>
  <c r="S38" i="5"/>
  <c r="P63" i="27"/>
  <c r="P38" i="27"/>
  <c r="P46" i="27"/>
  <c r="P54" i="27"/>
  <c r="L30" i="27"/>
  <c r="K31" i="27"/>
  <c r="L38" i="27"/>
  <c r="K39" i="27"/>
  <c r="L46" i="27"/>
  <c r="K47" i="27"/>
  <c r="L54" i="27"/>
  <c r="K55" i="27"/>
  <c r="L62" i="27"/>
  <c r="L63" i="27"/>
  <c r="K64" i="27"/>
  <c r="K65" i="27"/>
  <c r="P84" i="27"/>
  <c r="K90" i="27"/>
  <c r="K96" i="27"/>
  <c r="P102" i="27"/>
  <c r="P124" i="27"/>
  <c r="P128" i="27"/>
  <c r="P146" i="27"/>
  <c r="L153" i="27"/>
  <c r="K154" i="27"/>
  <c r="L230" i="27"/>
  <c r="K636" i="27"/>
  <c r="K628" i="27"/>
  <c r="K620" i="27"/>
  <c r="K612" i="27"/>
  <c r="K604" i="27"/>
  <c r="K596" i="27"/>
  <c r="K588" i="27"/>
  <c r="K580" i="27"/>
  <c r="K572" i="27"/>
  <c r="K564" i="27"/>
  <c r="K556" i="27"/>
  <c r="K548" i="27"/>
  <c r="K540" i="27"/>
  <c r="K532" i="27"/>
  <c r="K524" i="27"/>
  <c r="K516" i="27"/>
  <c r="K508" i="27"/>
  <c r="K500" i="27"/>
  <c r="K492" i="27"/>
  <c r="K484" i="27"/>
  <c r="K476" i="27"/>
  <c r="K635" i="27"/>
  <c r="K627" i="27"/>
  <c r="K619" i="27"/>
  <c r="K611" i="27"/>
  <c r="K603" i="27"/>
  <c r="K595" i="27"/>
  <c r="K587" i="27"/>
  <c r="K579" i="27"/>
  <c r="K571" i="27"/>
  <c r="K563" i="27"/>
  <c r="K555" i="27"/>
  <c r="K547" i="27"/>
  <c r="K539" i="27"/>
  <c r="K531" i="27"/>
  <c r="K523" i="27"/>
  <c r="K515" i="27"/>
  <c r="K634" i="27"/>
  <c r="K626" i="27"/>
  <c r="K618" i="27"/>
  <c r="K610" i="27"/>
  <c r="K602" i="27"/>
  <c r="K594" i="27"/>
  <c r="K586" i="27"/>
  <c r="K578" i="27"/>
  <c r="K570" i="27"/>
  <c r="K562" i="27"/>
  <c r="K554" i="27"/>
  <c r="K546" i="27"/>
  <c r="K538" i="27"/>
  <c r="K530" i="27"/>
  <c r="K522" i="27"/>
  <c r="K514" i="27"/>
  <c r="K506" i="27"/>
  <c r="K498" i="27"/>
  <c r="K490" i="27"/>
  <c r="K482" i="27"/>
  <c r="K474" i="27"/>
  <c r="K633" i="27"/>
  <c r="K625" i="27"/>
  <c r="K617" i="27"/>
  <c r="K609" i="27"/>
  <c r="K601" i="27"/>
  <c r="K593" i="27"/>
  <c r="K585" i="27"/>
  <c r="K577" i="27"/>
  <c r="K569" i="27"/>
  <c r="K561" i="27"/>
  <c r="K553" i="27"/>
  <c r="K545" i="27"/>
  <c r="K537" i="27"/>
  <c r="K529" i="27"/>
  <c r="K521" i="27"/>
  <c r="K513" i="27"/>
  <c r="K505" i="27"/>
  <c r="K632" i="27"/>
  <c r="K624" i="27"/>
  <c r="K616" i="27"/>
  <c r="K608" i="27"/>
  <c r="K600" i="27"/>
  <c r="K592" i="27"/>
  <c r="K584" i="27"/>
  <c r="K576" i="27"/>
  <c r="K568" i="27"/>
  <c r="K560" i="27"/>
  <c r="K552" i="27"/>
  <c r="K544" i="27"/>
  <c r="K536" i="27"/>
  <c r="K528" i="27"/>
  <c r="K520" i="27"/>
  <c r="K512" i="27"/>
  <c r="K504" i="27"/>
  <c r="K496" i="27"/>
  <c r="K488" i="27"/>
  <c r="K480" i="27"/>
  <c r="K472" i="27"/>
  <c r="K631" i="27"/>
  <c r="K623" i="27"/>
  <c r="K615" i="27"/>
  <c r="K607" i="27"/>
  <c r="K599" i="27"/>
  <c r="K591" i="27"/>
  <c r="K583" i="27"/>
  <c r="K575" i="27"/>
  <c r="K567" i="27"/>
  <c r="K559" i="27"/>
  <c r="K551" i="27"/>
  <c r="K543" i="27"/>
  <c r="K535" i="27"/>
  <c r="K527" i="27"/>
  <c r="K519" i="27"/>
  <c r="K511" i="27"/>
  <c r="K503" i="27"/>
  <c r="K495" i="27"/>
  <c r="K487" i="27"/>
  <c r="K479" i="27"/>
  <c r="K630" i="27"/>
  <c r="K622" i="27"/>
  <c r="K614" i="27"/>
  <c r="K606" i="27"/>
  <c r="K598" i="27"/>
  <c r="K590" i="27"/>
  <c r="K582" i="27"/>
  <c r="K574" i="27"/>
  <c r="K566" i="27"/>
  <c r="K558" i="27"/>
  <c r="K550" i="27"/>
  <c r="K542" i="27"/>
  <c r="K534" i="27"/>
  <c r="K526" i="27"/>
  <c r="K518" i="27"/>
  <c r="K510" i="27"/>
  <c r="K502" i="27"/>
  <c r="K494" i="27"/>
  <c r="K486" i="27"/>
  <c r="K478" i="27"/>
  <c r="K470" i="27"/>
  <c r="E643" i="27"/>
  <c r="K605" i="27"/>
  <c r="K466" i="27"/>
  <c r="K458" i="27"/>
  <c r="K450" i="27"/>
  <c r="K442" i="27"/>
  <c r="K434" i="27"/>
  <c r="K426" i="27"/>
  <c r="K418" i="27"/>
  <c r="K410" i="27"/>
  <c r="K402" i="27"/>
  <c r="K394" i="27"/>
  <c r="K386" i="27"/>
  <c r="K378" i="27"/>
  <c r="K370" i="27"/>
  <c r="K362" i="27"/>
  <c r="K354" i="27"/>
  <c r="K346" i="27"/>
  <c r="K338" i="27"/>
  <c r="K330" i="27"/>
  <c r="K322" i="27"/>
  <c r="K597" i="27"/>
  <c r="K589" i="27"/>
  <c r="K581" i="27"/>
  <c r="K573" i="27"/>
  <c r="K565" i="27"/>
  <c r="K557" i="27"/>
  <c r="K549" i="27"/>
  <c r="K541" i="27"/>
  <c r="K533" i="27"/>
  <c r="K485" i="27"/>
  <c r="K465" i="27"/>
  <c r="K457" i="27"/>
  <c r="K449" i="27"/>
  <c r="K441" i="27"/>
  <c r="K433" i="27"/>
  <c r="K425" i="27"/>
  <c r="K417" i="27"/>
  <c r="K409" i="27"/>
  <c r="K401" i="27"/>
  <c r="K393" i="27"/>
  <c r="K525" i="27"/>
  <c r="K507" i="27"/>
  <c r="K497" i="27"/>
  <c r="K491" i="27"/>
  <c r="K464" i="27"/>
  <c r="K456" i="27"/>
  <c r="K448" i="27"/>
  <c r="K440" i="27"/>
  <c r="K432" i="27"/>
  <c r="K424" i="27"/>
  <c r="K416" i="27"/>
  <c r="K408" i="27"/>
  <c r="K400" i="27"/>
  <c r="K392" i="27"/>
  <c r="K384" i="27"/>
  <c r="K376" i="27"/>
  <c r="K368" i="27"/>
  <c r="K360" i="27"/>
  <c r="K352" i="27"/>
  <c r="K344" i="27"/>
  <c r="K336" i="27"/>
  <c r="K328" i="27"/>
  <c r="K320" i="27"/>
  <c r="K312" i="27"/>
  <c r="K304" i="27"/>
  <c r="K296" i="27"/>
  <c r="K288" i="27"/>
  <c r="K517" i="27"/>
  <c r="K463" i="27"/>
  <c r="K455" i="27"/>
  <c r="K447" i="27"/>
  <c r="K439" i="27"/>
  <c r="K431" i="27"/>
  <c r="K423" i="27"/>
  <c r="K415" i="27"/>
  <c r="K407" i="27"/>
  <c r="K399" i="27"/>
  <c r="K391" i="27"/>
  <c r="K383" i="27"/>
  <c r="K375" i="27"/>
  <c r="K367" i="27"/>
  <c r="K359" i="27"/>
  <c r="K351" i="27"/>
  <c r="K343" i="27"/>
  <c r="K335" i="27"/>
  <c r="K327" i="27"/>
  <c r="K637" i="27"/>
  <c r="K509" i="27"/>
  <c r="K493" i="27"/>
  <c r="K481" i="27"/>
  <c r="K471" i="27"/>
  <c r="K462" i="27"/>
  <c r="K454" i="27"/>
  <c r="K446" i="27"/>
  <c r="K438" i="27"/>
  <c r="K430" i="27"/>
  <c r="K422" i="27"/>
  <c r="K414" i="27"/>
  <c r="K406" i="27"/>
  <c r="K398" i="27"/>
  <c r="K390" i="27"/>
  <c r="K382" i="27"/>
  <c r="K374" i="27"/>
  <c r="K366" i="27"/>
  <c r="K358" i="27"/>
  <c r="K350" i="27"/>
  <c r="K342" i="27"/>
  <c r="K334" i="27"/>
  <c r="K326" i="27"/>
  <c r="K318" i="27"/>
  <c r="K310" i="27"/>
  <c r="K302" i="27"/>
  <c r="K629" i="27"/>
  <c r="K499" i="27"/>
  <c r="K473" i="27"/>
  <c r="K469" i="27"/>
  <c r="K461" i="27"/>
  <c r="K453" i="27"/>
  <c r="K445" i="27"/>
  <c r="K437" i="27"/>
  <c r="K429" i="27"/>
  <c r="K421" i="27"/>
  <c r="K413" i="27"/>
  <c r="K405" i="27"/>
  <c r="K397" i="27"/>
  <c r="K389" i="27"/>
  <c r="K381" i="27"/>
  <c r="K373" i="27"/>
  <c r="K365" i="27"/>
  <c r="K621" i="27"/>
  <c r="K475" i="27"/>
  <c r="K468" i="27"/>
  <c r="K460" i="27"/>
  <c r="K452" i="27"/>
  <c r="K444" i="27"/>
  <c r="K436" i="27"/>
  <c r="K428" i="27"/>
  <c r="K420" i="27"/>
  <c r="K412" i="27"/>
  <c r="K404" i="27"/>
  <c r="K396" i="27"/>
  <c r="K388" i="27"/>
  <c r="K380" i="27"/>
  <c r="K372" i="27"/>
  <c r="K364" i="27"/>
  <c r="K356" i="27"/>
  <c r="K348" i="27"/>
  <c r="K340" i="27"/>
  <c r="K332" i="27"/>
  <c r="K324" i="27"/>
  <c r="K316" i="27"/>
  <c r="K308" i="27"/>
  <c r="K300" i="27"/>
  <c r="K292" i="27"/>
  <c r="K613" i="27"/>
  <c r="K489" i="27"/>
  <c r="K477" i="27"/>
  <c r="K385" i="27"/>
  <c r="K321" i="27"/>
  <c r="K307" i="27"/>
  <c r="K305" i="27"/>
  <c r="K289" i="27"/>
  <c r="K280" i="27"/>
  <c r="K272" i="27"/>
  <c r="K264" i="27"/>
  <c r="K256" i="27"/>
  <c r="K248" i="27"/>
  <c r="K240" i="27"/>
  <c r="K363" i="27"/>
  <c r="K341" i="27"/>
  <c r="K329" i="27"/>
  <c r="K323" i="27"/>
  <c r="K306" i="27"/>
  <c r="K287" i="27"/>
  <c r="K279" i="27"/>
  <c r="K271" i="27"/>
  <c r="K263" i="27"/>
  <c r="K255" i="27"/>
  <c r="K501" i="27"/>
  <c r="K377" i="27"/>
  <c r="K353" i="27"/>
  <c r="K347" i="27"/>
  <c r="K309" i="27"/>
  <c r="K286" i="27"/>
  <c r="K278" i="27"/>
  <c r="K467" i="27"/>
  <c r="K459" i="27"/>
  <c r="K451" i="27"/>
  <c r="K443" i="27"/>
  <c r="K435" i="27"/>
  <c r="K427" i="27"/>
  <c r="K419" i="27"/>
  <c r="K411" i="27"/>
  <c r="K403" i="27"/>
  <c r="K395" i="27"/>
  <c r="K387" i="27"/>
  <c r="K325" i="27"/>
  <c r="K311" i="27"/>
  <c r="K285" i="27"/>
  <c r="K277" i="27"/>
  <c r="K269" i="27"/>
  <c r="K261" i="27"/>
  <c r="K253" i="27"/>
  <c r="K245" i="27"/>
  <c r="K237" i="27"/>
  <c r="K229" i="27"/>
  <c r="K221" i="27"/>
  <c r="K213" i="27"/>
  <c r="K205" i="27"/>
  <c r="K197" i="27"/>
  <c r="K189" i="27"/>
  <c r="K369" i="27"/>
  <c r="K349" i="27"/>
  <c r="K337" i="27"/>
  <c r="K331" i="27"/>
  <c r="K315" i="27"/>
  <c r="K313" i="27"/>
  <c r="K284" i="27"/>
  <c r="K276" i="27"/>
  <c r="K268" i="27"/>
  <c r="K260" i="27"/>
  <c r="K252" i="27"/>
  <c r="K244" i="27"/>
  <c r="K236" i="27"/>
  <c r="K228" i="27"/>
  <c r="K220" i="27"/>
  <c r="K212" i="27"/>
  <c r="K204" i="27"/>
  <c r="K196" i="27"/>
  <c r="K483" i="27"/>
  <c r="K379" i="27"/>
  <c r="K355" i="27"/>
  <c r="K314" i="27"/>
  <c r="K283" i="27"/>
  <c r="K275" i="27"/>
  <c r="K267" i="27"/>
  <c r="K259" i="27"/>
  <c r="K251" i="27"/>
  <c r="K243" i="27"/>
  <c r="K235" i="27"/>
  <c r="K227" i="27"/>
  <c r="K219" i="27"/>
  <c r="K371" i="27"/>
  <c r="K357" i="27"/>
  <c r="K345" i="27"/>
  <c r="K339" i="27"/>
  <c r="K319" i="27"/>
  <c r="K303" i="27"/>
  <c r="K301" i="27"/>
  <c r="K298" i="27"/>
  <c r="K297" i="27"/>
  <c r="K294" i="27"/>
  <c r="K293" i="27"/>
  <c r="K290" i="27"/>
  <c r="K281" i="27"/>
  <c r="K273" i="27"/>
  <c r="K265" i="27"/>
  <c r="K257" i="27"/>
  <c r="K249" i="27"/>
  <c r="K241" i="27"/>
  <c r="K233" i="27"/>
  <c r="K225" i="27"/>
  <c r="K217" i="27"/>
  <c r="K209" i="27"/>
  <c r="K201" i="27"/>
  <c r="K299" i="27"/>
  <c r="K274" i="27"/>
  <c r="K224" i="27"/>
  <c r="K223" i="27"/>
  <c r="K222" i="27"/>
  <c r="K184" i="27"/>
  <c r="K176" i="27"/>
  <c r="K168" i="27"/>
  <c r="K160" i="27"/>
  <c r="K152" i="27"/>
  <c r="K144" i="27"/>
  <c r="K136" i="27"/>
  <c r="K128" i="27"/>
  <c r="K120" i="27"/>
  <c r="K112" i="27"/>
  <c r="K295" i="27"/>
  <c r="K282" i="27"/>
  <c r="K270" i="27"/>
  <c r="K247" i="27"/>
  <c r="K246" i="27"/>
  <c r="K216" i="27"/>
  <c r="K215" i="27"/>
  <c r="K214" i="27"/>
  <c r="K195" i="27"/>
  <c r="K194" i="27"/>
  <c r="K183" i="27"/>
  <c r="K175" i="27"/>
  <c r="K167" i="27"/>
  <c r="K159" i="27"/>
  <c r="K151" i="27"/>
  <c r="K143" i="27"/>
  <c r="K135" i="27"/>
  <c r="K127" i="27"/>
  <c r="K119" i="27"/>
  <c r="K111" i="27"/>
  <c r="K103" i="27"/>
  <c r="K95" i="27"/>
  <c r="K87" i="27"/>
  <c r="K79" i="27"/>
  <c r="K361" i="27"/>
  <c r="K317" i="27"/>
  <c r="K291" i="27"/>
  <c r="K266" i="27"/>
  <c r="K234" i="27"/>
  <c r="K200" i="27"/>
  <c r="K199" i="27"/>
  <c r="K193" i="27"/>
  <c r="K192" i="27"/>
  <c r="K182" i="27"/>
  <c r="K174" i="27"/>
  <c r="K166" i="27"/>
  <c r="K158" i="27"/>
  <c r="K150" i="27"/>
  <c r="K142" i="27"/>
  <c r="K134" i="27"/>
  <c r="K126" i="27"/>
  <c r="K118" i="27"/>
  <c r="K262" i="27"/>
  <c r="K226" i="27"/>
  <c r="K198" i="27"/>
  <c r="K191" i="27"/>
  <c r="K181" i="27"/>
  <c r="K173" i="27"/>
  <c r="K165" i="27"/>
  <c r="K157" i="27"/>
  <c r="K149" i="27"/>
  <c r="K141" i="27"/>
  <c r="K133" i="27"/>
  <c r="K125" i="27"/>
  <c r="K117" i="27"/>
  <c r="K109" i="27"/>
  <c r="K101" i="27"/>
  <c r="K93" i="27"/>
  <c r="K85" i="27"/>
  <c r="K77" i="27"/>
  <c r="K333" i="27"/>
  <c r="K258" i="27"/>
  <c r="K242" i="27"/>
  <c r="K218" i="27"/>
  <c r="K203" i="27"/>
  <c r="K202" i="27"/>
  <c r="K190" i="27"/>
  <c r="K188" i="27"/>
  <c r="K180" i="27"/>
  <c r="K172" i="27"/>
  <c r="K164" i="27"/>
  <c r="K156" i="27"/>
  <c r="K148" i="27"/>
  <c r="K140" i="27"/>
  <c r="K132" i="27"/>
  <c r="K124" i="27"/>
  <c r="K116" i="27"/>
  <c r="K108" i="27"/>
  <c r="K100" i="27"/>
  <c r="K92" i="27"/>
  <c r="K84" i="27"/>
  <c r="K76" i="27"/>
  <c r="K254" i="27"/>
  <c r="K208" i="27"/>
  <c r="K207" i="27"/>
  <c r="K187" i="27"/>
  <c r="K179" i="27"/>
  <c r="K171" i="27"/>
  <c r="K163" i="27"/>
  <c r="K155" i="27"/>
  <c r="K147" i="27"/>
  <c r="K139" i="27"/>
  <c r="K131" i="27"/>
  <c r="K123" i="27"/>
  <c r="K115" i="27"/>
  <c r="K107" i="27"/>
  <c r="K99" i="27"/>
  <c r="K91" i="27"/>
  <c r="K83" i="27"/>
  <c r="K75" i="27"/>
  <c r="K67" i="27"/>
  <c r="K239" i="27"/>
  <c r="K238" i="27"/>
  <c r="K232" i="27"/>
  <c r="K231" i="27"/>
  <c r="K230" i="27"/>
  <c r="K211" i="27"/>
  <c r="K210" i="27"/>
  <c r="K185" i="27"/>
  <c r="K177" i="27"/>
  <c r="K169" i="27"/>
  <c r="K161" i="27"/>
  <c r="K153" i="27"/>
  <c r="K145" i="27"/>
  <c r="K137" i="27"/>
  <c r="K129" i="27"/>
  <c r="K121" i="27"/>
  <c r="K113" i="27"/>
  <c r="K105" i="27"/>
  <c r="K97" i="27"/>
  <c r="K89" i="27"/>
  <c r="K32" i="27"/>
  <c r="K40" i="27"/>
  <c r="K48" i="27"/>
  <c r="K56" i="27"/>
  <c r="P62" i="27"/>
  <c r="J643" i="27" s="1"/>
  <c r="K66" i="27"/>
  <c r="K68" i="27"/>
  <c r="P74" i="27"/>
  <c r="L89" i="27"/>
  <c r="P116" i="27"/>
  <c r="P120" i="27"/>
  <c r="P132" i="27"/>
  <c r="P136" i="27"/>
  <c r="P180" i="27"/>
  <c r="P184" i="27"/>
  <c r="L635" i="27"/>
  <c r="L627" i="27"/>
  <c r="L619" i="27"/>
  <c r="L611" i="27"/>
  <c r="L603" i="27"/>
  <c r="L595" i="27"/>
  <c r="L587" i="27"/>
  <c r="L579" i="27"/>
  <c r="L571" i="27"/>
  <c r="L563" i="27"/>
  <c r="L555" i="27"/>
  <c r="L547" i="27"/>
  <c r="L539" i="27"/>
  <c r="L531" i="27"/>
  <c r="L523" i="27"/>
  <c r="L515" i="27"/>
  <c r="L507" i="27"/>
  <c r="L499" i="27"/>
  <c r="L491" i="27"/>
  <c r="L483" i="27"/>
  <c r="L634" i="27"/>
  <c r="L626" i="27"/>
  <c r="L618" i="27"/>
  <c r="L610" i="27"/>
  <c r="L602" i="27"/>
  <c r="L594" i="27"/>
  <c r="L586" i="27"/>
  <c r="L578" i="27"/>
  <c r="L570" i="27"/>
  <c r="L562" i="27"/>
  <c r="L554" i="27"/>
  <c r="L546" i="27"/>
  <c r="L538" i="27"/>
  <c r="L530" i="27"/>
  <c r="L522" i="27"/>
  <c r="L514" i="27"/>
  <c r="L633" i="27"/>
  <c r="L625" i="27"/>
  <c r="L617" i="27"/>
  <c r="L609" i="27"/>
  <c r="L601" i="27"/>
  <c r="L593" i="27"/>
  <c r="L585" i="27"/>
  <c r="L577" i="27"/>
  <c r="L569" i="27"/>
  <c r="L561" i="27"/>
  <c r="L553" i="27"/>
  <c r="L545" i="27"/>
  <c r="L537" i="27"/>
  <c r="L529" i="27"/>
  <c r="L521" i="27"/>
  <c r="L513" i="27"/>
  <c r="L505" i="27"/>
  <c r="L497" i="27"/>
  <c r="L489" i="27"/>
  <c r="L481" i="27"/>
  <c r="L473" i="27"/>
  <c r="L632" i="27"/>
  <c r="L624" i="27"/>
  <c r="L616" i="27"/>
  <c r="L608" i="27"/>
  <c r="L600" i="27"/>
  <c r="L592" i="27"/>
  <c r="L584" i="27"/>
  <c r="L576" i="27"/>
  <c r="L568" i="27"/>
  <c r="L560" i="27"/>
  <c r="L552" i="27"/>
  <c r="L544" i="27"/>
  <c r="L536" i="27"/>
  <c r="L528" i="27"/>
  <c r="L520" i="27"/>
  <c r="L512" i="27"/>
  <c r="L504" i="27"/>
  <c r="L631" i="27"/>
  <c r="L623" i="27"/>
  <c r="L615" i="27"/>
  <c r="L607" i="27"/>
  <c r="L599" i="27"/>
  <c r="L591" i="27"/>
  <c r="L583" i="27"/>
  <c r="L575" i="27"/>
  <c r="L567" i="27"/>
  <c r="L559" i="27"/>
  <c r="L551" i="27"/>
  <c r="L543" i="27"/>
  <c r="L535" i="27"/>
  <c r="L527" i="27"/>
  <c r="L519" i="27"/>
  <c r="L511" i="27"/>
  <c r="L503" i="27"/>
  <c r="L495" i="27"/>
  <c r="L487" i="27"/>
  <c r="L479" i="27"/>
  <c r="L471" i="27"/>
  <c r="L630" i="27"/>
  <c r="L622" i="27"/>
  <c r="L614" i="27"/>
  <c r="L606" i="27"/>
  <c r="L598" i="27"/>
  <c r="L590" i="27"/>
  <c r="L582" i="27"/>
  <c r="L574" i="27"/>
  <c r="L566" i="27"/>
  <c r="L558" i="27"/>
  <c r="L550" i="27"/>
  <c r="L542" i="27"/>
  <c r="L534" i="27"/>
  <c r="L526" i="27"/>
  <c r="L518" i="27"/>
  <c r="L510" i="27"/>
  <c r="L502" i="27"/>
  <c r="L494" i="27"/>
  <c r="L486" i="27"/>
  <c r="L637" i="27"/>
  <c r="L629" i="27"/>
  <c r="L621" i="27"/>
  <c r="L613" i="27"/>
  <c r="L605" i="27"/>
  <c r="L597" i="27"/>
  <c r="L589" i="27"/>
  <c r="L581" i="27"/>
  <c r="L573" i="27"/>
  <c r="L565" i="27"/>
  <c r="L557" i="27"/>
  <c r="L549" i="27"/>
  <c r="L541" i="27"/>
  <c r="L533" i="27"/>
  <c r="L525" i="27"/>
  <c r="L517" i="27"/>
  <c r="L509" i="27"/>
  <c r="L501" i="27"/>
  <c r="L493" i="27"/>
  <c r="L485" i="27"/>
  <c r="L477" i="27"/>
  <c r="L604" i="27"/>
  <c r="L465" i="27"/>
  <c r="L457" i="27"/>
  <c r="L449" i="27"/>
  <c r="L441" i="27"/>
  <c r="L433" i="27"/>
  <c r="L425" i="27"/>
  <c r="L417" i="27"/>
  <c r="L409" i="27"/>
  <c r="L401" i="27"/>
  <c r="L393" i="27"/>
  <c r="L385" i="27"/>
  <c r="L377" i="27"/>
  <c r="L369" i="27"/>
  <c r="L361" i="27"/>
  <c r="L353" i="27"/>
  <c r="L345" i="27"/>
  <c r="L337" i="27"/>
  <c r="L329" i="27"/>
  <c r="L596" i="27"/>
  <c r="L588" i="27"/>
  <c r="L580" i="27"/>
  <c r="L572" i="27"/>
  <c r="L564" i="27"/>
  <c r="L556" i="27"/>
  <c r="L548" i="27"/>
  <c r="L540" i="27"/>
  <c r="L532" i="27"/>
  <c r="L506" i="27"/>
  <c r="L490" i="27"/>
  <c r="L484" i="27"/>
  <c r="L478" i="27"/>
  <c r="L464" i="27"/>
  <c r="L456" i="27"/>
  <c r="L448" i="27"/>
  <c r="L440" i="27"/>
  <c r="L432" i="27"/>
  <c r="L424" i="27"/>
  <c r="L416" i="27"/>
  <c r="L408" i="27"/>
  <c r="L400" i="27"/>
  <c r="L392" i="27"/>
  <c r="L524" i="27"/>
  <c r="L496" i="27"/>
  <c r="L463" i="27"/>
  <c r="L455" i="27"/>
  <c r="L447" i="27"/>
  <c r="L439" i="27"/>
  <c r="L431" i="27"/>
  <c r="L423" i="27"/>
  <c r="L415" i="27"/>
  <c r="L407" i="27"/>
  <c r="L399" i="27"/>
  <c r="L391" i="27"/>
  <c r="L383" i="27"/>
  <c r="L375" i="27"/>
  <c r="L367" i="27"/>
  <c r="L359" i="27"/>
  <c r="L351" i="27"/>
  <c r="L343" i="27"/>
  <c r="L335" i="27"/>
  <c r="L327" i="27"/>
  <c r="L319" i="27"/>
  <c r="L311" i="27"/>
  <c r="L303" i="27"/>
  <c r="L295" i="27"/>
  <c r="L516" i="27"/>
  <c r="L462" i="27"/>
  <c r="L454" i="27"/>
  <c r="L446" i="27"/>
  <c r="L438" i="27"/>
  <c r="L430" i="27"/>
  <c r="L422" i="27"/>
  <c r="L414" i="27"/>
  <c r="L406" i="27"/>
  <c r="L398" i="27"/>
  <c r="L390" i="27"/>
  <c r="L382" i="27"/>
  <c r="L374" i="27"/>
  <c r="L366" i="27"/>
  <c r="L358" i="27"/>
  <c r="L350" i="27"/>
  <c r="L342" i="27"/>
  <c r="L334" i="27"/>
  <c r="L326" i="27"/>
  <c r="L636" i="27"/>
  <c r="L508" i="27"/>
  <c r="L498" i="27"/>
  <c r="L492" i="27"/>
  <c r="L480" i="27"/>
  <c r="L470" i="27"/>
  <c r="L469" i="27"/>
  <c r="L461" i="27"/>
  <c r="L453" i="27"/>
  <c r="L445" i="27"/>
  <c r="L437" i="27"/>
  <c r="L429" i="27"/>
  <c r="L421" i="27"/>
  <c r="L413" i="27"/>
  <c r="L405" i="27"/>
  <c r="L397" i="27"/>
  <c r="L389" i="27"/>
  <c r="L381" i="27"/>
  <c r="L373" i="27"/>
  <c r="L365" i="27"/>
  <c r="L357" i="27"/>
  <c r="L349" i="27"/>
  <c r="L341" i="27"/>
  <c r="L333" i="27"/>
  <c r="L325" i="27"/>
  <c r="L317" i="27"/>
  <c r="L309" i="27"/>
  <c r="L628" i="27"/>
  <c r="L475" i="27"/>
  <c r="L472" i="27"/>
  <c r="L468" i="27"/>
  <c r="L460" i="27"/>
  <c r="L452" i="27"/>
  <c r="L444" i="27"/>
  <c r="L436" i="27"/>
  <c r="L428" i="27"/>
  <c r="L420" i="27"/>
  <c r="L412" i="27"/>
  <c r="L404" i="27"/>
  <c r="L396" i="27"/>
  <c r="L388" i="27"/>
  <c r="L380" i="27"/>
  <c r="L372" i="27"/>
  <c r="L364" i="27"/>
  <c r="L620" i="27"/>
  <c r="L482" i="27"/>
  <c r="L474" i="27"/>
  <c r="L467" i="27"/>
  <c r="L459" i="27"/>
  <c r="L451" i="27"/>
  <c r="L443" i="27"/>
  <c r="L435" i="27"/>
  <c r="L427" i="27"/>
  <c r="L419" i="27"/>
  <c r="L411" i="27"/>
  <c r="L403" i="27"/>
  <c r="L395" i="27"/>
  <c r="L387" i="27"/>
  <c r="L379" i="27"/>
  <c r="L371" i="27"/>
  <c r="L363" i="27"/>
  <c r="L355" i="27"/>
  <c r="L347" i="27"/>
  <c r="L339" i="27"/>
  <c r="L331" i="27"/>
  <c r="L323" i="27"/>
  <c r="L315" i="27"/>
  <c r="L307" i="27"/>
  <c r="L299" i="27"/>
  <c r="L291" i="27"/>
  <c r="L612" i="27"/>
  <c r="L362" i="27"/>
  <c r="L320" i="27"/>
  <c r="L306" i="27"/>
  <c r="L304" i="27"/>
  <c r="L288" i="27"/>
  <c r="L287" i="27"/>
  <c r="L279" i="27"/>
  <c r="L271" i="27"/>
  <c r="L263" i="27"/>
  <c r="L255" i="27"/>
  <c r="L247" i="27"/>
  <c r="L239" i="27"/>
  <c r="L376" i="27"/>
  <c r="L346" i="27"/>
  <c r="L340" i="27"/>
  <c r="L328" i="27"/>
  <c r="L322" i="27"/>
  <c r="L286" i="27"/>
  <c r="L278" i="27"/>
  <c r="L270" i="27"/>
  <c r="L262" i="27"/>
  <c r="L254" i="27"/>
  <c r="L500" i="27"/>
  <c r="L466" i="27"/>
  <c r="L458" i="27"/>
  <c r="L450" i="27"/>
  <c r="L442" i="27"/>
  <c r="L434" i="27"/>
  <c r="L426" i="27"/>
  <c r="L418" i="27"/>
  <c r="L410" i="27"/>
  <c r="L402" i="27"/>
  <c r="L394" i="27"/>
  <c r="L386" i="27"/>
  <c r="L352" i="27"/>
  <c r="L308" i="27"/>
  <c r="L285" i="27"/>
  <c r="L277" i="27"/>
  <c r="L368" i="27"/>
  <c r="L330" i="27"/>
  <c r="L324" i="27"/>
  <c r="L313" i="27"/>
  <c r="L310" i="27"/>
  <c r="L284" i="27"/>
  <c r="L276" i="27"/>
  <c r="L268" i="27"/>
  <c r="L260" i="27"/>
  <c r="L252" i="27"/>
  <c r="L244" i="27"/>
  <c r="L236" i="27"/>
  <c r="L228" i="27"/>
  <c r="L220" i="27"/>
  <c r="L212" i="27"/>
  <c r="L204" i="27"/>
  <c r="L196" i="27"/>
  <c r="L188" i="27"/>
  <c r="L378" i="27"/>
  <c r="L354" i="27"/>
  <c r="L348" i="27"/>
  <c r="L336" i="27"/>
  <c r="L314" i="27"/>
  <c r="L312" i="27"/>
  <c r="L283" i="27"/>
  <c r="L275" i="27"/>
  <c r="L267" i="27"/>
  <c r="L259" i="27"/>
  <c r="L251" i="27"/>
  <c r="L243" i="27"/>
  <c r="L235" i="27"/>
  <c r="L227" i="27"/>
  <c r="L219" i="27"/>
  <c r="L211" i="27"/>
  <c r="L203" i="27"/>
  <c r="L195" i="27"/>
  <c r="L360" i="27"/>
  <c r="L282" i="27"/>
  <c r="L274" i="27"/>
  <c r="L266" i="27"/>
  <c r="L258" i="27"/>
  <c r="L250" i="27"/>
  <c r="L242" i="27"/>
  <c r="L234" i="27"/>
  <c r="L226" i="27"/>
  <c r="L218" i="27"/>
  <c r="L488" i="27"/>
  <c r="L476" i="27"/>
  <c r="L384" i="27"/>
  <c r="L356" i="27"/>
  <c r="L344" i="27"/>
  <c r="L321" i="27"/>
  <c r="L318" i="27"/>
  <c r="L305" i="27"/>
  <c r="L302" i="27"/>
  <c r="L300" i="27"/>
  <c r="L296" i="27"/>
  <c r="L292" i="27"/>
  <c r="L289" i="27"/>
  <c r="L280" i="27"/>
  <c r="L272" i="27"/>
  <c r="L264" i="27"/>
  <c r="L256" i="27"/>
  <c r="L248" i="27"/>
  <c r="L240" i="27"/>
  <c r="L232" i="27"/>
  <c r="L224" i="27"/>
  <c r="L216" i="27"/>
  <c r="L208" i="27"/>
  <c r="L200" i="27"/>
  <c r="L316" i="27"/>
  <c r="L298" i="27"/>
  <c r="L246" i="27"/>
  <c r="L221" i="27"/>
  <c r="L215" i="27"/>
  <c r="L214" i="27"/>
  <c r="L194" i="27"/>
  <c r="L183" i="27"/>
  <c r="L175" i="27"/>
  <c r="L167" i="27"/>
  <c r="L159" i="27"/>
  <c r="L151" i="27"/>
  <c r="L143" i="27"/>
  <c r="L135" i="27"/>
  <c r="L127" i="27"/>
  <c r="L119" i="27"/>
  <c r="L294" i="27"/>
  <c r="L269" i="27"/>
  <c r="L265" i="27"/>
  <c r="L245" i="27"/>
  <c r="L233" i="27"/>
  <c r="L213" i="27"/>
  <c r="L199" i="27"/>
  <c r="L193" i="27"/>
  <c r="L192" i="27"/>
  <c r="L182" i="27"/>
  <c r="L174" i="27"/>
  <c r="L166" i="27"/>
  <c r="L158" i="27"/>
  <c r="L150" i="27"/>
  <c r="L142" i="27"/>
  <c r="L134" i="27"/>
  <c r="L126" i="27"/>
  <c r="L118" i="27"/>
  <c r="L110" i="27"/>
  <c r="L102" i="27"/>
  <c r="L94" i="27"/>
  <c r="L86" i="27"/>
  <c r="L78" i="27"/>
  <c r="L290" i="27"/>
  <c r="L225" i="27"/>
  <c r="L198" i="27"/>
  <c r="L191" i="27"/>
  <c r="L181" i="27"/>
  <c r="L173" i="27"/>
  <c r="L165" i="27"/>
  <c r="L157" i="27"/>
  <c r="L149" i="27"/>
  <c r="L141" i="27"/>
  <c r="L133" i="27"/>
  <c r="L125" i="27"/>
  <c r="L117" i="27"/>
  <c r="L261" i="27"/>
  <c r="L257" i="27"/>
  <c r="L241" i="27"/>
  <c r="L217" i="27"/>
  <c r="L202" i="27"/>
  <c r="L201" i="27"/>
  <c r="L197" i="27"/>
  <c r="L190" i="27"/>
  <c r="L180" i="27"/>
  <c r="L172" i="27"/>
  <c r="L164" i="27"/>
  <c r="L156" i="27"/>
  <c r="L148" i="27"/>
  <c r="L140" i="27"/>
  <c r="L132" i="27"/>
  <c r="L124" i="27"/>
  <c r="L116" i="27"/>
  <c r="L108" i="27"/>
  <c r="L100" i="27"/>
  <c r="L92" i="27"/>
  <c r="L84" i="27"/>
  <c r="L76" i="27"/>
  <c r="L332" i="27"/>
  <c r="L207" i="27"/>
  <c r="L189" i="27"/>
  <c r="L187" i="27"/>
  <c r="L179" i="27"/>
  <c r="L171" i="27"/>
  <c r="L163" i="27"/>
  <c r="L155" i="27"/>
  <c r="L147" i="27"/>
  <c r="L139" i="27"/>
  <c r="L131" i="27"/>
  <c r="L123" i="27"/>
  <c r="L115" i="27"/>
  <c r="L107" i="27"/>
  <c r="L99" i="27"/>
  <c r="L91" i="27"/>
  <c r="L83" i="27"/>
  <c r="L75" i="27"/>
  <c r="L301" i="27"/>
  <c r="L253" i="27"/>
  <c r="L249" i="27"/>
  <c r="L206" i="27"/>
  <c r="L186" i="27"/>
  <c r="L178" i="27"/>
  <c r="L170" i="27"/>
  <c r="L162" i="27"/>
  <c r="L154" i="27"/>
  <c r="L146" i="27"/>
  <c r="L138" i="27"/>
  <c r="L130" i="27"/>
  <c r="L122" i="27"/>
  <c r="L114" i="27"/>
  <c r="L106" i="27"/>
  <c r="L98" i="27"/>
  <c r="L90" i="27"/>
  <c r="L82" i="27"/>
  <c r="L74" i="27"/>
  <c r="L66" i="27"/>
  <c r="L370" i="27"/>
  <c r="L338" i="27"/>
  <c r="L293" i="27"/>
  <c r="L281" i="27"/>
  <c r="L273" i="27"/>
  <c r="L237" i="27"/>
  <c r="L229" i="27"/>
  <c r="L223" i="27"/>
  <c r="L222" i="27"/>
  <c r="L184" i="27"/>
  <c r="L176" i="27"/>
  <c r="L168" i="27"/>
  <c r="L160" i="27"/>
  <c r="L152" i="27"/>
  <c r="L144" i="27"/>
  <c r="L136" i="27"/>
  <c r="L128" i="27"/>
  <c r="L120" i="27"/>
  <c r="L112" i="27"/>
  <c r="L104" i="27"/>
  <c r="L96" i="27"/>
  <c r="L88" i="27"/>
  <c r="D643" i="27"/>
  <c r="F643" i="27" s="1"/>
  <c r="L32" i="27"/>
  <c r="K33" i="27"/>
  <c r="L40" i="27"/>
  <c r="K41" i="27"/>
  <c r="L48" i="27"/>
  <c r="K49" i="27"/>
  <c r="L56" i="27"/>
  <c r="K57" i="27"/>
  <c r="L68" i="27"/>
  <c r="K69" i="27"/>
  <c r="L93" i="27"/>
  <c r="K94" i="27"/>
  <c r="P95" i="27"/>
  <c r="K106" i="27"/>
  <c r="P127" i="27"/>
  <c r="L161" i="27"/>
  <c r="L169" i="27"/>
  <c r="K170" i="27"/>
  <c r="L297" i="27"/>
  <c r="G643" i="27"/>
  <c r="L33" i="27"/>
  <c r="K34" i="27"/>
  <c r="L41" i="27"/>
  <c r="K42" i="27"/>
  <c r="L49" i="27"/>
  <c r="K50" i="27"/>
  <c r="L57" i="27"/>
  <c r="K58" i="27"/>
  <c r="L69" i="27"/>
  <c r="K70" i="27"/>
  <c r="K71" i="27"/>
  <c r="K72" i="27"/>
  <c r="K73" i="27"/>
  <c r="K74" i="27"/>
  <c r="K81" i="27"/>
  <c r="K82" i="27"/>
  <c r="K88" i="27"/>
  <c r="P94" i="27"/>
  <c r="L105" i="27"/>
  <c r="L111" i="27"/>
  <c r="P148" i="27"/>
  <c r="P152" i="27"/>
  <c r="P174" i="27"/>
  <c r="K27" i="27"/>
  <c r="L34" i="27"/>
  <c r="K35" i="27"/>
  <c r="L42" i="27"/>
  <c r="K43" i="27"/>
  <c r="L50" i="27"/>
  <c r="K51" i="27"/>
  <c r="L58" i="27"/>
  <c r="K59" i="27"/>
  <c r="L70" i="27"/>
  <c r="L71" i="27"/>
  <c r="L72" i="27"/>
  <c r="L73" i="27"/>
  <c r="K80" i="27"/>
  <c r="L81" i="27"/>
  <c r="P82" i="27"/>
  <c r="L87" i="27"/>
  <c r="P88" i="27"/>
  <c r="L109" i="27"/>
  <c r="K110" i="27"/>
  <c r="P111" i="27"/>
  <c r="K122" i="27"/>
  <c r="P126" i="27"/>
  <c r="P143" i="27"/>
  <c r="L177" i="27"/>
  <c r="K178" i="27"/>
  <c r="K206" i="27"/>
  <c r="L210" i="27"/>
  <c r="P221" i="27"/>
  <c r="K36" i="27"/>
  <c r="K44" i="27"/>
  <c r="K52" i="27"/>
  <c r="K60" i="27"/>
  <c r="P70" i="27"/>
  <c r="P71" i="27"/>
  <c r="K86" i="27"/>
  <c r="K98" i="27"/>
  <c r="K104" i="27"/>
  <c r="P110" i="27"/>
  <c r="K114" i="27"/>
  <c r="P118" i="27"/>
  <c r="L129" i="27"/>
  <c r="K130" i="27"/>
  <c r="P134" i="27"/>
  <c r="P182" i="27"/>
  <c r="K250" i="27"/>
  <c r="K29" i="27"/>
  <c r="K37" i="27"/>
  <c r="L44" i="27"/>
  <c r="K45" i="27"/>
  <c r="L52" i="27"/>
  <c r="K53" i="27"/>
  <c r="L60" i="27"/>
  <c r="K61" i="27"/>
  <c r="L77" i="27"/>
  <c r="K78" i="27"/>
  <c r="P79" i="27"/>
  <c r="L97" i="27"/>
  <c r="P98" i="27"/>
  <c r="L103" i="27"/>
  <c r="L121" i="27"/>
  <c r="L137" i="27"/>
  <c r="K138" i="27"/>
  <c r="L185" i="27"/>
  <c r="K186" i="27"/>
  <c r="L205" i="27"/>
  <c r="L209" i="27"/>
  <c r="P212" i="27"/>
  <c r="P215" i="27"/>
  <c r="P224" i="27"/>
  <c r="P244" i="27"/>
  <c r="P228" i="27"/>
  <c r="P230" i="27"/>
  <c r="P231" i="27"/>
  <c r="P236" i="27"/>
  <c r="P238" i="27"/>
  <c r="P284" i="27"/>
  <c r="P288" i="27"/>
  <c r="P204" i="27"/>
  <c r="P208" i="27"/>
  <c r="P254" i="27"/>
  <c r="P266" i="27"/>
  <c r="P272" i="27"/>
  <c r="P276" i="27"/>
  <c r="P280" i="27"/>
  <c r="P292" i="27"/>
  <c r="P207" i="27"/>
  <c r="P287" i="27"/>
  <c r="P262" i="27"/>
  <c r="P196" i="27"/>
  <c r="P200" i="27"/>
  <c r="P286" i="27"/>
  <c r="P303" i="27"/>
  <c r="P192" i="27"/>
  <c r="P199" i="27"/>
  <c r="P270" i="27"/>
  <c r="P278" i="27"/>
  <c r="P307" i="27"/>
  <c r="P351" i="27"/>
  <c r="P385" i="27"/>
  <c r="P393" i="27"/>
  <c r="P401" i="27"/>
  <c r="P409" i="27"/>
  <c r="P417" i="27"/>
  <c r="P425" i="27"/>
  <c r="P433" i="27"/>
  <c r="P441" i="27"/>
  <c r="P449" i="27"/>
  <c r="P457" i="27"/>
  <c r="P465" i="27"/>
  <c r="P291" i="27"/>
  <c r="P295" i="27"/>
  <c r="P299" i="27"/>
  <c r="P333" i="27"/>
  <c r="P361" i="27"/>
  <c r="P343" i="27"/>
  <c r="P365" i="27"/>
  <c r="P383" i="27"/>
  <c r="P315" i="27"/>
  <c r="P331" i="27"/>
  <c r="P337" i="27"/>
  <c r="P349" i="27"/>
  <c r="P369" i="27"/>
  <c r="P313" i="27"/>
  <c r="P367" i="27"/>
  <c r="P381" i="27"/>
  <c r="P477" i="27"/>
  <c r="P483" i="27"/>
  <c r="P489" i="27"/>
  <c r="P501" i="27"/>
  <c r="P505" i="27"/>
  <c r="P519" i="27"/>
  <c r="P531" i="27"/>
  <c r="P539" i="27"/>
  <c r="P547" i="27"/>
  <c r="P555" i="27"/>
  <c r="P563" i="27"/>
  <c r="P571" i="27"/>
  <c r="P579" i="27"/>
  <c r="P587" i="27"/>
  <c r="P595" i="27"/>
  <c r="P613" i="27"/>
  <c r="P617" i="27"/>
  <c r="P527" i="27"/>
  <c r="P535" i="27"/>
  <c r="P543" i="27"/>
  <c r="P551" i="27"/>
  <c r="P559" i="27"/>
  <c r="P567" i="27"/>
  <c r="P575" i="27"/>
  <c r="P583" i="27"/>
  <c r="P591" i="27"/>
  <c r="P603" i="27"/>
  <c r="P625" i="27"/>
  <c r="P473" i="27"/>
  <c r="P475" i="27"/>
  <c r="P487" i="27"/>
  <c r="P499" i="27"/>
  <c r="P554" i="27"/>
  <c r="P562" i="27"/>
  <c r="P570" i="27"/>
  <c r="P578" i="27"/>
  <c r="P586" i="27"/>
  <c r="P594" i="27"/>
  <c r="P629" i="27"/>
  <c r="P633" i="27"/>
  <c r="P513" i="27"/>
  <c r="P607" i="27"/>
  <c r="P619" i="27"/>
  <c r="P503" i="27"/>
  <c r="P517" i="27"/>
  <c r="P521" i="27"/>
  <c r="P610" i="27"/>
  <c r="P615" i="27"/>
  <c r="P627" i="27"/>
  <c r="H643" i="27"/>
  <c r="P485" i="27"/>
  <c r="P533" i="27"/>
  <c r="P541" i="27"/>
  <c r="P549" i="27"/>
  <c r="P557" i="27"/>
  <c r="P601" i="27"/>
  <c r="P626" i="27"/>
  <c r="F9" i="26"/>
  <c r="F8" i="26"/>
  <c r="G8" i="26"/>
  <c r="N6" i="25"/>
  <c r="O6" i="25" s="1"/>
  <c r="P25" i="25"/>
  <c r="O21" i="25"/>
  <c r="E46" i="25"/>
  <c r="R39" i="24" s="1"/>
  <c r="H26" i="2" s="1"/>
  <c r="O11" i="25"/>
  <c r="J7" i="25"/>
  <c r="M7" i="25" s="1"/>
  <c r="P7" i="25" s="1"/>
  <c r="J8" i="25"/>
  <c r="M8" i="25" s="1"/>
  <c r="P8" i="25" s="1"/>
  <c r="D42" i="25" s="1"/>
  <c r="Q35" i="24" s="1"/>
  <c r="J9" i="25"/>
  <c r="M9" i="25" s="1"/>
  <c r="P9" i="25" s="1"/>
  <c r="E35" i="25"/>
  <c r="R17" i="24" s="1"/>
  <c r="R26" i="24" s="1"/>
  <c r="D39" i="25"/>
  <c r="Q21" i="24" s="1"/>
  <c r="Q30" i="24" s="1"/>
  <c r="K21" i="25"/>
  <c r="S25" i="24"/>
  <c r="N6" i="27" s="1"/>
  <c r="O6" i="27" s="1"/>
  <c r="S42" i="24"/>
  <c r="S37" i="24"/>
  <c r="K42" i="19"/>
  <c r="P5" i="19"/>
  <c r="P9" i="19"/>
  <c r="P13" i="19"/>
  <c r="P17" i="19"/>
  <c r="P21" i="19"/>
  <c r="P25" i="19"/>
  <c r="P29" i="19"/>
  <c r="P33" i="19"/>
  <c r="P37" i="19"/>
  <c r="M40" i="19"/>
  <c r="P40" i="19" s="1"/>
  <c r="D55" i="19" s="1"/>
  <c r="Q34" i="29" s="1"/>
  <c r="Q43" i="29" s="1"/>
  <c r="O12" i="19"/>
  <c r="O16" i="19"/>
  <c r="O20" i="19"/>
  <c r="O24" i="19"/>
  <c r="O28" i="19"/>
  <c r="O32" i="19"/>
  <c r="O36" i="19"/>
  <c r="O6" i="19"/>
  <c r="O17" i="19"/>
  <c r="O21" i="19"/>
  <c r="O29" i="19"/>
  <c r="O33" i="19"/>
  <c r="O38" i="19"/>
  <c r="P28" i="19"/>
  <c r="P32" i="19"/>
  <c r="P36" i="19"/>
  <c r="O10" i="19"/>
  <c r="O13" i="19"/>
  <c r="O25" i="19"/>
  <c r="O37" i="19"/>
  <c r="O11" i="19"/>
  <c r="O15" i="19"/>
  <c r="O19" i="19"/>
  <c r="O23" i="19"/>
  <c r="O27" i="19"/>
  <c r="O31" i="19"/>
  <c r="O35" i="19"/>
  <c r="M43" i="19"/>
  <c r="P43" i="19" s="1"/>
  <c r="E57" i="19" s="1"/>
  <c r="R36" i="29" s="1"/>
  <c r="E50" i="19"/>
  <c r="R18" i="29" s="1"/>
  <c r="D48" i="19"/>
  <c r="Q16" i="29" s="1"/>
  <c r="P42" i="15"/>
  <c r="P66" i="15"/>
  <c r="P35" i="15"/>
  <c r="M37" i="15"/>
  <c r="P37" i="15" s="1"/>
  <c r="L37" i="15"/>
  <c r="P39" i="15"/>
  <c r="K55" i="15"/>
  <c r="L56" i="15"/>
  <c r="L59" i="15"/>
  <c r="P60" i="15"/>
  <c r="M69" i="15"/>
  <c r="P69" i="15" s="1"/>
  <c r="L69" i="15"/>
  <c r="K69" i="15"/>
  <c r="L79" i="15"/>
  <c r="P80" i="15"/>
  <c r="M120" i="15"/>
  <c r="P120" i="15" s="1"/>
  <c r="L120" i="15"/>
  <c r="K120" i="15"/>
  <c r="M136" i="15"/>
  <c r="P136" i="15" s="1"/>
  <c r="L136" i="15"/>
  <c r="K136" i="15"/>
  <c r="L161" i="15"/>
  <c r="K161" i="15"/>
  <c r="M161" i="15"/>
  <c r="P161" i="15" s="1"/>
  <c r="M172" i="15"/>
  <c r="P172" i="15" s="1"/>
  <c r="L172" i="15"/>
  <c r="K172" i="15"/>
  <c r="M182" i="15"/>
  <c r="P182" i="15" s="1"/>
  <c r="L182" i="15"/>
  <c r="K182" i="15"/>
  <c r="L193" i="15"/>
  <c r="K193" i="15"/>
  <c r="M193" i="15"/>
  <c r="P193" i="15" s="1"/>
  <c r="M204" i="15"/>
  <c r="P204" i="15" s="1"/>
  <c r="L204" i="15"/>
  <c r="K204" i="15"/>
  <c r="M41" i="15"/>
  <c r="P41" i="15" s="1"/>
  <c r="L41" i="15"/>
  <c r="G643" i="15"/>
  <c r="I643" i="15" s="1"/>
  <c r="K51" i="15"/>
  <c r="L52" i="15"/>
  <c r="L55" i="15"/>
  <c r="M65" i="15"/>
  <c r="P65" i="15" s="1"/>
  <c r="L65" i="15"/>
  <c r="P67" i="15"/>
  <c r="L76" i="15"/>
  <c r="P83" i="15"/>
  <c r="P92" i="15"/>
  <c r="P100" i="15"/>
  <c r="L108" i="15"/>
  <c r="P117" i="15"/>
  <c r="L124" i="15"/>
  <c r="P133" i="15"/>
  <c r="L140" i="15"/>
  <c r="L229" i="15"/>
  <c r="K229" i="15"/>
  <c r="M229" i="15"/>
  <c r="P229" i="15" s="1"/>
  <c r="K27" i="15"/>
  <c r="L28" i="15"/>
  <c r="L30" i="15"/>
  <c r="K47" i="15"/>
  <c r="L48" i="15"/>
  <c r="L51" i="15"/>
  <c r="P52" i="15"/>
  <c r="M61" i="15"/>
  <c r="P61" i="15" s="1"/>
  <c r="L61" i="15"/>
  <c r="P63" i="15"/>
  <c r="L75" i="15"/>
  <c r="P76" i="15"/>
  <c r="M81" i="15"/>
  <c r="P81" i="15" s="1"/>
  <c r="L81" i="15"/>
  <c r="K81" i="15"/>
  <c r="L91" i="15"/>
  <c r="L99" i="15"/>
  <c r="L110" i="15"/>
  <c r="L126" i="15"/>
  <c r="L142" i="15"/>
  <c r="L213" i="15"/>
  <c r="K213" i="15"/>
  <c r="M213" i="15"/>
  <c r="P213" i="15" s="1"/>
  <c r="L356" i="15"/>
  <c r="M33" i="15"/>
  <c r="P33" i="15" s="1"/>
  <c r="L33" i="15"/>
  <c r="L27" i="15"/>
  <c r="K31" i="15"/>
  <c r="L32" i="15"/>
  <c r="K33" i="15"/>
  <c r="L34" i="15"/>
  <c r="K41" i="15"/>
  <c r="K43" i="15"/>
  <c r="L44" i="15"/>
  <c r="L47" i="15"/>
  <c r="M57" i="15"/>
  <c r="P57" i="15" s="1"/>
  <c r="L57" i="15"/>
  <c r="L72" i="15"/>
  <c r="L88" i="15"/>
  <c r="L112" i="15"/>
  <c r="L119" i="15"/>
  <c r="M119" i="15"/>
  <c r="P119" i="15" s="1"/>
  <c r="K119" i="15"/>
  <c r="L128" i="15"/>
  <c r="L135" i="15"/>
  <c r="M135" i="15"/>
  <c r="P135" i="15" s="1"/>
  <c r="K135" i="15"/>
  <c r="L144" i="15"/>
  <c r="P152" i="15"/>
  <c r="L166" i="15"/>
  <c r="P174" i="15"/>
  <c r="L198" i="15"/>
  <c r="P206" i="15"/>
  <c r="L31" i="15"/>
  <c r="L36" i="15"/>
  <c r="L40" i="15"/>
  <c r="L43" i="15"/>
  <c r="P44" i="15"/>
  <c r="M53" i="15"/>
  <c r="P53" i="15" s="1"/>
  <c r="L53" i="15"/>
  <c r="P55" i="15"/>
  <c r="L71" i="15"/>
  <c r="P72" i="15"/>
  <c r="M77" i="15"/>
  <c r="P77" i="15" s="1"/>
  <c r="L77" i="15"/>
  <c r="K77" i="15"/>
  <c r="P88" i="15"/>
  <c r="P116" i="15"/>
  <c r="P132" i="15"/>
  <c r="P148" i="15"/>
  <c r="L235" i="15"/>
  <c r="L637" i="15"/>
  <c r="L633" i="15"/>
  <c r="L629" i="15"/>
  <c r="L625" i="15"/>
  <c r="L621" i="15"/>
  <c r="L617" i="15"/>
  <c r="L613" i="15"/>
  <c r="L609" i="15"/>
  <c r="L605" i="15"/>
  <c r="L601" i="15"/>
  <c r="L597" i="15"/>
  <c r="H643" i="15"/>
  <c r="L634" i="15"/>
  <c r="L602" i="15"/>
  <c r="L586" i="15"/>
  <c r="L585" i="15"/>
  <c r="L573" i="15"/>
  <c r="L525" i="15"/>
  <c r="L521" i="15"/>
  <c r="L517" i="15"/>
  <c r="L513" i="15"/>
  <c r="L509" i="15"/>
  <c r="L505" i="15"/>
  <c r="L501" i="15"/>
  <c r="L497" i="15"/>
  <c r="L493" i="15"/>
  <c r="L489" i="15"/>
  <c r="L485" i="15"/>
  <c r="L481" i="15"/>
  <c r="L477" i="15"/>
  <c r="L473" i="15"/>
  <c r="L469" i="15"/>
  <c r="L465" i="15"/>
  <c r="L622" i="15"/>
  <c r="L610" i="15"/>
  <c r="L578" i="15"/>
  <c r="L577" i="15"/>
  <c r="L630" i="15"/>
  <c r="L598" i="15"/>
  <c r="L590" i="15"/>
  <c r="L589" i="15"/>
  <c r="L618" i="15"/>
  <c r="L606" i="15"/>
  <c r="L582" i="15"/>
  <c r="L581" i="15"/>
  <c r="L626" i="15"/>
  <c r="L549" i="15"/>
  <c r="L494" i="15"/>
  <c r="L446" i="15"/>
  <c r="L441" i="15"/>
  <c r="L435" i="15"/>
  <c r="L430" i="15"/>
  <c r="L426" i="15"/>
  <c r="L537" i="15"/>
  <c r="L518" i="15"/>
  <c r="L474" i="15"/>
  <c r="L457" i="15"/>
  <c r="L455" i="15"/>
  <c r="L594" i="15"/>
  <c r="L593" i="15"/>
  <c r="L569" i="15"/>
  <c r="L557" i="15"/>
  <c r="L506" i="15"/>
  <c r="L486" i="15"/>
  <c r="L454" i="15"/>
  <c r="L434" i="15"/>
  <c r="L570" i="15"/>
  <c r="L545" i="15"/>
  <c r="L526" i="15"/>
  <c r="L498" i="15"/>
  <c r="L466" i="15"/>
  <c r="L565" i="15"/>
  <c r="L533" i="15"/>
  <c r="L514" i="15"/>
  <c r="L478" i="15"/>
  <c r="L463" i="15"/>
  <c r="L462" i="15"/>
  <c r="L453" i="15"/>
  <c r="L451" i="15"/>
  <c r="L444" i="15"/>
  <c r="L443" i="15"/>
  <c r="L438" i="15"/>
  <c r="L433" i="15"/>
  <c r="L566" i="15"/>
  <c r="L553" i="15"/>
  <c r="L490" i="15"/>
  <c r="L450" i="15"/>
  <c r="L614" i="15"/>
  <c r="L541" i="15"/>
  <c r="L522" i="15"/>
  <c r="L502" i="15"/>
  <c r="L470" i="15"/>
  <c r="L442" i="15"/>
  <c r="L432" i="15"/>
  <c r="L510" i="15"/>
  <c r="L428" i="15"/>
  <c r="L420" i="15"/>
  <c r="L418" i="15"/>
  <c r="L561" i="15"/>
  <c r="L482" i="15"/>
  <c r="L449" i="15"/>
  <c r="L458" i="15"/>
  <c r="L424" i="15"/>
  <c r="L422" i="15"/>
  <c r="L529" i="15"/>
  <c r="L412" i="15"/>
  <c r="L408" i="15"/>
  <c r="L404" i="15"/>
  <c r="L400" i="15"/>
  <c r="L396" i="15"/>
  <c r="L392" i="15"/>
  <c r="L388" i="15"/>
  <c r="L384" i="15"/>
  <c r="L380" i="15"/>
  <c r="L369" i="15"/>
  <c r="L365" i="15"/>
  <c r="L361" i="15"/>
  <c r="L357" i="15"/>
  <c r="L353" i="15"/>
  <c r="L349" i="15"/>
  <c r="L345" i="15"/>
  <c r="L341" i="15"/>
  <c r="L337" i="15"/>
  <c r="L447" i="15"/>
  <c r="L352" i="15"/>
  <c r="L335" i="15"/>
  <c r="L327" i="15"/>
  <c r="L325" i="15"/>
  <c r="L320" i="15"/>
  <c r="L303" i="15"/>
  <c r="L294" i="15"/>
  <c r="L290" i="15"/>
  <c r="L286" i="15"/>
  <c r="L282" i="15"/>
  <c r="L278" i="15"/>
  <c r="L274" i="15"/>
  <c r="L270" i="15"/>
  <c r="L266" i="15"/>
  <c r="L262" i="15"/>
  <c r="L258" i="15"/>
  <c r="L254" i="15"/>
  <c r="L250" i="15"/>
  <c r="L246" i="15"/>
  <c r="L242" i="15"/>
  <c r="L238" i="15"/>
  <c r="L234" i="15"/>
  <c r="L230" i="15"/>
  <c r="L226" i="15"/>
  <c r="L222" i="15"/>
  <c r="L218" i="15"/>
  <c r="L214" i="15"/>
  <c r="L348" i="15"/>
  <c r="L323" i="15"/>
  <c r="L321" i="15"/>
  <c r="L316" i="15"/>
  <c r="L300" i="15"/>
  <c r="L344" i="15"/>
  <c r="L319" i="15"/>
  <c r="L317" i="15"/>
  <c r="L312" i="15"/>
  <c r="L301" i="15"/>
  <c r="L315" i="15"/>
  <c r="L308" i="15"/>
  <c r="L299" i="15"/>
  <c r="L376" i="15"/>
  <c r="L368" i="15"/>
  <c r="L340" i="15"/>
  <c r="L311" i="15"/>
  <c r="L364" i="15"/>
  <c r="L332" i="15"/>
  <c r="L307" i="15"/>
  <c r="L360" i="15"/>
  <c r="L336" i="15"/>
  <c r="L333" i="15"/>
  <c r="L328" i="15"/>
  <c r="L190" i="15"/>
  <c r="L158" i="15"/>
  <c r="L324" i="15"/>
  <c r="L305" i="15"/>
  <c r="L202" i="15"/>
  <c r="L170" i="15"/>
  <c r="L138" i="15"/>
  <c r="L122" i="15"/>
  <c r="L106" i="15"/>
  <c r="L102" i="15"/>
  <c r="L98" i="15"/>
  <c r="L94" i="15"/>
  <c r="L90" i="15"/>
  <c r="L86" i="15"/>
  <c r="L82" i="15"/>
  <c r="L78" i="15"/>
  <c r="L74" i="15"/>
  <c r="L70" i="15"/>
  <c r="L66" i="15"/>
  <c r="L62" i="15"/>
  <c r="L58" i="15"/>
  <c r="L54" i="15"/>
  <c r="L50" i="15"/>
  <c r="L46" i="15"/>
  <c r="L42" i="15"/>
  <c r="L38" i="15"/>
  <c r="L329" i="15"/>
  <c r="L206" i="15"/>
  <c r="L174" i="15"/>
  <c r="L152" i="15"/>
  <c r="L148" i="15"/>
  <c r="L132" i="15"/>
  <c r="L116" i="15"/>
  <c r="L331" i="15"/>
  <c r="L186" i="15"/>
  <c r="L154" i="15"/>
  <c r="L150" i="15"/>
  <c r="L146" i="15"/>
  <c r="L130" i="15"/>
  <c r="L114" i="15"/>
  <c r="L104" i="15"/>
  <c r="L100" i="15"/>
  <c r="L96" i="15"/>
  <c r="L92" i="15"/>
  <c r="L35" i="15"/>
  <c r="L39" i="15"/>
  <c r="M49" i="15"/>
  <c r="P49" i="15" s="1"/>
  <c r="L49" i="15"/>
  <c r="L68" i="15"/>
  <c r="L84" i="15"/>
  <c r="L103" i="15"/>
  <c r="L178" i="15"/>
  <c r="L183" i="15"/>
  <c r="L210" i="15"/>
  <c r="L219" i="15"/>
  <c r="P27" i="15"/>
  <c r="M29" i="15"/>
  <c r="P29" i="15" s="1"/>
  <c r="L29" i="15"/>
  <c r="M45" i="15"/>
  <c r="P45" i="15" s="1"/>
  <c r="L45" i="15"/>
  <c r="P47" i="15"/>
  <c r="L64" i="15"/>
  <c r="L67" i="15"/>
  <c r="P68" i="15"/>
  <c r="M73" i="15"/>
  <c r="P73" i="15" s="1"/>
  <c r="L73" i="15"/>
  <c r="K73" i="15"/>
  <c r="L83" i="15"/>
  <c r="P84" i="15"/>
  <c r="L95" i="15"/>
  <c r="K636" i="15"/>
  <c r="K632" i="15"/>
  <c r="K628" i="15"/>
  <c r="K624" i="15"/>
  <c r="K620" i="15"/>
  <c r="K616" i="15"/>
  <c r="K612" i="15"/>
  <c r="K608" i="15"/>
  <c r="K604" i="15"/>
  <c r="K600" i="15"/>
  <c r="K596" i="15"/>
  <c r="K592" i="15"/>
  <c r="K588" i="15"/>
  <c r="K584" i="15"/>
  <c r="K580" i="15"/>
  <c r="K576" i="15"/>
  <c r="K633" i="15"/>
  <c r="K601" i="15"/>
  <c r="K569" i="15"/>
  <c r="K564" i="15"/>
  <c r="E643" i="15"/>
  <c r="K621" i="15"/>
  <c r="K585" i="15"/>
  <c r="K573" i="15"/>
  <c r="K568" i="15"/>
  <c r="K525" i="15"/>
  <c r="K521" i="15"/>
  <c r="K517" i="15"/>
  <c r="K513" i="15"/>
  <c r="K509" i="15"/>
  <c r="K505" i="15"/>
  <c r="K609" i="15"/>
  <c r="K572" i="15"/>
  <c r="K629" i="15"/>
  <c r="K597" i="15"/>
  <c r="K577" i="15"/>
  <c r="K617" i="15"/>
  <c r="K589" i="15"/>
  <c r="K637" i="15"/>
  <c r="K605" i="15"/>
  <c r="K625" i="15"/>
  <c r="K562" i="15"/>
  <c r="K561" i="15"/>
  <c r="K530" i="15"/>
  <c r="K529" i="15"/>
  <c r="K510" i="15"/>
  <c r="K482" i="15"/>
  <c r="K481" i="15"/>
  <c r="K458" i="15"/>
  <c r="K550" i="15"/>
  <c r="K549" i="15"/>
  <c r="K494" i="15"/>
  <c r="K493" i="15"/>
  <c r="K446" i="15"/>
  <c r="K441" i="15"/>
  <c r="K435" i="15"/>
  <c r="K430" i="15"/>
  <c r="K426" i="15"/>
  <c r="K422" i="15"/>
  <c r="K418" i="15"/>
  <c r="K538" i="15"/>
  <c r="K537" i="15"/>
  <c r="K518" i="15"/>
  <c r="K474" i="15"/>
  <c r="K473" i="15"/>
  <c r="K593" i="15"/>
  <c r="K558" i="15"/>
  <c r="K557" i="15"/>
  <c r="K506" i="15"/>
  <c r="K486" i="15"/>
  <c r="K485" i="15"/>
  <c r="K454" i="15"/>
  <c r="K434" i="15"/>
  <c r="K546" i="15"/>
  <c r="K545" i="15"/>
  <c r="K526" i="15"/>
  <c r="K498" i="15"/>
  <c r="K497" i="15"/>
  <c r="K466" i="15"/>
  <c r="K565" i="15"/>
  <c r="K534" i="15"/>
  <c r="K533" i="15"/>
  <c r="K514" i="15"/>
  <c r="K478" i="15"/>
  <c r="K477" i="15"/>
  <c r="K465" i="15"/>
  <c r="K462" i="15"/>
  <c r="K438" i="15"/>
  <c r="K613" i="15"/>
  <c r="K581" i="15"/>
  <c r="K554" i="15"/>
  <c r="K553" i="15"/>
  <c r="K490" i="15"/>
  <c r="K489" i="15"/>
  <c r="K450" i="15"/>
  <c r="K427" i="15"/>
  <c r="K419" i="15"/>
  <c r="K376" i="15"/>
  <c r="K375" i="15"/>
  <c r="K368" i="15"/>
  <c r="K364" i="15"/>
  <c r="K360" i="15"/>
  <c r="K356" i="15"/>
  <c r="K352" i="15"/>
  <c r="K348" i="15"/>
  <c r="K372" i="15"/>
  <c r="K371" i="15"/>
  <c r="K367" i="15"/>
  <c r="K363" i="15"/>
  <c r="K359" i="15"/>
  <c r="K355" i="15"/>
  <c r="K351" i="15"/>
  <c r="K347" i="15"/>
  <c r="K343" i="15"/>
  <c r="K339" i="15"/>
  <c r="K335" i="15"/>
  <c r="K541" i="15"/>
  <c r="K502" i="15"/>
  <c r="K501" i="15"/>
  <c r="K459" i="15"/>
  <c r="K423" i="15"/>
  <c r="K542" i="15"/>
  <c r="K470" i="15"/>
  <c r="K469" i="15"/>
  <c r="K442" i="15"/>
  <c r="K431" i="15"/>
  <c r="K461" i="15"/>
  <c r="K437" i="15"/>
  <c r="K415" i="15"/>
  <c r="K411" i="15"/>
  <c r="K407" i="15"/>
  <c r="K403" i="15"/>
  <c r="K399" i="15"/>
  <c r="K395" i="15"/>
  <c r="K391" i="15"/>
  <c r="K387" i="15"/>
  <c r="K383" i="15"/>
  <c r="K379" i="15"/>
  <c r="K386" i="15"/>
  <c r="K331" i="15"/>
  <c r="K324" i="15"/>
  <c r="K410" i="15"/>
  <c r="K390" i="15"/>
  <c r="K327" i="15"/>
  <c r="K320" i="15"/>
  <c r="K303" i="15"/>
  <c r="K294" i="15"/>
  <c r="K290" i="15"/>
  <c r="K286" i="15"/>
  <c r="K282" i="15"/>
  <c r="K278" i="15"/>
  <c r="K274" i="15"/>
  <c r="K270" i="15"/>
  <c r="K266" i="15"/>
  <c r="K262" i="15"/>
  <c r="K258" i="15"/>
  <c r="K254" i="15"/>
  <c r="K250" i="15"/>
  <c r="K246" i="15"/>
  <c r="K242" i="15"/>
  <c r="K414" i="15"/>
  <c r="K394" i="15"/>
  <c r="K323" i="15"/>
  <c r="K316" i="15"/>
  <c r="K302" i="15"/>
  <c r="K300" i="15"/>
  <c r="K522" i="15"/>
  <c r="K398" i="15"/>
  <c r="K344" i="15"/>
  <c r="K319" i="15"/>
  <c r="K312" i="15"/>
  <c r="K315" i="15"/>
  <c r="K308" i="15"/>
  <c r="K299" i="15"/>
  <c r="K402" i="15"/>
  <c r="K340" i="15"/>
  <c r="K311" i="15"/>
  <c r="K377" i="15"/>
  <c r="K332" i="15"/>
  <c r="K307" i="15"/>
  <c r="K28" i="15"/>
  <c r="K32" i="15"/>
  <c r="K36" i="15"/>
  <c r="K40" i="15"/>
  <c r="K44" i="15"/>
  <c r="K48" i="15"/>
  <c r="K52" i="15"/>
  <c r="K56" i="15"/>
  <c r="K60" i="15"/>
  <c r="K64" i="15"/>
  <c r="K68" i="15"/>
  <c r="K72" i="15"/>
  <c r="K76" i="15"/>
  <c r="K80" i="15"/>
  <c r="K84" i="15"/>
  <c r="K88" i="15"/>
  <c r="K92" i="15"/>
  <c r="K96" i="15"/>
  <c r="K100" i="15"/>
  <c r="K104" i="15"/>
  <c r="K113" i="15"/>
  <c r="K114" i="15"/>
  <c r="L121" i="15"/>
  <c r="K129" i="15"/>
  <c r="K130" i="15"/>
  <c r="L137" i="15"/>
  <c r="K145" i="15"/>
  <c r="K146" i="15"/>
  <c r="K150" i="15"/>
  <c r="K154" i="15"/>
  <c r="K155" i="15"/>
  <c r="M160" i="15"/>
  <c r="P160" i="15" s="1"/>
  <c r="L160" i="15"/>
  <c r="P165" i="15"/>
  <c r="P167" i="15"/>
  <c r="L171" i="15"/>
  <c r="K176" i="15"/>
  <c r="L181" i="15"/>
  <c r="K181" i="15"/>
  <c r="K186" i="15"/>
  <c r="K187" i="15"/>
  <c r="M192" i="15"/>
  <c r="P192" i="15" s="1"/>
  <c r="L192" i="15"/>
  <c r="P197" i="15"/>
  <c r="P199" i="15"/>
  <c r="L203" i="15"/>
  <c r="K208" i="15"/>
  <c r="M224" i="15"/>
  <c r="P224" i="15" s="1"/>
  <c r="L224" i="15"/>
  <c r="K224" i="15"/>
  <c r="K226" i="15"/>
  <c r="P227" i="15"/>
  <c r="M240" i="15"/>
  <c r="P240" i="15" s="1"/>
  <c r="L240" i="15"/>
  <c r="K240" i="15"/>
  <c r="P242" i="15"/>
  <c r="P246" i="15"/>
  <c r="P250" i="15"/>
  <c r="P254" i="15"/>
  <c r="P258" i="15"/>
  <c r="P262" i="15"/>
  <c r="P266" i="15"/>
  <c r="P270" i="15"/>
  <c r="P274" i="15"/>
  <c r="P278" i="15"/>
  <c r="P282" i="15"/>
  <c r="P286" i="15"/>
  <c r="P290" i="15"/>
  <c r="P294" i="15"/>
  <c r="P326" i="15"/>
  <c r="P350" i="15"/>
  <c r="K378" i="15"/>
  <c r="K382" i="15"/>
  <c r="L107" i="15"/>
  <c r="P113" i="15"/>
  <c r="K115" i="15"/>
  <c r="K116" i="15"/>
  <c r="L123" i="15"/>
  <c r="P129" i="15"/>
  <c r="K131" i="15"/>
  <c r="K132" i="15"/>
  <c r="L139" i="15"/>
  <c r="P145" i="15"/>
  <c r="K147" i="15"/>
  <c r="K148" i="15"/>
  <c r="P149" i="15"/>
  <c r="K151" i="15"/>
  <c r="K152" i="15"/>
  <c r="P153" i="15"/>
  <c r="P155" i="15"/>
  <c r="L159" i="15"/>
  <c r="K164" i="15"/>
  <c r="L169" i="15"/>
  <c r="K169" i="15"/>
  <c r="K174" i="15"/>
  <c r="K175" i="15"/>
  <c r="M180" i="15"/>
  <c r="P180" i="15" s="1"/>
  <c r="L180" i="15"/>
  <c r="P185" i="15"/>
  <c r="P187" i="15"/>
  <c r="L191" i="15"/>
  <c r="K196" i="15"/>
  <c r="L201" i="15"/>
  <c r="K201" i="15"/>
  <c r="K206" i="15"/>
  <c r="K207" i="15"/>
  <c r="M212" i="15"/>
  <c r="P212" i="15" s="1"/>
  <c r="L212" i="15"/>
  <c r="K212" i="15"/>
  <c r="K215" i="15"/>
  <c r="L217" i="15"/>
  <c r="K217" i="15"/>
  <c r="L223" i="15"/>
  <c r="P226" i="15"/>
  <c r="K231" i="15"/>
  <c r="L233" i="15"/>
  <c r="K233" i="15"/>
  <c r="L239" i="15"/>
  <c r="P303" i="15"/>
  <c r="L318" i="15"/>
  <c r="K318" i="15"/>
  <c r="M318" i="15"/>
  <c r="P318" i="15" s="1"/>
  <c r="K336" i="15"/>
  <c r="K85" i="15"/>
  <c r="K89" i="15"/>
  <c r="K93" i="15"/>
  <c r="K97" i="15"/>
  <c r="K101" i="15"/>
  <c r="K105" i="15"/>
  <c r="L109" i="15"/>
  <c r="P115" i="15"/>
  <c r="K117" i="15"/>
  <c r="K118" i="15"/>
  <c r="L125" i="15"/>
  <c r="P131" i="15"/>
  <c r="K133" i="15"/>
  <c r="K134" i="15"/>
  <c r="L141" i="15"/>
  <c r="P147" i="15"/>
  <c r="P151" i="15"/>
  <c r="P154" i="15"/>
  <c r="L157" i="15"/>
  <c r="K157" i="15"/>
  <c r="K162" i="15"/>
  <c r="K163" i="15"/>
  <c r="M168" i="15"/>
  <c r="P168" i="15" s="1"/>
  <c r="L168" i="15"/>
  <c r="P175" i="15"/>
  <c r="L179" i="15"/>
  <c r="P186" i="15"/>
  <c r="L189" i="15"/>
  <c r="K189" i="15"/>
  <c r="K194" i="15"/>
  <c r="K195" i="15"/>
  <c r="M200" i="15"/>
  <c r="P200" i="15" s="1"/>
  <c r="L200" i="15"/>
  <c r="P207" i="15"/>
  <c r="L211" i="15"/>
  <c r="K214" i="15"/>
  <c r="P215" i="15"/>
  <c r="M228" i="15"/>
  <c r="P228" i="15" s="1"/>
  <c r="L228" i="15"/>
  <c r="K228" i="15"/>
  <c r="K230" i="15"/>
  <c r="P231" i="15"/>
  <c r="L243" i="15"/>
  <c r="L247" i="15"/>
  <c r="L251" i="15"/>
  <c r="L255" i="15"/>
  <c r="L259" i="15"/>
  <c r="L263" i="15"/>
  <c r="L267" i="15"/>
  <c r="L271" i="15"/>
  <c r="L275" i="15"/>
  <c r="L279" i="15"/>
  <c r="L283" i="15"/>
  <c r="L287" i="15"/>
  <c r="L291" i="15"/>
  <c r="L295" i="15"/>
  <c r="L309" i="15"/>
  <c r="L85" i="15"/>
  <c r="L89" i="15"/>
  <c r="L93" i="15"/>
  <c r="L97" i="15"/>
  <c r="L101" i="15"/>
  <c r="L105" i="15"/>
  <c r="L111" i="15"/>
  <c r="L118" i="15"/>
  <c r="L127" i="15"/>
  <c r="L134" i="15"/>
  <c r="L143" i="15"/>
  <c r="M156" i="15"/>
  <c r="P156" i="15" s="1"/>
  <c r="L156" i="15"/>
  <c r="L162" i="15"/>
  <c r="L167" i="15"/>
  <c r="L177" i="15"/>
  <c r="K177" i="15"/>
  <c r="K183" i="15"/>
  <c r="M188" i="15"/>
  <c r="P188" i="15" s="1"/>
  <c r="L188" i="15"/>
  <c r="L194" i="15"/>
  <c r="L199" i="15"/>
  <c r="L209" i="15"/>
  <c r="K209" i="15"/>
  <c r="K219" i="15"/>
  <c r="L221" i="15"/>
  <c r="K221" i="15"/>
  <c r="L227" i="15"/>
  <c r="K235" i="15"/>
  <c r="L237" i="15"/>
  <c r="K237" i="15"/>
  <c r="K306" i="15"/>
  <c r="M313" i="15"/>
  <c r="P313" i="15" s="1"/>
  <c r="K313" i="15"/>
  <c r="L313" i="15"/>
  <c r="L367" i="15"/>
  <c r="K406" i="15"/>
  <c r="D643" i="15"/>
  <c r="F643" i="15" s="1"/>
  <c r="L113" i="15"/>
  <c r="K121" i="15"/>
  <c r="L129" i="15"/>
  <c r="K137" i="15"/>
  <c r="L145" i="15"/>
  <c r="L155" i="15"/>
  <c r="K160" i="15"/>
  <c r="L165" i="15"/>
  <c r="K165" i="15"/>
  <c r="K171" i="15"/>
  <c r="M176" i="15"/>
  <c r="P176" i="15" s="1"/>
  <c r="L176" i="15"/>
  <c r="M181" i="15"/>
  <c r="P181" i="15" s="1"/>
  <c r="P183" i="15"/>
  <c r="L187" i="15"/>
  <c r="K192" i="15"/>
  <c r="L197" i="15"/>
  <c r="K197" i="15"/>
  <c r="K203" i="15"/>
  <c r="M208" i="15"/>
  <c r="P208" i="15" s="1"/>
  <c r="L208" i="15"/>
  <c r="M216" i="15"/>
  <c r="P216" i="15" s="1"/>
  <c r="L216" i="15"/>
  <c r="K216" i="15"/>
  <c r="K218" i="15"/>
  <c r="P219" i="15"/>
  <c r="M232" i="15"/>
  <c r="P232" i="15" s="1"/>
  <c r="L232" i="15"/>
  <c r="K232" i="15"/>
  <c r="K234" i="15"/>
  <c r="P235" i="15"/>
  <c r="K107" i="15"/>
  <c r="K108" i="15"/>
  <c r="L115" i="15"/>
  <c r="P121" i="15"/>
  <c r="K123" i="15"/>
  <c r="K124" i="15"/>
  <c r="L131" i="15"/>
  <c r="P137" i="15"/>
  <c r="K139" i="15"/>
  <c r="K140" i="15"/>
  <c r="L147" i="15"/>
  <c r="L149" i="15"/>
  <c r="K149" i="15"/>
  <c r="L151" i="15"/>
  <c r="L153" i="15"/>
  <c r="K153" i="15"/>
  <c r="K159" i="15"/>
  <c r="M164" i="15"/>
  <c r="P164" i="15" s="1"/>
  <c r="L164" i="15"/>
  <c r="M169" i="15"/>
  <c r="P169" i="15" s="1"/>
  <c r="P171" i="15"/>
  <c r="L175" i="15"/>
  <c r="K180" i="15"/>
  <c r="L185" i="15"/>
  <c r="K185" i="15"/>
  <c r="K191" i="15"/>
  <c r="M196" i="15"/>
  <c r="P196" i="15" s="1"/>
  <c r="L196" i="15"/>
  <c r="M201" i="15"/>
  <c r="P201" i="15" s="1"/>
  <c r="P203" i="15"/>
  <c r="L207" i="15"/>
  <c r="L215" i="15"/>
  <c r="M217" i="15"/>
  <c r="P217" i="15" s="1"/>
  <c r="P218" i="15"/>
  <c r="K223" i="15"/>
  <c r="L225" i="15"/>
  <c r="K225" i="15"/>
  <c r="L231" i="15"/>
  <c r="M233" i="15"/>
  <c r="P233" i="15" s="1"/>
  <c r="P234" i="15"/>
  <c r="K239" i="15"/>
  <c r="L241" i="15"/>
  <c r="K241" i="15"/>
  <c r="K103" i="15"/>
  <c r="M107" i="15"/>
  <c r="P107" i="15" s="1"/>
  <c r="K109" i="15"/>
  <c r="K110" i="15"/>
  <c r="L117" i="15"/>
  <c r="M123" i="15"/>
  <c r="P123" i="15" s="1"/>
  <c r="K125" i="15"/>
  <c r="K126" i="15"/>
  <c r="L133" i="15"/>
  <c r="M139" i="15"/>
  <c r="P139" i="15" s="1"/>
  <c r="K141" i="15"/>
  <c r="K142" i="15"/>
  <c r="P157" i="15"/>
  <c r="L163" i="15"/>
  <c r="K168" i="15"/>
  <c r="P170" i="15"/>
  <c r="L173" i="15"/>
  <c r="K173" i="15"/>
  <c r="K178" i="15"/>
  <c r="K179" i="15"/>
  <c r="M184" i="15"/>
  <c r="P184" i="15" s="1"/>
  <c r="L184" i="15"/>
  <c r="P189" i="15"/>
  <c r="L195" i="15"/>
  <c r="K200" i="15"/>
  <c r="P202" i="15"/>
  <c r="L205" i="15"/>
  <c r="K205" i="15"/>
  <c r="K210" i="15"/>
  <c r="K211" i="15"/>
  <c r="M220" i="15"/>
  <c r="P220" i="15" s="1"/>
  <c r="L220" i="15"/>
  <c r="K220" i="15"/>
  <c r="K222" i="15"/>
  <c r="M236" i="15"/>
  <c r="P236" i="15" s="1"/>
  <c r="L236" i="15"/>
  <c r="K236" i="15"/>
  <c r="K238" i="15"/>
  <c r="K243" i="15"/>
  <c r="M245" i="15"/>
  <c r="P245" i="15" s="1"/>
  <c r="L245" i="15"/>
  <c r="K245" i="15"/>
  <c r="K247" i="15"/>
  <c r="M249" i="15"/>
  <c r="P249" i="15" s="1"/>
  <c r="L249" i="15"/>
  <c r="K249" i="15"/>
  <c r="K251" i="15"/>
  <c r="M253" i="15"/>
  <c r="P253" i="15" s="1"/>
  <c r="L253" i="15"/>
  <c r="K253" i="15"/>
  <c r="K255" i="15"/>
  <c r="M257" i="15"/>
  <c r="P257" i="15" s="1"/>
  <c r="L257" i="15"/>
  <c r="K257" i="15"/>
  <c r="K259" i="15"/>
  <c r="M261" i="15"/>
  <c r="P261" i="15" s="1"/>
  <c r="L261" i="15"/>
  <c r="K261" i="15"/>
  <c r="K263" i="15"/>
  <c r="M265" i="15"/>
  <c r="P265" i="15" s="1"/>
  <c r="L265" i="15"/>
  <c r="K265" i="15"/>
  <c r="K267" i="15"/>
  <c r="M269" i="15"/>
  <c r="P269" i="15" s="1"/>
  <c r="L269" i="15"/>
  <c r="K269" i="15"/>
  <c r="K271" i="15"/>
  <c r="M273" i="15"/>
  <c r="P273" i="15" s="1"/>
  <c r="L273" i="15"/>
  <c r="K273" i="15"/>
  <c r="K275" i="15"/>
  <c r="M277" i="15"/>
  <c r="P277" i="15" s="1"/>
  <c r="L277" i="15"/>
  <c r="K277" i="15"/>
  <c r="K279" i="15"/>
  <c r="M281" i="15"/>
  <c r="P281" i="15" s="1"/>
  <c r="L281" i="15"/>
  <c r="K281" i="15"/>
  <c r="K283" i="15"/>
  <c r="M285" i="15"/>
  <c r="P285" i="15" s="1"/>
  <c r="L285" i="15"/>
  <c r="K285" i="15"/>
  <c r="K287" i="15"/>
  <c r="M289" i="15"/>
  <c r="P289" i="15" s="1"/>
  <c r="L289" i="15"/>
  <c r="K289" i="15"/>
  <c r="K291" i="15"/>
  <c r="M293" i="15"/>
  <c r="P293" i="15" s="1"/>
  <c r="L293" i="15"/>
  <c r="K293" i="15"/>
  <c r="K295" i="15"/>
  <c r="P323" i="15"/>
  <c r="K328" i="15"/>
  <c r="P300" i="15"/>
  <c r="K301" i="15"/>
  <c r="L302" i="15"/>
  <c r="L304" i="15"/>
  <c r="P316" i="15"/>
  <c r="M317" i="15"/>
  <c r="P317" i="15" s="1"/>
  <c r="K317" i="15"/>
  <c r="L322" i="15"/>
  <c r="K322" i="15"/>
  <c r="M338" i="15"/>
  <c r="P338" i="15" s="1"/>
  <c r="L338" i="15"/>
  <c r="K338" i="15"/>
  <c r="L343" i="15"/>
  <c r="P349" i="15"/>
  <c r="P355" i="15"/>
  <c r="L394" i="15"/>
  <c r="P401" i="15"/>
  <c r="L423" i="15"/>
  <c r="K244" i="15"/>
  <c r="K248" i="15"/>
  <c r="K252" i="15"/>
  <c r="K256" i="15"/>
  <c r="K260" i="15"/>
  <c r="K264" i="15"/>
  <c r="K268" i="15"/>
  <c r="K272" i="15"/>
  <c r="K276" i="15"/>
  <c r="K280" i="15"/>
  <c r="K284" i="15"/>
  <c r="K288" i="15"/>
  <c r="K292" i="15"/>
  <c r="K296" i="15"/>
  <c r="L297" i="15"/>
  <c r="K298" i="15"/>
  <c r="P320" i="15"/>
  <c r="M321" i="15"/>
  <c r="P321" i="15" s="1"/>
  <c r="K321" i="15"/>
  <c r="L326" i="15"/>
  <c r="K326" i="15"/>
  <c r="L390" i="15"/>
  <c r="L244" i="15"/>
  <c r="L248" i="15"/>
  <c r="L252" i="15"/>
  <c r="L256" i="15"/>
  <c r="L260" i="15"/>
  <c r="L264" i="15"/>
  <c r="L268" i="15"/>
  <c r="L272" i="15"/>
  <c r="L276" i="15"/>
  <c r="L280" i="15"/>
  <c r="L284" i="15"/>
  <c r="L288" i="15"/>
  <c r="L292" i="15"/>
  <c r="L296" i="15"/>
  <c r="P324" i="15"/>
  <c r="M325" i="15"/>
  <c r="P325" i="15" s="1"/>
  <c r="K325" i="15"/>
  <c r="L330" i="15"/>
  <c r="K330" i="15"/>
  <c r="M342" i="15"/>
  <c r="P342" i="15" s="1"/>
  <c r="L342" i="15"/>
  <c r="K342" i="15"/>
  <c r="L347" i="15"/>
  <c r="L374" i="15"/>
  <c r="L386" i="15"/>
  <c r="P304" i="15"/>
  <c r="K305" i="15"/>
  <c r="L306" i="15"/>
  <c r="P328" i="15"/>
  <c r="M329" i="15"/>
  <c r="P329" i="15" s="1"/>
  <c r="K329" i="15"/>
  <c r="M334" i="15"/>
  <c r="P334" i="15" s="1"/>
  <c r="L334" i="15"/>
  <c r="K334" i="15"/>
  <c r="P337" i="15"/>
  <c r="L351" i="15"/>
  <c r="P361" i="15"/>
  <c r="L378" i="15"/>
  <c r="L382" i="15"/>
  <c r="P393" i="15"/>
  <c r="P413" i="15"/>
  <c r="P332" i="15"/>
  <c r="P343" i="15"/>
  <c r="L355" i="15"/>
  <c r="P365" i="15"/>
  <c r="P375" i="15"/>
  <c r="P389" i="15"/>
  <c r="P409" i="15"/>
  <c r="P296" i="15"/>
  <c r="K297" i="15"/>
  <c r="L298" i="15"/>
  <c r="L310" i="15"/>
  <c r="K310" i="15"/>
  <c r="P341" i="15"/>
  <c r="L359" i="15"/>
  <c r="P369" i="15"/>
  <c r="P385" i="15"/>
  <c r="L416" i="15"/>
  <c r="M309" i="15"/>
  <c r="P309" i="15" s="1"/>
  <c r="K309" i="15"/>
  <c r="L314" i="15"/>
  <c r="K314" i="15"/>
  <c r="L339" i="15"/>
  <c r="P347" i="15"/>
  <c r="L363" i="15"/>
  <c r="L372" i="15"/>
  <c r="K333" i="15"/>
  <c r="K337" i="15"/>
  <c r="K341" i="15"/>
  <c r="K345" i="15"/>
  <c r="K349" i="15"/>
  <c r="K353" i="15"/>
  <c r="K357" i="15"/>
  <c r="K361" i="15"/>
  <c r="K365" i="15"/>
  <c r="K369" i="15"/>
  <c r="L371" i="15"/>
  <c r="K380" i="15"/>
  <c r="K384" i="15"/>
  <c r="K388" i="15"/>
  <c r="K392" i="15"/>
  <c r="K396" i="15"/>
  <c r="L398" i="15"/>
  <c r="K400" i="15"/>
  <c r="L402" i="15"/>
  <c r="K404" i="15"/>
  <c r="L406" i="15"/>
  <c r="K408" i="15"/>
  <c r="L410" i="15"/>
  <c r="K412" i="15"/>
  <c r="L414" i="15"/>
  <c r="M429" i="15"/>
  <c r="P429" i="15" s="1"/>
  <c r="L429" i="15"/>
  <c r="K429" i="15"/>
  <c r="M445" i="15"/>
  <c r="P445" i="15" s="1"/>
  <c r="L445" i="15"/>
  <c r="K445" i="15"/>
  <c r="K449" i="15"/>
  <c r="K457" i="15"/>
  <c r="M487" i="15"/>
  <c r="P487" i="15" s="1"/>
  <c r="L487" i="15"/>
  <c r="K487" i="15"/>
  <c r="L373" i="15"/>
  <c r="P379" i="15"/>
  <c r="P383" i="15"/>
  <c r="P387" i="15"/>
  <c r="P391" i="15"/>
  <c r="P395" i="15"/>
  <c r="P399" i="15"/>
  <c r="P403" i="15"/>
  <c r="P407" i="15"/>
  <c r="P411" i="15"/>
  <c r="P415" i="15"/>
  <c r="M421" i="15"/>
  <c r="P421" i="15" s="1"/>
  <c r="L421" i="15"/>
  <c r="K421" i="15"/>
  <c r="K346" i="15"/>
  <c r="K350" i="15"/>
  <c r="K354" i="15"/>
  <c r="K358" i="15"/>
  <c r="K362" i="15"/>
  <c r="K366" i="15"/>
  <c r="K370" i="15"/>
  <c r="L375" i="15"/>
  <c r="L419" i="15"/>
  <c r="L427" i="15"/>
  <c r="M439" i="15"/>
  <c r="P439" i="15" s="1"/>
  <c r="L439" i="15"/>
  <c r="K439" i="15"/>
  <c r="L346" i="15"/>
  <c r="L350" i="15"/>
  <c r="L354" i="15"/>
  <c r="L358" i="15"/>
  <c r="L362" i="15"/>
  <c r="L366" i="15"/>
  <c r="L370" i="15"/>
  <c r="L377" i="15"/>
  <c r="L417" i="15"/>
  <c r="K417" i="15"/>
  <c r="L379" i="15"/>
  <c r="L381" i="15"/>
  <c r="K381" i="15"/>
  <c r="L383" i="15"/>
  <c r="L385" i="15"/>
  <c r="K385" i="15"/>
  <c r="L387" i="15"/>
  <c r="L389" i="15"/>
  <c r="K389" i="15"/>
  <c r="L391" i="15"/>
  <c r="L393" i="15"/>
  <c r="K393" i="15"/>
  <c r="L395" i="15"/>
  <c r="L397" i="15"/>
  <c r="K397" i="15"/>
  <c r="L399" i="15"/>
  <c r="L401" i="15"/>
  <c r="K401" i="15"/>
  <c r="L403" i="15"/>
  <c r="L405" i="15"/>
  <c r="K405" i="15"/>
  <c r="L407" i="15"/>
  <c r="L409" i="15"/>
  <c r="K409" i="15"/>
  <c r="L411" i="15"/>
  <c r="L413" i="15"/>
  <c r="K413" i="15"/>
  <c r="L415" i="15"/>
  <c r="M416" i="15"/>
  <c r="P416" i="15" s="1"/>
  <c r="K416" i="15"/>
  <c r="P423" i="15"/>
  <c r="L437" i="15"/>
  <c r="P457" i="15"/>
  <c r="L461" i="15"/>
  <c r="M371" i="15"/>
  <c r="P371" i="15" s="1"/>
  <c r="K373" i="15"/>
  <c r="K374" i="15"/>
  <c r="M425" i="15"/>
  <c r="P425" i="15" s="1"/>
  <c r="L425" i="15"/>
  <c r="K425" i="15"/>
  <c r="P431" i="15"/>
  <c r="P440" i="15"/>
  <c r="P451" i="15"/>
  <c r="L484" i="15"/>
  <c r="K484" i="15"/>
  <c r="M484" i="15"/>
  <c r="P484" i="15" s="1"/>
  <c r="M373" i="15"/>
  <c r="P373" i="15" s="1"/>
  <c r="M512" i="15"/>
  <c r="P512" i="15" s="1"/>
  <c r="L512" i="15"/>
  <c r="K512" i="15"/>
  <c r="L431" i="15"/>
  <c r="K440" i="15"/>
  <c r="M449" i="15"/>
  <c r="P449" i="15" s="1"/>
  <c r="L456" i="15"/>
  <c r="K456" i="15"/>
  <c r="P458" i="15"/>
  <c r="L459" i="15"/>
  <c r="P469" i="15"/>
  <c r="L472" i="15"/>
  <c r="K472" i="15"/>
  <c r="M475" i="15"/>
  <c r="P475" i="15" s="1"/>
  <c r="L475" i="15"/>
  <c r="K475" i="15"/>
  <c r="P482" i="15"/>
  <c r="P501" i="15"/>
  <c r="L504" i="15"/>
  <c r="K504" i="15"/>
  <c r="P519" i="15"/>
  <c r="P521" i="15"/>
  <c r="M524" i="15"/>
  <c r="P524" i="15" s="1"/>
  <c r="L524" i="15"/>
  <c r="K524" i="15"/>
  <c r="P540" i="15"/>
  <c r="P547" i="15"/>
  <c r="P573" i="15"/>
  <c r="L575" i="15"/>
  <c r="K575" i="15"/>
  <c r="M575" i="15"/>
  <c r="P575" i="15" s="1"/>
  <c r="L628" i="15"/>
  <c r="K420" i="15"/>
  <c r="K424" i="15"/>
  <c r="K428" i="15"/>
  <c r="K433" i="15"/>
  <c r="K443" i="15"/>
  <c r="K451" i="15"/>
  <c r="K453" i="15"/>
  <c r="P470" i="15"/>
  <c r="P489" i="15"/>
  <c r="L492" i="15"/>
  <c r="K492" i="15"/>
  <c r="M495" i="15"/>
  <c r="P495" i="15" s="1"/>
  <c r="L495" i="15"/>
  <c r="K495" i="15"/>
  <c r="P527" i="15"/>
  <c r="P552" i="15"/>
  <c r="P559" i="15"/>
  <c r="K436" i="15"/>
  <c r="L448" i="15"/>
  <c r="K448" i="15"/>
  <c r="P450" i="15"/>
  <c r="L480" i="15"/>
  <c r="K480" i="15"/>
  <c r="M483" i="15"/>
  <c r="P483" i="15" s="1"/>
  <c r="L483" i="15"/>
  <c r="K483" i="15"/>
  <c r="M516" i="15"/>
  <c r="P516" i="15" s="1"/>
  <c r="L516" i="15"/>
  <c r="K516" i="15"/>
  <c r="L460" i="15"/>
  <c r="K460" i="15"/>
  <c r="P462" i="15"/>
  <c r="L468" i="15"/>
  <c r="K468" i="15"/>
  <c r="M471" i="15"/>
  <c r="P471" i="15" s="1"/>
  <c r="L471" i="15"/>
  <c r="K471" i="15"/>
  <c r="P478" i="15"/>
  <c r="L500" i="15"/>
  <c r="K500" i="15"/>
  <c r="M503" i="15"/>
  <c r="P503" i="15" s="1"/>
  <c r="L503" i="15"/>
  <c r="K503" i="15"/>
  <c r="P523" i="15"/>
  <c r="M587" i="15"/>
  <c r="P587" i="15" s="1"/>
  <c r="L587" i="15"/>
  <c r="K587" i="15"/>
  <c r="L596" i="15"/>
  <c r="M623" i="15"/>
  <c r="P623" i="15" s="1"/>
  <c r="L623" i="15"/>
  <c r="K623" i="15"/>
  <c r="K432" i="15"/>
  <c r="L440" i="15"/>
  <c r="K455" i="15"/>
  <c r="M456" i="15"/>
  <c r="P456" i="15" s="1"/>
  <c r="P466" i="15"/>
  <c r="P485" i="15"/>
  <c r="L488" i="15"/>
  <c r="K488" i="15"/>
  <c r="M491" i="15"/>
  <c r="P491" i="15" s="1"/>
  <c r="L491" i="15"/>
  <c r="K491" i="15"/>
  <c r="P505" i="15"/>
  <c r="M508" i="15"/>
  <c r="P508" i="15" s="1"/>
  <c r="L508" i="15"/>
  <c r="K508" i="15"/>
  <c r="P531" i="15"/>
  <c r="P556" i="15"/>
  <c r="P563" i="15"/>
  <c r="L572" i="15"/>
  <c r="P592" i="15"/>
  <c r="L452" i="15"/>
  <c r="K452" i="15"/>
  <c r="P454" i="15"/>
  <c r="L464" i="15"/>
  <c r="K464" i="15"/>
  <c r="P473" i="15"/>
  <c r="L476" i="15"/>
  <c r="K476" i="15"/>
  <c r="M479" i="15"/>
  <c r="P479" i="15" s="1"/>
  <c r="L479" i="15"/>
  <c r="K479" i="15"/>
  <c r="P515" i="15"/>
  <c r="P517" i="15"/>
  <c r="M520" i="15"/>
  <c r="P520" i="15" s="1"/>
  <c r="L520" i="15"/>
  <c r="K520" i="15"/>
  <c r="P536" i="15"/>
  <c r="P543" i="15"/>
  <c r="P568" i="15"/>
  <c r="P569" i="15"/>
  <c r="L576" i="15"/>
  <c r="L436" i="15"/>
  <c r="K444" i="15"/>
  <c r="K447" i="15"/>
  <c r="M448" i="15"/>
  <c r="P448" i="15" s="1"/>
  <c r="M463" i="15"/>
  <c r="P463" i="15" s="1"/>
  <c r="K463" i="15"/>
  <c r="M467" i="15"/>
  <c r="P467" i="15" s="1"/>
  <c r="L467" i="15"/>
  <c r="K467" i="15"/>
  <c r="P474" i="15"/>
  <c r="M480" i="15"/>
  <c r="P480" i="15" s="1"/>
  <c r="P493" i="15"/>
  <c r="L496" i="15"/>
  <c r="K496" i="15"/>
  <c r="M499" i="15"/>
  <c r="P499" i="15" s="1"/>
  <c r="L499" i="15"/>
  <c r="K499" i="15"/>
  <c r="P548" i="15"/>
  <c r="P555" i="15"/>
  <c r="M603" i="15"/>
  <c r="P603" i="15" s="1"/>
  <c r="L603" i="15"/>
  <c r="K603" i="15"/>
  <c r="L608" i="15"/>
  <c r="M635" i="15"/>
  <c r="P635" i="15" s="1"/>
  <c r="L635" i="15"/>
  <c r="K635" i="15"/>
  <c r="K507" i="15"/>
  <c r="K511" i="15"/>
  <c r="K515" i="15"/>
  <c r="K519" i="15"/>
  <c r="K523" i="15"/>
  <c r="P529" i="15"/>
  <c r="L530" i="15"/>
  <c r="P533" i="15"/>
  <c r="L534" i="15"/>
  <c r="P537" i="15"/>
  <c r="L538" i="15"/>
  <c r="P541" i="15"/>
  <c r="L542" i="15"/>
  <c r="P545" i="15"/>
  <c r="L546" i="15"/>
  <c r="P549" i="15"/>
  <c r="L550" i="15"/>
  <c r="P553" i="15"/>
  <c r="L554" i="15"/>
  <c r="P557" i="15"/>
  <c r="L558" i="15"/>
  <c r="P561" i="15"/>
  <c r="L562" i="15"/>
  <c r="P565" i="15"/>
  <c r="L568" i="15"/>
  <c r="L571" i="15"/>
  <c r="K571" i="15"/>
  <c r="L584" i="15"/>
  <c r="P593" i="15"/>
  <c r="M615" i="15"/>
  <c r="P615" i="15" s="1"/>
  <c r="L615" i="15"/>
  <c r="K615" i="15"/>
  <c r="L620" i="15"/>
  <c r="P625" i="15"/>
  <c r="L507" i="15"/>
  <c r="L511" i="15"/>
  <c r="L515" i="15"/>
  <c r="L519" i="15"/>
  <c r="L523" i="15"/>
  <c r="L528" i="15"/>
  <c r="L532" i="15"/>
  <c r="L536" i="15"/>
  <c r="L540" i="15"/>
  <c r="L544" i="15"/>
  <c r="L548" i="15"/>
  <c r="L552" i="15"/>
  <c r="L556" i="15"/>
  <c r="L560" i="15"/>
  <c r="L564" i="15"/>
  <c r="L567" i="15"/>
  <c r="K567" i="15"/>
  <c r="M574" i="15"/>
  <c r="P574" i="15" s="1"/>
  <c r="K574" i="15"/>
  <c r="M595" i="15"/>
  <c r="P595" i="15" s="1"/>
  <c r="L595" i="15"/>
  <c r="K595" i="15"/>
  <c r="L600" i="15"/>
  <c r="M627" i="15"/>
  <c r="P627" i="15" s="1"/>
  <c r="L627" i="15"/>
  <c r="K627" i="15"/>
  <c r="L632" i="15"/>
  <c r="L527" i="15"/>
  <c r="K527" i="15"/>
  <c r="L531" i="15"/>
  <c r="K531" i="15"/>
  <c r="L535" i="15"/>
  <c r="K535" i="15"/>
  <c r="L539" i="15"/>
  <c r="K539" i="15"/>
  <c r="L543" i="15"/>
  <c r="K543" i="15"/>
  <c r="L547" i="15"/>
  <c r="K547" i="15"/>
  <c r="L551" i="15"/>
  <c r="K551" i="15"/>
  <c r="L555" i="15"/>
  <c r="K555" i="15"/>
  <c r="L559" i="15"/>
  <c r="K559" i="15"/>
  <c r="L563" i="15"/>
  <c r="K563" i="15"/>
  <c r="M570" i="15"/>
  <c r="P570" i="15" s="1"/>
  <c r="K570" i="15"/>
  <c r="M583" i="15"/>
  <c r="P583" i="15" s="1"/>
  <c r="L583" i="15"/>
  <c r="K583" i="15"/>
  <c r="L592" i="15"/>
  <c r="M607" i="15"/>
  <c r="P607" i="15" s="1"/>
  <c r="L607" i="15"/>
  <c r="K607" i="15"/>
  <c r="L612" i="15"/>
  <c r="P614" i="15"/>
  <c r="P617" i="15"/>
  <c r="P530" i="15"/>
  <c r="P534" i="15"/>
  <c r="P538" i="15"/>
  <c r="P542" i="15"/>
  <c r="P546" i="15"/>
  <c r="P550" i="15"/>
  <c r="P554" i="15"/>
  <c r="P558" i="15"/>
  <c r="P562" i="15"/>
  <c r="M566" i="15"/>
  <c r="P566" i="15" s="1"/>
  <c r="K566" i="15"/>
  <c r="L580" i="15"/>
  <c r="M619" i="15"/>
  <c r="P619" i="15" s="1"/>
  <c r="L619" i="15"/>
  <c r="K619" i="15"/>
  <c r="L624" i="15"/>
  <c r="P626" i="15"/>
  <c r="P629" i="15"/>
  <c r="P577" i="15"/>
  <c r="P582" i="15"/>
  <c r="M591" i="15"/>
  <c r="P591" i="15" s="1"/>
  <c r="L591" i="15"/>
  <c r="K591" i="15"/>
  <c r="M599" i="15"/>
  <c r="P599" i="15" s="1"/>
  <c r="L599" i="15"/>
  <c r="K599" i="15"/>
  <c r="L604" i="15"/>
  <c r="P606" i="15"/>
  <c r="M631" i="15"/>
  <c r="P631" i="15" s="1"/>
  <c r="L631" i="15"/>
  <c r="K631" i="15"/>
  <c r="L636" i="15"/>
  <c r="P637" i="15"/>
  <c r="K528" i="15"/>
  <c r="K532" i="15"/>
  <c r="K536" i="15"/>
  <c r="K540" i="15"/>
  <c r="K544" i="15"/>
  <c r="K548" i="15"/>
  <c r="K552" i="15"/>
  <c r="K556" i="15"/>
  <c r="K560" i="15"/>
  <c r="M567" i="15"/>
  <c r="P567" i="15" s="1"/>
  <c r="L574" i="15"/>
  <c r="M579" i="15"/>
  <c r="P579" i="15" s="1"/>
  <c r="L579" i="15"/>
  <c r="K579" i="15"/>
  <c r="L588" i="15"/>
  <c r="M611" i="15"/>
  <c r="P611" i="15" s="1"/>
  <c r="L611" i="15"/>
  <c r="K611" i="15"/>
  <c r="L616" i="15"/>
  <c r="P618" i="15"/>
  <c r="P621" i="15"/>
  <c r="K578" i="15"/>
  <c r="K582" i="15"/>
  <c r="K586" i="15"/>
  <c r="K590" i="15"/>
  <c r="K594" i="15"/>
  <c r="K598" i="15"/>
  <c r="K602" i="15"/>
  <c r="K606" i="15"/>
  <c r="K610" i="15"/>
  <c r="K614" i="15"/>
  <c r="K618" i="15"/>
  <c r="K622" i="15"/>
  <c r="K626" i="15"/>
  <c r="K630" i="15"/>
  <c r="K634" i="15"/>
  <c r="N6" i="13"/>
  <c r="O6" i="13" s="1"/>
  <c r="P15" i="13"/>
  <c r="P16" i="13"/>
  <c r="O18" i="13"/>
  <c r="O10" i="13"/>
  <c r="O16" i="13"/>
  <c r="N5" i="13"/>
  <c r="O5" i="13" s="1"/>
  <c r="D36" i="13" s="1"/>
  <c r="Q21" i="12" s="1"/>
  <c r="E13" i="2" s="1"/>
  <c r="J8" i="13"/>
  <c r="M8" i="13" s="1"/>
  <c r="P8" i="13" s="1"/>
  <c r="O11" i="13"/>
  <c r="K19" i="13"/>
  <c r="K10" i="13"/>
  <c r="K11" i="13"/>
  <c r="H12" i="13"/>
  <c r="O12" i="13" s="1"/>
  <c r="S26" i="12"/>
  <c r="N7" i="15" s="1"/>
  <c r="O7" i="15" s="1"/>
  <c r="S42" i="12"/>
  <c r="G7" i="12"/>
  <c r="S33" i="12"/>
  <c r="S34" i="12"/>
  <c r="S37" i="12"/>
  <c r="P42" i="9"/>
  <c r="P74" i="9"/>
  <c r="P83" i="9"/>
  <c r="P92" i="9"/>
  <c r="P50" i="9"/>
  <c r="P58" i="9"/>
  <c r="P30" i="9"/>
  <c r="P62" i="9"/>
  <c r="L148" i="9"/>
  <c r="K148" i="9"/>
  <c r="M159" i="9"/>
  <c r="P159" i="9" s="1"/>
  <c r="L159" i="9"/>
  <c r="K159" i="9"/>
  <c r="M191" i="9"/>
  <c r="P191" i="9" s="1"/>
  <c r="L191" i="9"/>
  <c r="K191" i="9"/>
  <c r="M223" i="9"/>
  <c r="P223" i="9" s="1"/>
  <c r="L223" i="9"/>
  <c r="K223" i="9"/>
  <c r="L247" i="9"/>
  <c r="K247" i="9"/>
  <c r="M247" i="9"/>
  <c r="P247" i="9" s="1"/>
  <c r="M286" i="9"/>
  <c r="P286" i="9" s="1"/>
  <c r="L286" i="9"/>
  <c r="K286" i="9"/>
  <c r="K635" i="9"/>
  <c r="K543" i="9"/>
  <c r="E644" i="9"/>
  <c r="K627" i="9"/>
  <c r="K626" i="9"/>
  <c r="K605" i="9"/>
  <c r="K604" i="9"/>
  <c r="K603" i="9"/>
  <c r="K602" i="9"/>
  <c r="K573" i="9"/>
  <c r="K572" i="9"/>
  <c r="K571" i="9"/>
  <c r="K570" i="9"/>
  <c r="K608" i="9"/>
  <c r="K607" i="9"/>
  <c r="K606" i="9"/>
  <c r="K577" i="9"/>
  <c r="K576" i="9"/>
  <c r="K575" i="9"/>
  <c r="K574" i="9"/>
  <c r="K619" i="9"/>
  <c r="K631" i="9"/>
  <c r="K630" i="9"/>
  <c r="K585" i="9"/>
  <c r="K584" i="9"/>
  <c r="K583" i="9"/>
  <c r="K582" i="9"/>
  <c r="K553" i="9"/>
  <c r="K552" i="9"/>
  <c r="K551" i="9"/>
  <c r="K550" i="9"/>
  <c r="K539" i="9"/>
  <c r="K531" i="9"/>
  <c r="K523" i="9"/>
  <c r="K611" i="9"/>
  <c r="K624" i="9"/>
  <c r="K623" i="9"/>
  <c r="K538" i="9"/>
  <c r="K530" i="9"/>
  <c r="K522" i="9"/>
  <c r="K615" i="9"/>
  <c r="K535" i="9"/>
  <c r="K527" i="9"/>
  <c r="K519" i="9"/>
  <c r="K510" i="9"/>
  <c r="K509" i="9"/>
  <c r="K473" i="9"/>
  <c r="K596" i="9"/>
  <c r="K562" i="9"/>
  <c r="K514" i="9"/>
  <c r="K513" i="9"/>
  <c r="K518" i="9"/>
  <c r="K486" i="9"/>
  <c r="K485" i="9"/>
  <c r="K597" i="9"/>
  <c r="K563" i="9"/>
  <c r="K526" i="9"/>
  <c r="K490" i="9"/>
  <c r="K489" i="9"/>
  <c r="K481" i="9"/>
  <c r="K469" i="9"/>
  <c r="K461" i="9"/>
  <c r="K634" i="9"/>
  <c r="K494" i="9"/>
  <c r="K493" i="9"/>
  <c r="K594" i="9"/>
  <c r="K564" i="9"/>
  <c r="K534" i="9"/>
  <c r="K498" i="9"/>
  <c r="K497" i="9"/>
  <c r="K477" i="9"/>
  <c r="K466" i="9"/>
  <c r="K460" i="9"/>
  <c r="K456" i="9"/>
  <c r="K452" i="9"/>
  <c r="K448" i="9"/>
  <c r="K444" i="9"/>
  <c r="K502" i="9"/>
  <c r="K501" i="9"/>
  <c r="K565" i="9"/>
  <c r="K476" i="9"/>
  <c r="K416" i="9"/>
  <c r="K415" i="9"/>
  <c r="K414" i="9"/>
  <c r="K413" i="9"/>
  <c r="K409" i="9"/>
  <c r="K408" i="9"/>
  <c r="K393" i="9"/>
  <c r="K392" i="9"/>
  <c r="K542" i="9"/>
  <c r="K505" i="9"/>
  <c r="K436" i="9"/>
  <c r="K595" i="9"/>
  <c r="K506" i="9"/>
  <c r="K445" i="9"/>
  <c r="K437" i="9"/>
  <c r="K424" i="9"/>
  <c r="K423" i="9"/>
  <c r="K422" i="9"/>
  <c r="K421" i="9"/>
  <c r="K405" i="9"/>
  <c r="K404" i="9"/>
  <c r="K389" i="9"/>
  <c r="K388" i="9"/>
  <c r="K465" i="9"/>
  <c r="K464" i="9"/>
  <c r="K428" i="9"/>
  <c r="K459" i="9"/>
  <c r="K440" i="9"/>
  <c r="K441" i="9"/>
  <c r="K399" i="9"/>
  <c r="K398" i="9"/>
  <c r="K386" i="9"/>
  <c r="K382" i="9"/>
  <c r="K378" i="9"/>
  <c r="K374" i="9"/>
  <c r="K370" i="9"/>
  <c r="K366" i="9"/>
  <c r="K432" i="9"/>
  <c r="K381" i="9"/>
  <c r="K358" i="9"/>
  <c r="K357" i="9"/>
  <c r="K338" i="9"/>
  <c r="K377" i="9"/>
  <c r="K449" i="9"/>
  <c r="K373" i="9"/>
  <c r="K354" i="9"/>
  <c r="K353" i="9"/>
  <c r="K342" i="9"/>
  <c r="K326" i="9"/>
  <c r="K474" i="9"/>
  <c r="K369" i="9"/>
  <c r="K322" i="9"/>
  <c r="K443" i="9"/>
  <c r="K410" i="9"/>
  <c r="K365" i="9"/>
  <c r="K350" i="9"/>
  <c r="K349" i="9"/>
  <c r="K331" i="9"/>
  <c r="K330" i="9"/>
  <c r="K321" i="9"/>
  <c r="K319" i="9"/>
  <c r="K411" i="9"/>
  <c r="K329" i="9"/>
  <c r="K313" i="9"/>
  <c r="K309" i="9"/>
  <c r="K305" i="9"/>
  <c r="K301" i="9"/>
  <c r="K297" i="9"/>
  <c r="K293" i="9"/>
  <c r="K289" i="9"/>
  <c r="K285" i="9"/>
  <c r="K281" i="9"/>
  <c r="K277" i="9"/>
  <c r="K273" i="9"/>
  <c r="K412" i="9"/>
  <c r="K394" i="9"/>
  <c r="K362" i="9"/>
  <c r="K361" i="9"/>
  <c r="K346" i="9"/>
  <c r="K345" i="9"/>
  <c r="K335" i="9"/>
  <c r="K334" i="9"/>
  <c r="K318" i="9"/>
  <c r="K265" i="9"/>
  <c r="K385" i="9"/>
  <c r="K245" i="9"/>
  <c r="K229" i="9"/>
  <c r="K257" i="9"/>
  <c r="K433" i="9"/>
  <c r="K269" i="9"/>
  <c r="K395" i="9"/>
  <c r="K250" i="9"/>
  <c r="K249" i="9"/>
  <c r="K248" i="9"/>
  <c r="K312" i="9"/>
  <c r="K308" i="9"/>
  <c r="K304" i="9"/>
  <c r="K300" i="9"/>
  <c r="K296" i="9"/>
  <c r="K278" i="9"/>
  <c r="K262" i="9"/>
  <c r="K261" i="9"/>
  <c r="K260" i="9"/>
  <c r="K226" i="9"/>
  <c r="K222" i="9"/>
  <c r="K218" i="9"/>
  <c r="K214" i="9"/>
  <c r="K210" i="9"/>
  <c r="K206" i="9"/>
  <c r="K202" i="9"/>
  <c r="K198" i="9"/>
  <c r="K194" i="9"/>
  <c r="K190" i="9"/>
  <c r="K186" i="9"/>
  <c r="K182" i="9"/>
  <c r="K178" i="9"/>
  <c r="K174" i="9"/>
  <c r="K170" i="9"/>
  <c r="K166" i="9"/>
  <c r="K162" i="9"/>
  <c r="K158" i="9"/>
  <c r="K317" i="9"/>
  <c r="K272" i="9"/>
  <c r="K242" i="9"/>
  <c r="K241" i="9"/>
  <c r="K238" i="9"/>
  <c r="K237" i="9"/>
  <c r="K234" i="9"/>
  <c r="K233" i="9"/>
  <c r="D644" i="9"/>
  <c r="F644" i="9" s="1"/>
  <c r="M29" i="9"/>
  <c r="P29" i="9" s="1"/>
  <c r="K30" i="9"/>
  <c r="M33" i="9"/>
  <c r="P33" i="9" s="1"/>
  <c r="K34" i="9"/>
  <c r="M37" i="9"/>
  <c r="P37" i="9" s="1"/>
  <c r="K38" i="9"/>
  <c r="M41" i="9"/>
  <c r="P41" i="9" s="1"/>
  <c r="K42" i="9"/>
  <c r="M45" i="9"/>
  <c r="P45" i="9" s="1"/>
  <c r="K46" i="9"/>
  <c r="M49" i="9"/>
  <c r="P49" i="9" s="1"/>
  <c r="K50" i="9"/>
  <c r="M53" i="9"/>
  <c r="P53" i="9" s="1"/>
  <c r="K54" i="9"/>
  <c r="M57" i="9"/>
  <c r="P57" i="9" s="1"/>
  <c r="K58" i="9"/>
  <c r="M61" i="9"/>
  <c r="P61" i="9" s="1"/>
  <c r="K62" i="9"/>
  <c r="M65" i="9"/>
  <c r="P65" i="9" s="1"/>
  <c r="K66" i="9"/>
  <c r="M69" i="9"/>
  <c r="P69" i="9" s="1"/>
  <c r="K70" i="9"/>
  <c r="M73" i="9"/>
  <c r="P73" i="9" s="1"/>
  <c r="K74" i="9"/>
  <c r="M77" i="9"/>
  <c r="P77" i="9" s="1"/>
  <c r="K78" i="9"/>
  <c r="M81" i="9"/>
  <c r="P81" i="9" s="1"/>
  <c r="K82" i="9"/>
  <c r="K89" i="9"/>
  <c r="K97" i="9"/>
  <c r="P101" i="9"/>
  <c r="L102" i="9"/>
  <c r="L104" i="9"/>
  <c r="K104" i="9"/>
  <c r="M107" i="9"/>
  <c r="P107" i="9" s="1"/>
  <c r="L107" i="9"/>
  <c r="K107" i="9"/>
  <c r="K113" i="9"/>
  <c r="P117" i="9"/>
  <c r="L120" i="9"/>
  <c r="K120" i="9"/>
  <c r="M123" i="9"/>
  <c r="P123" i="9" s="1"/>
  <c r="L123" i="9"/>
  <c r="K123" i="9"/>
  <c r="M131" i="9"/>
  <c r="P131" i="9" s="1"/>
  <c r="L131" i="9"/>
  <c r="K131" i="9"/>
  <c r="M143" i="9"/>
  <c r="P143" i="9" s="1"/>
  <c r="L143" i="9"/>
  <c r="K143" i="9"/>
  <c r="K145" i="9"/>
  <c r="K146" i="9"/>
  <c r="M163" i="9"/>
  <c r="P163" i="9" s="1"/>
  <c r="L163" i="9"/>
  <c r="K163" i="9"/>
  <c r="K165" i="9"/>
  <c r="L176" i="9"/>
  <c r="P182" i="9"/>
  <c r="M195" i="9"/>
  <c r="P195" i="9" s="1"/>
  <c r="L195" i="9"/>
  <c r="K195" i="9"/>
  <c r="K197" i="9"/>
  <c r="L208" i="9"/>
  <c r="P214" i="9"/>
  <c r="P227" i="9"/>
  <c r="K252" i="9"/>
  <c r="K282" i="9"/>
  <c r="L307" i="9"/>
  <c r="H644" i="9"/>
  <c r="L608" i="9"/>
  <c r="L576" i="9"/>
  <c r="L542" i="9"/>
  <c r="L534" i="9"/>
  <c r="L526" i="9"/>
  <c r="L632" i="9"/>
  <c r="L584" i="9"/>
  <c r="L552" i="9"/>
  <c r="L539" i="9"/>
  <c r="L531" i="9"/>
  <c r="L523" i="9"/>
  <c r="L612" i="9"/>
  <c r="L588" i="9"/>
  <c r="L624" i="9"/>
  <c r="L538" i="9"/>
  <c r="L530" i="9"/>
  <c r="L522" i="9"/>
  <c r="L628" i="9"/>
  <c r="L604" i="9"/>
  <c r="L572" i="9"/>
  <c r="L543" i="9"/>
  <c r="L513" i="9"/>
  <c r="L509" i="9"/>
  <c r="L505" i="9"/>
  <c r="L501" i="9"/>
  <c r="L497" i="9"/>
  <c r="L493" i="9"/>
  <c r="L489" i="9"/>
  <c r="L485" i="9"/>
  <c r="L481" i="9"/>
  <c r="L511" i="9"/>
  <c r="L508" i="9"/>
  <c r="L463" i="9"/>
  <c r="L600" i="9"/>
  <c r="L537" i="9"/>
  <c r="L519" i="9"/>
  <c r="L518" i="9"/>
  <c r="L516" i="9"/>
  <c r="L469" i="9"/>
  <c r="L461" i="9"/>
  <c r="L527" i="9"/>
  <c r="L520" i="9"/>
  <c r="L480" i="9"/>
  <c r="L468" i="9"/>
  <c r="L616" i="9"/>
  <c r="L477" i="9"/>
  <c r="L568" i="9"/>
  <c r="L535" i="9"/>
  <c r="L528" i="9"/>
  <c r="L521" i="9"/>
  <c r="L499" i="9"/>
  <c r="L496" i="9"/>
  <c r="L476" i="9"/>
  <c r="L467" i="9"/>
  <c r="L465" i="9"/>
  <c r="L503" i="9"/>
  <c r="L500" i="9"/>
  <c r="L475" i="9"/>
  <c r="L504" i="9"/>
  <c r="L464" i="9"/>
  <c r="L507" i="9"/>
  <c r="L459" i="9"/>
  <c r="L447" i="9"/>
  <c r="L439" i="9"/>
  <c r="L401" i="9"/>
  <c r="L529" i="9"/>
  <c r="L399" i="9"/>
  <c r="L386" i="9"/>
  <c r="L382" i="9"/>
  <c r="L378" i="9"/>
  <c r="L374" i="9"/>
  <c r="L370" i="9"/>
  <c r="L366" i="9"/>
  <c r="L362" i="9"/>
  <c r="L358" i="9"/>
  <c r="L354" i="9"/>
  <c r="L350" i="9"/>
  <c r="L346" i="9"/>
  <c r="L342" i="9"/>
  <c r="L338" i="9"/>
  <c r="L334" i="9"/>
  <c r="L330" i="9"/>
  <c r="L326" i="9"/>
  <c r="L455" i="9"/>
  <c r="L431" i="9"/>
  <c r="L397" i="9"/>
  <c r="L473" i="9"/>
  <c r="L322" i="9"/>
  <c r="L409" i="9"/>
  <c r="L331" i="9"/>
  <c r="L319" i="9"/>
  <c r="L536" i="9"/>
  <c r="L415" i="9"/>
  <c r="L320" i="9"/>
  <c r="L313" i="9"/>
  <c r="L309" i="9"/>
  <c r="L305" i="9"/>
  <c r="L301" i="9"/>
  <c r="L297" i="9"/>
  <c r="L293" i="9"/>
  <c r="L289" i="9"/>
  <c r="L285" i="9"/>
  <c r="L281" i="9"/>
  <c r="L393" i="9"/>
  <c r="L335" i="9"/>
  <c r="L318" i="9"/>
  <c r="L245" i="9"/>
  <c r="L229" i="9"/>
  <c r="L339" i="9"/>
  <c r="L257" i="9"/>
  <c r="L269" i="9"/>
  <c r="L249" i="9"/>
  <c r="L277" i="9"/>
  <c r="L261" i="9"/>
  <c r="L227" i="9"/>
  <c r="L226" i="9"/>
  <c r="L222" i="9"/>
  <c r="L218" i="9"/>
  <c r="L214" i="9"/>
  <c r="L210" i="9"/>
  <c r="L206" i="9"/>
  <c r="L202" i="9"/>
  <c r="L198" i="9"/>
  <c r="L194" i="9"/>
  <c r="L190" i="9"/>
  <c r="L186" i="9"/>
  <c r="L182" i="9"/>
  <c r="L178" i="9"/>
  <c r="L174" i="9"/>
  <c r="L170" i="9"/>
  <c r="L166" i="9"/>
  <c r="L162" i="9"/>
  <c r="L158" i="9"/>
  <c r="L154" i="9"/>
  <c r="L150" i="9"/>
  <c r="L146" i="9"/>
  <c r="L142" i="9"/>
  <c r="L138" i="9"/>
  <c r="L241" i="9"/>
  <c r="L237" i="9"/>
  <c r="L233" i="9"/>
  <c r="L253" i="9"/>
  <c r="L225" i="9"/>
  <c r="L221" i="9"/>
  <c r="L217" i="9"/>
  <c r="L213" i="9"/>
  <c r="L209" i="9"/>
  <c r="L205" i="9"/>
  <c r="L201" i="9"/>
  <c r="L197" i="9"/>
  <c r="L193" i="9"/>
  <c r="L189" i="9"/>
  <c r="L185" i="9"/>
  <c r="L181" i="9"/>
  <c r="L177" i="9"/>
  <c r="L173" i="9"/>
  <c r="L169" i="9"/>
  <c r="L165" i="9"/>
  <c r="L161" i="9"/>
  <c r="L157" i="9"/>
  <c r="L153" i="9"/>
  <c r="L149" i="9"/>
  <c r="L145" i="9"/>
  <c r="L141" i="9"/>
  <c r="L137" i="9"/>
  <c r="L133" i="9"/>
  <c r="L129" i="9"/>
  <c r="L125" i="9"/>
  <c r="G644" i="9"/>
  <c r="I644" i="9" s="1"/>
  <c r="L38" i="9"/>
  <c r="L42" i="9"/>
  <c r="L46" i="9"/>
  <c r="L50" i="9"/>
  <c r="L54" i="9"/>
  <c r="L58" i="9"/>
  <c r="L62" i="9"/>
  <c r="L66" i="9"/>
  <c r="L70" i="9"/>
  <c r="L74" i="9"/>
  <c r="L78" i="9"/>
  <c r="L82" i="9"/>
  <c r="K83" i="9"/>
  <c r="L89" i="9"/>
  <c r="K90" i="9"/>
  <c r="K91" i="9"/>
  <c r="K92" i="9"/>
  <c r="L97" i="9"/>
  <c r="K98" i="9"/>
  <c r="L113" i="9"/>
  <c r="K114" i="9"/>
  <c r="K125" i="9"/>
  <c r="K126" i="9"/>
  <c r="L128" i="9"/>
  <c r="K128" i="9"/>
  <c r="K133" i="9"/>
  <c r="K134" i="9"/>
  <c r="L136" i="9"/>
  <c r="K136" i="9"/>
  <c r="L152" i="9"/>
  <c r="K152" i="9"/>
  <c r="M167" i="9"/>
  <c r="P167" i="9" s="1"/>
  <c r="L167" i="9"/>
  <c r="K167" i="9"/>
  <c r="K169" i="9"/>
  <c r="L180" i="9"/>
  <c r="M199" i="9"/>
  <c r="P199" i="9" s="1"/>
  <c r="L199" i="9"/>
  <c r="K199" i="9"/>
  <c r="K201" i="9"/>
  <c r="L212" i="9"/>
  <c r="L232" i="9"/>
  <c r="K236" i="9"/>
  <c r="L265" i="9"/>
  <c r="L303" i="9"/>
  <c r="K39" i="9"/>
  <c r="K43" i="9"/>
  <c r="K47" i="9"/>
  <c r="K51" i="9"/>
  <c r="K55" i="9"/>
  <c r="K59" i="9"/>
  <c r="K63" i="9"/>
  <c r="K67" i="9"/>
  <c r="K71" i="9"/>
  <c r="K75" i="9"/>
  <c r="K79" i="9"/>
  <c r="K84" i="9"/>
  <c r="L87" i="9"/>
  <c r="P89" i="9"/>
  <c r="L90" i="9"/>
  <c r="K93" i="9"/>
  <c r="L98" i="9"/>
  <c r="L100" i="9"/>
  <c r="K100" i="9"/>
  <c r="M103" i="9"/>
  <c r="P103" i="9" s="1"/>
  <c r="L103" i="9"/>
  <c r="K103" i="9"/>
  <c r="K109" i="9"/>
  <c r="L114" i="9"/>
  <c r="L116" i="9"/>
  <c r="K116" i="9"/>
  <c r="M119" i="9"/>
  <c r="P119" i="9" s="1"/>
  <c r="L119" i="9"/>
  <c r="K119" i="9"/>
  <c r="L126" i="9"/>
  <c r="L134" i="9"/>
  <c r="P142" i="9"/>
  <c r="M147" i="9"/>
  <c r="P147" i="9" s="1"/>
  <c r="L147" i="9"/>
  <c r="K147" i="9"/>
  <c r="K149" i="9"/>
  <c r="K150" i="9"/>
  <c r="P158" i="9"/>
  <c r="M171" i="9"/>
  <c r="P171" i="9" s="1"/>
  <c r="L171" i="9"/>
  <c r="K171" i="9"/>
  <c r="K173" i="9"/>
  <c r="L184" i="9"/>
  <c r="P190" i="9"/>
  <c r="M203" i="9"/>
  <c r="P203" i="9" s="1"/>
  <c r="L203" i="9"/>
  <c r="K203" i="9"/>
  <c r="K205" i="9"/>
  <c r="L216" i="9"/>
  <c r="P222" i="9"/>
  <c r="K240" i="9"/>
  <c r="M270" i="9"/>
  <c r="P270" i="9" s="1"/>
  <c r="L270" i="9"/>
  <c r="K270" i="9"/>
  <c r="K292" i="9"/>
  <c r="L299" i="9"/>
  <c r="M355" i="9"/>
  <c r="P355" i="9" s="1"/>
  <c r="L355" i="9"/>
  <c r="K355" i="9"/>
  <c r="L88" i="9"/>
  <c r="K94" i="9"/>
  <c r="P102" i="9"/>
  <c r="L109" i="9"/>
  <c r="K110" i="9"/>
  <c r="P118" i="9"/>
  <c r="L140" i="9"/>
  <c r="K140" i="9"/>
  <c r="M148" i="9"/>
  <c r="P148" i="9" s="1"/>
  <c r="L156" i="9"/>
  <c r="K156" i="9"/>
  <c r="P162" i="9"/>
  <c r="M175" i="9"/>
  <c r="P175" i="9" s="1"/>
  <c r="L175" i="9"/>
  <c r="K175" i="9"/>
  <c r="K177" i="9"/>
  <c r="L188" i="9"/>
  <c r="P194" i="9"/>
  <c r="M207" i="9"/>
  <c r="P207" i="9" s="1"/>
  <c r="L207" i="9"/>
  <c r="K207" i="9"/>
  <c r="K209" i="9"/>
  <c r="L220" i="9"/>
  <c r="P226" i="9"/>
  <c r="P235" i="9"/>
  <c r="P271" i="9"/>
  <c r="L295" i="9"/>
  <c r="K32" i="9"/>
  <c r="K36" i="9"/>
  <c r="K40" i="9"/>
  <c r="K44" i="9"/>
  <c r="K48" i="9"/>
  <c r="K52" i="9"/>
  <c r="K56" i="9"/>
  <c r="K60" i="9"/>
  <c r="K64" i="9"/>
  <c r="K68" i="9"/>
  <c r="K72" i="9"/>
  <c r="K76" i="9"/>
  <c r="K80" i="9"/>
  <c r="K85" i="9"/>
  <c r="P93" i="9"/>
  <c r="L94" i="9"/>
  <c r="L96" i="9"/>
  <c r="K96" i="9"/>
  <c r="M99" i="9"/>
  <c r="P99" i="9" s="1"/>
  <c r="L99" i="9"/>
  <c r="K99" i="9"/>
  <c r="K105" i="9"/>
  <c r="L110" i="9"/>
  <c r="L112" i="9"/>
  <c r="K112" i="9"/>
  <c r="M115" i="9"/>
  <c r="P115" i="9" s="1"/>
  <c r="L115" i="9"/>
  <c r="K115" i="9"/>
  <c r="K121" i="9"/>
  <c r="M127" i="9"/>
  <c r="P127" i="9" s="1"/>
  <c r="L127" i="9"/>
  <c r="K127" i="9"/>
  <c r="M135" i="9"/>
  <c r="P135" i="9" s="1"/>
  <c r="L135" i="9"/>
  <c r="K135" i="9"/>
  <c r="K137" i="9"/>
  <c r="K138" i="9"/>
  <c r="M151" i="9"/>
  <c r="P151" i="9" s="1"/>
  <c r="L151" i="9"/>
  <c r="K151" i="9"/>
  <c r="K153" i="9"/>
  <c r="K154" i="9"/>
  <c r="L160" i="9"/>
  <c r="M179" i="9"/>
  <c r="P179" i="9" s="1"/>
  <c r="L179" i="9"/>
  <c r="K179" i="9"/>
  <c r="K181" i="9"/>
  <c r="L192" i="9"/>
  <c r="M211" i="9"/>
  <c r="P211" i="9" s="1"/>
  <c r="L211" i="9"/>
  <c r="K211" i="9"/>
  <c r="K213" i="9"/>
  <c r="L224" i="9"/>
  <c r="K333" i="9"/>
  <c r="N27" i="9"/>
  <c r="L28" i="9"/>
  <c r="L32" i="9"/>
  <c r="L36" i="9"/>
  <c r="L40" i="9"/>
  <c r="L44" i="9"/>
  <c r="L48" i="9"/>
  <c r="L52" i="9"/>
  <c r="L56" i="9"/>
  <c r="L60" i="9"/>
  <c r="L64" i="9"/>
  <c r="L68" i="9"/>
  <c r="L72" i="9"/>
  <c r="L76" i="9"/>
  <c r="L80" i="9"/>
  <c r="L83" i="9"/>
  <c r="L85" i="9"/>
  <c r="K86" i="9"/>
  <c r="L91" i="9"/>
  <c r="L92" i="9"/>
  <c r="P98" i="9"/>
  <c r="L105" i="9"/>
  <c r="K106" i="9"/>
  <c r="P114" i="9"/>
  <c r="L121" i="9"/>
  <c r="K122" i="9"/>
  <c r="L124" i="9"/>
  <c r="K124" i="9"/>
  <c r="P126" i="9"/>
  <c r="M128" i="9"/>
  <c r="P128" i="9" s="1"/>
  <c r="K129" i="9"/>
  <c r="K130" i="9"/>
  <c r="L132" i="9"/>
  <c r="K132" i="9"/>
  <c r="P134" i="9"/>
  <c r="M136" i="9"/>
  <c r="P136" i="9" s="1"/>
  <c r="L144" i="9"/>
  <c r="K144" i="9"/>
  <c r="M152" i="9"/>
  <c r="P152" i="9" s="1"/>
  <c r="L164" i="9"/>
  <c r="P170" i="9"/>
  <c r="M183" i="9"/>
  <c r="P183" i="9" s="1"/>
  <c r="L183" i="9"/>
  <c r="K183" i="9"/>
  <c r="K185" i="9"/>
  <c r="L196" i="9"/>
  <c r="P202" i="9"/>
  <c r="M215" i="9"/>
  <c r="P215" i="9" s="1"/>
  <c r="L215" i="9"/>
  <c r="K215" i="9"/>
  <c r="K217" i="9"/>
  <c r="M228" i="9"/>
  <c r="P228" i="9" s="1"/>
  <c r="L228" i="9"/>
  <c r="K228" i="9"/>
  <c r="L230" i="9"/>
  <c r="K232" i="9"/>
  <c r="L236" i="9"/>
  <c r="M276" i="9"/>
  <c r="P276" i="9" s="1"/>
  <c r="L276" i="9"/>
  <c r="K276" i="9"/>
  <c r="K87" i="9"/>
  <c r="M95" i="9"/>
  <c r="P95" i="9" s="1"/>
  <c r="L95" i="9"/>
  <c r="K95" i="9"/>
  <c r="M100" i="9"/>
  <c r="P100" i="9" s="1"/>
  <c r="K101" i="9"/>
  <c r="P105" i="9"/>
  <c r="L106" i="9"/>
  <c r="L108" i="9"/>
  <c r="K108" i="9"/>
  <c r="M111" i="9"/>
  <c r="P111" i="9" s="1"/>
  <c r="L111" i="9"/>
  <c r="K111" i="9"/>
  <c r="K117" i="9"/>
  <c r="P121" i="9"/>
  <c r="L122" i="9"/>
  <c r="P129" i="9"/>
  <c r="L130" i="9"/>
  <c r="M139" i="9"/>
  <c r="P139" i="9" s="1"/>
  <c r="L139" i="9"/>
  <c r="K139" i="9"/>
  <c r="K141" i="9"/>
  <c r="K142" i="9"/>
  <c r="P150" i="9"/>
  <c r="M155" i="9"/>
  <c r="P155" i="9" s="1"/>
  <c r="L155" i="9"/>
  <c r="K155" i="9"/>
  <c r="K157" i="9"/>
  <c r="L168" i="9"/>
  <c r="P174" i="9"/>
  <c r="M187" i="9"/>
  <c r="P187" i="9" s="1"/>
  <c r="L187" i="9"/>
  <c r="K187" i="9"/>
  <c r="K189" i="9"/>
  <c r="L200" i="9"/>
  <c r="P206" i="9"/>
  <c r="M219" i="9"/>
  <c r="P219" i="9" s="1"/>
  <c r="L219" i="9"/>
  <c r="K219" i="9"/>
  <c r="K221" i="9"/>
  <c r="L240" i="9"/>
  <c r="K254" i="9"/>
  <c r="L268" i="9"/>
  <c r="M268" i="9"/>
  <c r="P268" i="9" s="1"/>
  <c r="K268" i="9"/>
  <c r="K288" i="9"/>
  <c r="M232" i="9"/>
  <c r="P232" i="9" s="1"/>
  <c r="L256" i="9"/>
  <c r="M258" i="9"/>
  <c r="P258" i="9" s="1"/>
  <c r="L258" i="9"/>
  <c r="P265" i="9"/>
  <c r="L267" i="9"/>
  <c r="K267" i="9"/>
  <c r="P273" i="9"/>
  <c r="L275" i="9"/>
  <c r="P283" i="9"/>
  <c r="M290" i="9"/>
  <c r="P290" i="9" s="1"/>
  <c r="L290" i="9"/>
  <c r="P297" i="9"/>
  <c r="P301" i="9"/>
  <c r="P305" i="9"/>
  <c r="P309" i="9"/>
  <c r="P313" i="9"/>
  <c r="P240" i="9"/>
  <c r="L244" i="9"/>
  <c r="M246" i="9"/>
  <c r="P246" i="9" s="1"/>
  <c r="L246" i="9"/>
  <c r="L255" i="9"/>
  <c r="K255" i="9"/>
  <c r="M280" i="9"/>
  <c r="P280" i="9" s="1"/>
  <c r="L280" i="9"/>
  <c r="P287" i="9"/>
  <c r="M294" i="9"/>
  <c r="P294" i="9" s="1"/>
  <c r="L294" i="9"/>
  <c r="L369" i="9"/>
  <c r="L405" i="9"/>
  <c r="L231" i="9"/>
  <c r="K231" i="9"/>
  <c r="L243" i="9"/>
  <c r="K243" i="9"/>
  <c r="L264" i="9"/>
  <c r="M266" i="9"/>
  <c r="P266" i="9" s="1"/>
  <c r="L266" i="9"/>
  <c r="M274" i="9"/>
  <c r="P274" i="9" s="1"/>
  <c r="L274" i="9"/>
  <c r="M284" i="9"/>
  <c r="P284" i="9" s="1"/>
  <c r="L284" i="9"/>
  <c r="M298" i="9"/>
  <c r="P298" i="9" s="1"/>
  <c r="L298" i="9"/>
  <c r="K298" i="9"/>
  <c r="M302" i="9"/>
  <c r="P302" i="9" s="1"/>
  <c r="L302" i="9"/>
  <c r="K302" i="9"/>
  <c r="M306" i="9"/>
  <c r="P306" i="9" s="1"/>
  <c r="L306" i="9"/>
  <c r="K306" i="9"/>
  <c r="M310" i="9"/>
  <c r="P310" i="9" s="1"/>
  <c r="L310" i="9"/>
  <c r="K310" i="9"/>
  <c r="M314" i="9"/>
  <c r="P314" i="9" s="1"/>
  <c r="L314" i="9"/>
  <c r="K314" i="9"/>
  <c r="L446" i="9"/>
  <c r="L235" i="9"/>
  <c r="K235" i="9"/>
  <c r="L239" i="9"/>
  <c r="K239" i="9"/>
  <c r="L252" i="9"/>
  <c r="M254" i="9"/>
  <c r="P254" i="9" s="1"/>
  <c r="L254" i="9"/>
  <c r="P261" i="9"/>
  <c r="L263" i="9"/>
  <c r="K263" i="9"/>
  <c r="L279" i="9"/>
  <c r="M288" i="9"/>
  <c r="P288" i="9" s="1"/>
  <c r="L288" i="9"/>
  <c r="P295" i="9"/>
  <c r="P299" i="9"/>
  <c r="P303" i="9"/>
  <c r="P307" i="9"/>
  <c r="P311" i="9"/>
  <c r="L428" i="9"/>
  <c r="M234" i="9"/>
  <c r="P234" i="9" s="1"/>
  <c r="L234" i="9"/>
  <c r="M238" i="9"/>
  <c r="P238" i="9" s="1"/>
  <c r="L238" i="9"/>
  <c r="M242" i="9"/>
  <c r="P242" i="9" s="1"/>
  <c r="L242" i="9"/>
  <c r="P249" i="9"/>
  <c r="L251" i="9"/>
  <c r="K251" i="9"/>
  <c r="K256" i="9"/>
  <c r="K258" i="9"/>
  <c r="M267" i="9"/>
  <c r="P267" i="9" s="1"/>
  <c r="M272" i="9"/>
  <c r="P272" i="9" s="1"/>
  <c r="L272" i="9"/>
  <c r="P281" i="9"/>
  <c r="L283" i="9"/>
  <c r="K290" i="9"/>
  <c r="M292" i="9"/>
  <c r="P292" i="9" s="1"/>
  <c r="L292" i="9"/>
  <c r="L325" i="9"/>
  <c r="M325" i="9"/>
  <c r="P325" i="9" s="1"/>
  <c r="K325" i="9"/>
  <c r="L341" i="9"/>
  <c r="M341" i="9"/>
  <c r="P341" i="9" s="1"/>
  <c r="K341" i="9"/>
  <c r="K160" i="9"/>
  <c r="K164" i="9"/>
  <c r="K168" i="9"/>
  <c r="K172" i="9"/>
  <c r="K176" i="9"/>
  <c r="K180" i="9"/>
  <c r="K184" i="9"/>
  <c r="K188" i="9"/>
  <c r="K192" i="9"/>
  <c r="K196" i="9"/>
  <c r="K200" i="9"/>
  <c r="K204" i="9"/>
  <c r="K208" i="9"/>
  <c r="K212" i="9"/>
  <c r="K216" i="9"/>
  <c r="K220" i="9"/>
  <c r="K224" i="9"/>
  <c r="K244" i="9"/>
  <c r="K246" i="9"/>
  <c r="M255" i="9"/>
  <c r="P255" i="9" s="1"/>
  <c r="P256" i="9"/>
  <c r="L260" i="9"/>
  <c r="M262" i="9"/>
  <c r="P262" i="9" s="1"/>
  <c r="L262" i="9"/>
  <c r="P269" i="9"/>
  <c r="L271" i="9"/>
  <c r="M278" i="9"/>
  <c r="P278" i="9" s="1"/>
  <c r="L278" i="9"/>
  <c r="K280" i="9"/>
  <c r="L287" i="9"/>
  <c r="K294" i="9"/>
  <c r="K227" i="9"/>
  <c r="K230" i="9"/>
  <c r="M231" i="9"/>
  <c r="P231" i="9" s="1"/>
  <c r="M243" i="9"/>
  <c r="P243" i="9" s="1"/>
  <c r="M244" i="9"/>
  <c r="P244" i="9" s="1"/>
  <c r="L248" i="9"/>
  <c r="M250" i="9"/>
  <c r="P250" i="9" s="1"/>
  <c r="L250" i="9"/>
  <c r="P257" i="9"/>
  <c r="L259" i="9"/>
  <c r="K259" i="9"/>
  <c r="K264" i="9"/>
  <c r="K266" i="9"/>
  <c r="K274" i="9"/>
  <c r="M282" i="9"/>
  <c r="P282" i="9" s="1"/>
  <c r="L282" i="9"/>
  <c r="K284" i="9"/>
  <c r="L291" i="9"/>
  <c r="L328" i="9"/>
  <c r="K328" i="9"/>
  <c r="M328" i="9"/>
  <c r="P328" i="9" s="1"/>
  <c r="M379" i="9"/>
  <c r="P379" i="9" s="1"/>
  <c r="L379" i="9"/>
  <c r="K379" i="9"/>
  <c r="L296" i="9"/>
  <c r="L300" i="9"/>
  <c r="L304" i="9"/>
  <c r="L308" i="9"/>
  <c r="L312" i="9"/>
  <c r="L324" i="9"/>
  <c r="K324" i="9"/>
  <c r="P327" i="9"/>
  <c r="M343" i="9"/>
  <c r="P343" i="9" s="1"/>
  <c r="K343" i="9"/>
  <c r="L348" i="9"/>
  <c r="K348" i="9"/>
  <c r="L353" i="9"/>
  <c r="P356" i="9"/>
  <c r="L364" i="9"/>
  <c r="K364" i="9"/>
  <c r="L373" i="9"/>
  <c r="M383" i="9"/>
  <c r="P383" i="9" s="1"/>
  <c r="L383" i="9"/>
  <c r="K383" i="9"/>
  <c r="K401" i="9"/>
  <c r="L425" i="9"/>
  <c r="M425" i="9"/>
  <c r="P425" i="9" s="1"/>
  <c r="K425" i="9"/>
  <c r="L435" i="9"/>
  <c r="K453" i="9"/>
  <c r="P323" i="9"/>
  <c r="P332" i="9"/>
  <c r="P334" i="9"/>
  <c r="L337" i="9"/>
  <c r="L340" i="9"/>
  <c r="K340" i="9"/>
  <c r="M359" i="9"/>
  <c r="P359" i="9" s="1"/>
  <c r="L359" i="9"/>
  <c r="K359" i="9"/>
  <c r="L368" i="9"/>
  <c r="L377" i="9"/>
  <c r="P384" i="9"/>
  <c r="M387" i="9"/>
  <c r="P387" i="9" s="1"/>
  <c r="L387" i="9"/>
  <c r="K387" i="9"/>
  <c r="L391" i="9"/>
  <c r="K400" i="9"/>
  <c r="L438" i="9"/>
  <c r="K438" i="9"/>
  <c r="M438" i="9"/>
  <c r="P438" i="9" s="1"/>
  <c r="K478" i="9"/>
  <c r="M482" i="9"/>
  <c r="P482" i="9" s="1"/>
  <c r="L482" i="9"/>
  <c r="K482" i="9"/>
  <c r="K316" i="9"/>
  <c r="P344" i="9"/>
  <c r="L352" i="9"/>
  <c r="K352" i="9"/>
  <c r="L357" i="9"/>
  <c r="P360" i="9"/>
  <c r="P366" i="9"/>
  <c r="L372" i="9"/>
  <c r="L381" i="9"/>
  <c r="K396" i="9"/>
  <c r="M427" i="9"/>
  <c r="P427" i="9" s="1"/>
  <c r="L427" i="9"/>
  <c r="K427" i="9"/>
  <c r="L317" i="9"/>
  <c r="P330" i="9"/>
  <c r="L333" i="9"/>
  <c r="L336" i="9"/>
  <c r="K336" i="9"/>
  <c r="M347" i="9"/>
  <c r="P347" i="9" s="1"/>
  <c r="L347" i="9"/>
  <c r="K347" i="9"/>
  <c r="M363" i="9"/>
  <c r="P363" i="9" s="1"/>
  <c r="L363" i="9"/>
  <c r="K363" i="9"/>
  <c r="P370" i="9"/>
  <c r="L376" i="9"/>
  <c r="L385" i="9"/>
  <c r="P392" i="9"/>
  <c r="L395" i="9"/>
  <c r="M403" i="9"/>
  <c r="P403" i="9" s="1"/>
  <c r="L403" i="9"/>
  <c r="K403" i="9"/>
  <c r="P405" i="9"/>
  <c r="L407" i="9"/>
  <c r="L458" i="9"/>
  <c r="K525" i="9"/>
  <c r="L525" i="9"/>
  <c r="M525" i="9"/>
  <c r="P525" i="9" s="1"/>
  <c r="M324" i="9"/>
  <c r="P324" i="9" s="1"/>
  <c r="K327" i="9"/>
  <c r="P335" i="9"/>
  <c r="L343" i="9"/>
  <c r="L345" i="9"/>
  <c r="M348" i="9"/>
  <c r="P348" i="9" s="1"/>
  <c r="L356" i="9"/>
  <c r="K356" i="9"/>
  <c r="L361" i="9"/>
  <c r="M364" i="9"/>
  <c r="P364" i="9" s="1"/>
  <c r="M367" i="9"/>
  <c r="P367" i="9" s="1"/>
  <c r="L367" i="9"/>
  <c r="K367" i="9"/>
  <c r="P374" i="9"/>
  <c r="L380" i="9"/>
  <c r="P414" i="9"/>
  <c r="K271" i="9"/>
  <c r="K275" i="9"/>
  <c r="K279" i="9"/>
  <c r="K283" i="9"/>
  <c r="K287" i="9"/>
  <c r="K291" i="9"/>
  <c r="K295" i="9"/>
  <c r="K299" i="9"/>
  <c r="K303" i="9"/>
  <c r="K307" i="9"/>
  <c r="K311" i="9"/>
  <c r="K315" i="9"/>
  <c r="K323" i="9"/>
  <c r="P326" i="9"/>
  <c r="L327" i="9"/>
  <c r="L329" i="9"/>
  <c r="L332" i="9"/>
  <c r="K332" i="9"/>
  <c r="K337" i="9"/>
  <c r="M340" i="9"/>
  <c r="P340" i="9" s="1"/>
  <c r="P342" i="9"/>
  <c r="M351" i="9"/>
  <c r="P351" i="9" s="1"/>
  <c r="L351" i="9"/>
  <c r="K351" i="9"/>
  <c r="P354" i="9"/>
  <c r="P368" i="9"/>
  <c r="M371" i="9"/>
  <c r="P371" i="9" s="1"/>
  <c r="L371" i="9"/>
  <c r="K371" i="9"/>
  <c r="P378" i="9"/>
  <c r="L384" i="9"/>
  <c r="L389" i="9"/>
  <c r="P408" i="9"/>
  <c r="L411" i="9"/>
  <c r="L423" i="9"/>
  <c r="L426" i="9"/>
  <c r="M426" i="9"/>
  <c r="P426" i="9" s="1"/>
  <c r="K426" i="9"/>
  <c r="K429" i="9"/>
  <c r="L315" i="9"/>
  <c r="L316" i="9"/>
  <c r="P319" i="9"/>
  <c r="K320" i="9"/>
  <c r="L321" i="9"/>
  <c r="L323" i="9"/>
  <c r="P331" i="9"/>
  <c r="M337" i="9"/>
  <c r="P337" i="9" s="1"/>
  <c r="K339" i="9"/>
  <c r="L344" i="9"/>
  <c r="K344" i="9"/>
  <c r="L349" i="9"/>
  <c r="M352" i="9"/>
  <c r="P352" i="9" s="1"/>
  <c r="L360" i="9"/>
  <c r="K360" i="9"/>
  <c r="L365" i="9"/>
  <c r="P372" i="9"/>
  <c r="M375" i="9"/>
  <c r="P375" i="9" s="1"/>
  <c r="L375" i="9"/>
  <c r="K375" i="9"/>
  <c r="P382" i="9"/>
  <c r="L402" i="9"/>
  <c r="M402" i="9"/>
  <c r="P402" i="9" s="1"/>
  <c r="K402" i="9"/>
  <c r="L419" i="9"/>
  <c r="K439" i="9"/>
  <c r="M470" i="9"/>
  <c r="P470" i="9" s="1"/>
  <c r="L470" i="9"/>
  <c r="K470" i="9"/>
  <c r="L388" i="9"/>
  <c r="K397" i="9"/>
  <c r="L404" i="9"/>
  <c r="P415" i="9"/>
  <c r="L421" i="9"/>
  <c r="L422" i="9"/>
  <c r="L424" i="9"/>
  <c r="K431" i="9"/>
  <c r="M437" i="9"/>
  <c r="P437" i="9" s="1"/>
  <c r="L437" i="9"/>
  <c r="P442" i="9"/>
  <c r="L443" i="9"/>
  <c r="M445" i="9"/>
  <c r="P445" i="9" s="1"/>
  <c r="L445" i="9"/>
  <c r="L452" i="9"/>
  <c r="K455" i="9"/>
  <c r="L390" i="9"/>
  <c r="P396" i="9"/>
  <c r="L406" i="9"/>
  <c r="L417" i="9"/>
  <c r="L418" i="9"/>
  <c r="L420" i="9"/>
  <c r="P430" i="9"/>
  <c r="L436" i="9"/>
  <c r="P448" i="9"/>
  <c r="P451" i="9"/>
  <c r="P454" i="9"/>
  <c r="M457" i="9"/>
  <c r="P457" i="9" s="1"/>
  <c r="L457" i="9"/>
  <c r="K457" i="9"/>
  <c r="P460" i="9"/>
  <c r="K468" i="9"/>
  <c r="M484" i="9"/>
  <c r="P484" i="9" s="1"/>
  <c r="L484" i="9"/>
  <c r="K484" i="9"/>
  <c r="L492" i="9"/>
  <c r="K601" i="9"/>
  <c r="L609" i="9"/>
  <c r="K609" i="9"/>
  <c r="M609" i="9"/>
  <c r="P609" i="9" s="1"/>
  <c r="L392" i="9"/>
  <c r="P398" i="9"/>
  <c r="L408" i="9"/>
  <c r="L413" i="9"/>
  <c r="L414" i="9"/>
  <c r="L416" i="9"/>
  <c r="L434" i="9"/>
  <c r="K434" i="9"/>
  <c r="L444" i="9"/>
  <c r="K447" i="9"/>
  <c r="L450" i="9"/>
  <c r="P462" i="9"/>
  <c r="K480" i="9"/>
  <c r="M532" i="9"/>
  <c r="P532" i="9" s="1"/>
  <c r="K532" i="9"/>
  <c r="L532" i="9"/>
  <c r="L394" i="9"/>
  <c r="P400" i="9"/>
  <c r="L410" i="9"/>
  <c r="L412" i="9"/>
  <c r="M433" i="9"/>
  <c r="P433" i="9" s="1"/>
  <c r="L433" i="9"/>
  <c r="P443" i="9"/>
  <c r="P446" i="9"/>
  <c r="M449" i="9"/>
  <c r="P449" i="9" s="1"/>
  <c r="L449" i="9"/>
  <c r="L456" i="9"/>
  <c r="P458" i="9"/>
  <c r="K488" i="9"/>
  <c r="M488" i="9"/>
  <c r="P488" i="9" s="1"/>
  <c r="L488" i="9"/>
  <c r="L495" i="9"/>
  <c r="L549" i="9"/>
  <c r="K549" i="9"/>
  <c r="M549" i="9"/>
  <c r="P549" i="9" s="1"/>
  <c r="L396" i="9"/>
  <c r="P428" i="9"/>
  <c r="L432" i="9"/>
  <c r="L442" i="9"/>
  <c r="L479" i="9"/>
  <c r="K483" i="9"/>
  <c r="M483" i="9"/>
  <c r="P483" i="9" s="1"/>
  <c r="L483" i="9"/>
  <c r="M491" i="9"/>
  <c r="P491" i="9" s="1"/>
  <c r="K491" i="9"/>
  <c r="L491" i="9"/>
  <c r="P498" i="9"/>
  <c r="K368" i="9"/>
  <c r="K372" i="9"/>
  <c r="K376" i="9"/>
  <c r="K380" i="9"/>
  <c r="K384" i="9"/>
  <c r="M388" i="9"/>
  <c r="P388" i="9" s="1"/>
  <c r="K390" i="9"/>
  <c r="K391" i="9"/>
  <c r="L398" i="9"/>
  <c r="M404" i="9"/>
  <c r="P404" i="9" s="1"/>
  <c r="K406" i="9"/>
  <c r="K407" i="9"/>
  <c r="K417" i="9"/>
  <c r="K418" i="9"/>
  <c r="K419" i="9"/>
  <c r="K420" i="9"/>
  <c r="M421" i="9"/>
  <c r="P421" i="9" s="1"/>
  <c r="M422" i="9"/>
  <c r="P422" i="9" s="1"/>
  <c r="M424" i="9"/>
  <c r="P424" i="9" s="1"/>
  <c r="L430" i="9"/>
  <c r="K430" i="9"/>
  <c r="K435" i="9"/>
  <c r="M441" i="9"/>
  <c r="P441" i="9" s="1"/>
  <c r="L441" i="9"/>
  <c r="L448" i="9"/>
  <c r="K451" i="9"/>
  <c r="L454" i="9"/>
  <c r="L460" i="9"/>
  <c r="L472" i="9"/>
  <c r="P477" i="9"/>
  <c r="K587" i="9"/>
  <c r="M390" i="9"/>
  <c r="P390" i="9" s="1"/>
  <c r="L400" i="9"/>
  <c r="M406" i="9"/>
  <c r="P406" i="9" s="1"/>
  <c r="M417" i="9"/>
  <c r="P417" i="9" s="1"/>
  <c r="M418" i="9"/>
  <c r="P418" i="9" s="1"/>
  <c r="M420" i="9"/>
  <c r="P420" i="9" s="1"/>
  <c r="P423" i="9"/>
  <c r="M429" i="9"/>
  <c r="P429" i="9" s="1"/>
  <c r="L429" i="9"/>
  <c r="P434" i="9"/>
  <c r="P436" i="9"/>
  <c r="L440" i="9"/>
  <c r="P444" i="9"/>
  <c r="P447" i="9"/>
  <c r="P450" i="9"/>
  <c r="L451" i="9"/>
  <c r="M453" i="9"/>
  <c r="P453" i="9" s="1"/>
  <c r="L453" i="9"/>
  <c r="K471" i="9"/>
  <c r="M471" i="9"/>
  <c r="P471" i="9" s="1"/>
  <c r="L471" i="9"/>
  <c r="K567" i="9"/>
  <c r="L619" i="9"/>
  <c r="M487" i="9"/>
  <c r="P487" i="9" s="1"/>
  <c r="K487" i="9"/>
  <c r="K517" i="9"/>
  <c r="L517" i="9"/>
  <c r="L579" i="9"/>
  <c r="M579" i="9"/>
  <c r="P579" i="9" s="1"/>
  <c r="K579" i="9"/>
  <c r="L637" i="9"/>
  <c r="P500" i="9"/>
  <c r="K512" i="9"/>
  <c r="M515" i="9"/>
  <c r="P515" i="9" s="1"/>
  <c r="K515" i="9"/>
  <c r="P519" i="9"/>
  <c r="M524" i="9"/>
  <c r="P524" i="9" s="1"/>
  <c r="K524" i="9"/>
  <c r="L524" i="9"/>
  <c r="L544" i="9"/>
  <c r="M548" i="9"/>
  <c r="P548" i="9" s="1"/>
  <c r="K548" i="9"/>
  <c r="P556" i="9"/>
  <c r="K566" i="9"/>
  <c r="K586" i="9"/>
  <c r="K463" i="9"/>
  <c r="K508" i="9"/>
  <c r="M511" i="9"/>
  <c r="P511" i="9" s="1"/>
  <c r="K511" i="9"/>
  <c r="P534" i="9"/>
  <c r="L547" i="9"/>
  <c r="K547" i="9"/>
  <c r="K589" i="9"/>
  <c r="K614" i="9"/>
  <c r="L618" i="9"/>
  <c r="M618" i="9"/>
  <c r="P618" i="9" s="1"/>
  <c r="K618" i="9"/>
  <c r="M474" i="9"/>
  <c r="P474" i="9" s="1"/>
  <c r="L474" i="9"/>
  <c r="K475" i="9"/>
  <c r="P479" i="9"/>
  <c r="K504" i="9"/>
  <c r="M507" i="9"/>
  <c r="P507" i="9" s="1"/>
  <c r="K507" i="9"/>
  <c r="P523" i="9"/>
  <c r="K541" i="9"/>
  <c r="L541" i="9"/>
  <c r="P543" i="9"/>
  <c r="K569" i="9"/>
  <c r="L578" i="9"/>
  <c r="M578" i="9"/>
  <c r="P578" i="9" s="1"/>
  <c r="K578" i="9"/>
  <c r="L581" i="9"/>
  <c r="M581" i="9"/>
  <c r="P581" i="9" s="1"/>
  <c r="K581" i="9"/>
  <c r="K599" i="9"/>
  <c r="P468" i="9"/>
  <c r="L487" i="9"/>
  <c r="K500" i="9"/>
  <c r="M503" i="9"/>
  <c r="P503" i="9" s="1"/>
  <c r="K503" i="9"/>
  <c r="M517" i="9"/>
  <c r="P517" i="9" s="1"/>
  <c r="P526" i="9"/>
  <c r="L546" i="9"/>
  <c r="K546" i="9"/>
  <c r="P555" i="9"/>
  <c r="K610" i="9"/>
  <c r="P615" i="9"/>
  <c r="K442" i="9"/>
  <c r="K446" i="9"/>
  <c r="K450" i="9"/>
  <c r="K454" i="9"/>
  <c r="K458" i="9"/>
  <c r="K462" i="9"/>
  <c r="M466" i="9"/>
  <c r="P466" i="9" s="1"/>
  <c r="L466" i="9"/>
  <c r="K467" i="9"/>
  <c r="K472" i="9"/>
  <c r="K496" i="9"/>
  <c r="M499" i="9"/>
  <c r="P499" i="9" s="1"/>
  <c r="K499" i="9"/>
  <c r="L512" i="9"/>
  <c r="L515" i="9"/>
  <c r="P516" i="9"/>
  <c r="K533" i="9"/>
  <c r="L533" i="9"/>
  <c r="P535" i="9"/>
  <c r="M540" i="9"/>
  <c r="P540" i="9" s="1"/>
  <c r="K540" i="9"/>
  <c r="L540" i="9"/>
  <c r="L548" i="9"/>
  <c r="P588" i="9"/>
  <c r="K598" i="9"/>
  <c r="P602" i="9"/>
  <c r="L462" i="9"/>
  <c r="M478" i="9"/>
  <c r="P478" i="9" s="1"/>
  <c r="L478" i="9"/>
  <c r="K479" i="9"/>
  <c r="K492" i="9"/>
  <c r="M495" i="9"/>
  <c r="P495" i="9" s="1"/>
  <c r="K495" i="9"/>
  <c r="M512" i="9"/>
  <c r="P512" i="9" s="1"/>
  <c r="P518" i="9"/>
  <c r="M547" i="9"/>
  <c r="P547" i="9" s="1"/>
  <c r="K557" i="9"/>
  <c r="M580" i="9"/>
  <c r="P580" i="9" s="1"/>
  <c r="L580" i="9"/>
  <c r="K580" i="9"/>
  <c r="M620" i="9"/>
  <c r="P620" i="9" s="1"/>
  <c r="L620" i="9"/>
  <c r="K620" i="9"/>
  <c r="K516" i="9"/>
  <c r="L550" i="9"/>
  <c r="L551" i="9"/>
  <c r="L553" i="9"/>
  <c r="K568" i="9"/>
  <c r="P571" i="9"/>
  <c r="P573" i="9"/>
  <c r="P576" i="9"/>
  <c r="L582" i="9"/>
  <c r="L583" i="9"/>
  <c r="L585" i="9"/>
  <c r="K600" i="9"/>
  <c r="P603" i="9"/>
  <c r="P605" i="9"/>
  <c r="K616" i="9"/>
  <c r="L621" i="9"/>
  <c r="K621" i="9"/>
  <c r="P627" i="9"/>
  <c r="L630" i="9"/>
  <c r="L631" i="9"/>
  <c r="L486" i="9"/>
  <c r="L490" i="9"/>
  <c r="L494" i="9"/>
  <c r="L498" i="9"/>
  <c r="L502" i="9"/>
  <c r="L506" i="9"/>
  <c r="L510" i="9"/>
  <c r="L514" i="9"/>
  <c r="K558" i="9"/>
  <c r="K559" i="9"/>
  <c r="K560" i="9"/>
  <c r="K561" i="9"/>
  <c r="L564" i="9"/>
  <c r="L574" i="9"/>
  <c r="L575" i="9"/>
  <c r="L577" i="9"/>
  <c r="K590" i="9"/>
  <c r="K591" i="9"/>
  <c r="K592" i="9"/>
  <c r="K593" i="9"/>
  <c r="L596" i="9"/>
  <c r="L606" i="9"/>
  <c r="L607" i="9"/>
  <c r="P608" i="9"/>
  <c r="K622" i="9"/>
  <c r="L629" i="9"/>
  <c r="K629" i="9"/>
  <c r="K554" i="9"/>
  <c r="K555" i="9"/>
  <c r="K556" i="9"/>
  <c r="L560" i="9"/>
  <c r="L570" i="9"/>
  <c r="L571" i="9"/>
  <c r="L573" i="9"/>
  <c r="K588" i="9"/>
  <c r="L592" i="9"/>
  <c r="L602" i="9"/>
  <c r="L603" i="9"/>
  <c r="L605" i="9"/>
  <c r="K612" i="9"/>
  <c r="L617" i="9"/>
  <c r="K617" i="9"/>
  <c r="P623" i="9"/>
  <c r="L626" i="9"/>
  <c r="L627" i="9"/>
  <c r="P628" i="9"/>
  <c r="P633" i="9"/>
  <c r="K636" i="9"/>
  <c r="M636" i="9"/>
  <c r="P636" i="9" s="1"/>
  <c r="M544" i="9"/>
  <c r="P544" i="9" s="1"/>
  <c r="K544" i="9"/>
  <c r="L556" i="9"/>
  <c r="P557" i="9"/>
  <c r="L566" i="9"/>
  <c r="L567" i="9"/>
  <c r="L569" i="9"/>
  <c r="P587" i="9"/>
  <c r="P589" i="9"/>
  <c r="L598" i="9"/>
  <c r="L599" i="9"/>
  <c r="L601" i="9"/>
  <c r="P611" i="9"/>
  <c r="L614" i="9"/>
  <c r="L615" i="9"/>
  <c r="P616" i="9"/>
  <c r="K632" i="9"/>
  <c r="M520" i="9"/>
  <c r="P520" i="9" s="1"/>
  <c r="K520" i="9"/>
  <c r="K521" i="9"/>
  <c r="M528" i="9"/>
  <c r="P528" i="9" s="1"/>
  <c r="K528" i="9"/>
  <c r="K529" i="9"/>
  <c r="M536" i="9"/>
  <c r="P536" i="9" s="1"/>
  <c r="K536" i="9"/>
  <c r="K537" i="9"/>
  <c r="P551" i="9"/>
  <c r="P553" i="9"/>
  <c r="L562" i="9"/>
  <c r="L563" i="9"/>
  <c r="L565" i="9"/>
  <c r="P583" i="9"/>
  <c r="P585" i="9"/>
  <c r="L594" i="9"/>
  <c r="L595" i="9"/>
  <c r="L597" i="9"/>
  <c r="L625" i="9"/>
  <c r="K625" i="9"/>
  <c r="P631" i="9"/>
  <c r="L634" i="9"/>
  <c r="P635" i="9"/>
  <c r="L558" i="9"/>
  <c r="L559" i="9"/>
  <c r="L561" i="9"/>
  <c r="L590" i="9"/>
  <c r="L591" i="9"/>
  <c r="L593" i="9"/>
  <c r="L613" i="9"/>
  <c r="K613" i="9"/>
  <c r="L622" i="9"/>
  <c r="L623" i="9"/>
  <c r="M629" i="9"/>
  <c r="P629" i="9" s="1"/>
  <c r="L554" i="9"/>
  <c r="L555" i="9"/>
  <c r="L557" i="9"/>
  <c r="P575" i="9"/>
  <c r="P577" i="9"/>
  <c r="L586" i="9"/>
  <c r="L587" i="9"/>
  <c r="L589" i="9"/>
  <c r="P607" i="9"/>
  <c r="L610" i="9"/>
  <c r="L611" i="9"/>
  <c r="P612" i="9"/>
  <c r="K628" i="9"/>
  <c r="L633" i="9"/>
  <c r="K633" i="9"/>
  <c r="L636" i="9"/>
  <c r="K637" i="9"/>
  <c r="L635" i="9"/>
  <c r="E8" i="7"/>
  <c r="F8" i="7"/>
  <c r="F9" i="7" s="1"/>
  <c r="G8" i="7"/>
  <c r="G9" i="7" s="1"/>
  <c r="E18" i="6"/>
  <c r="R21" i="5" s="1"/>
  <c r="S43" i="5"/>
  <c r="H7" i="5"/>
  <c r="C7" i="5"/>
  <c r="S36" i="5"/>
  <c r="F7" i="5"/>
  <c r="S34" i="5"/>
  <c r="F9" i="3"/>
  <c r="Q26" i="24" l="1"/>
  <c r="G11" i="2" s="1"/>
  <c r="E26" i="2"/>
  <c r="R30" i="24"/>
  <c r="K24" i="26"/>
  <c r="Q44" i="24"/>
  <c r="I11" i="2" s="1"/>
  <c r="H11" i="2"/>
  <c r="S35" i="24"/>
  <c r="D46" i="25"/>
  <c r="Q39" i="24" s="1"/>
  <c r="F12" i="2"/>
  <c r="S12" i="24"/>
  <c r="E25" i="2"/>
  <c r="H25" i="2"/>
  <c r="R44" i="24"/>
  <c r="I25" i="2" s="1"/>
  <c r="R48" i="24"/>
  <c r="I26" i="2" s="1"/>
  <c r="F11" i="2"/>
  <c r="S8" i="24"/>
  <c r="D58" i="19"/>
  <c r="Q37" i="29" s="1"/>
  <c r="Q46" i="29" s="1"/>
  <c r="C9" i="20"/>
  <c r="E51" i="19"/>
  <c r="C8" i="29"/>
  <c r="I20" i="2"/>
  <c r="D7" i="29"/>
  <c r="I7" i="29"/>
  <c r="I9" i="29" s="1"/>
  <c r="S48" i="29"/>
  <c r="F7" i="2"/>
  <c r="S7" i="29"/>
  <c r="I22" i="2"/>
  <c r="S9" i="29"/>
  <c r="F9" i="2"/>
  <c r="I6" i="2"/>
  <c r="S42" i="29"/>
  <c r="C7" i="29"/>
  <c r="C9" i="29" s="1"/>
  <c r="F10" i="2"/>
  <c r="S10" i="29"/>
  <c r="E58" i="19"/>
  <c r="R37" i="29" s="1"/>
  <c r="R46" i="29" s="1"/>
  <c r="D43" i="13"/>
  <c r="Q39" i="12" s="1"/>
  <c r="Q48" i="12" s="1"/>
  <c r="F13" i="2"/>
  <c r="S27" i="12"/>
  <c r="N8" i="15" s="1"/>
  <c r="O8" i="15" s="1"/>
  <c r="F7" i="12"/>
  <c r="S24" i="12"/>
  <c r="C8" i="12"/>
  <c r="S25" i="12"/>
  <c r="N6" i="15" s="1"/>
  <c r="O6" i="15" s="1"/>
  <c r="D7" i="12"/>
  <c r="D9" i="12" s="1"/>
  <c r="H8" i="5"/>
  <c r="H9" i="5" s="1"/>
  <c r="S47" i="5"/>
  <c r="G19" i="2"/>
  <c r="S12" i="5"/>
  <c r="K22" i="7"/>
  <c r="L5" i="2"/>
  <c r="K23" i="7"/>
  <c r="C8" i="7" s="1"/>
  <c r="L19" i="2"/>
  <c r="G27" i="2"/>
  <c r="G13" i="2"/>
  <c r="S46" i="5"/>
  <c r="S26" i="5"/>
  <c r="N7" i="9" s="1"/>
  <c r="O7" i="9" s="1"/>
  <c r="S25" i="5"/>
  <c r="N6" i="9" s="1"/>
  <c r="O6" i="9" s="1"/>
  <c r="D7" i="5"/>
  <c r="D9" i="5" s="1"/>
  <c r="R48" i="5"/>
  <c r="I19" i="2" s="1"/>
  <c r="H19" i="2"/>
  <c r="S44" i="29"/>
  <c r="E7" i="2"/>
  <c r="S16" i="29"/>
  <c r="E23" i="2"/>
  <c r="E21" i="2"/>
  <c r="E9" i="2"/>
  <c r="F7" i="29"/>
  <c r="S18" i="29"/>
  <c r="H9" i="2"/>
  <c r="S34" i="29"/>
  <c r="H7" i="2"/>
  <c r="S36" i="29"/>
  <c r="H23" i="2"/>
  <c r="R45" i="29"/>
  <c r="R43" i="29"/>
  <c r="H21" i="2"/>
  <c r="H9" i="24"/>
  <c r="S21" i="24"/>
  <c r="E12" i="2"/>
  <c r="E11" i="2"/>
  <c r="S17" i="24"/>
  <c r="G26" i="2"/>
  <c r="K24" i="20"/>
  <c r="S39" i="5"/>
  <c r="H5" i="2"/>
  <c r="E19" i="2"/>
  <c r="I7" i="5"/>
  <c r="E5" i="2"/>
  <c r="C7" i="26"/>
  <c r="C9" i="26" s="1"/>
  <c r="S47" i="24"/>
  <c r="D9" i="24"/>
  <c r="S43" i="24"/>
  <c r="S46" i="24"/>
  <c r="S44" i="24"/>
  <c r="S24" i="24"/>
  <c r="R19" i="29"/>
  <c r="D51" i="19"/>
  <c r="Q19" i="29" s="1"/>
  <c r="K14" i="14"/>
  <c r="K15" i="14" s="1"/>
  <c r="K12" i="14"/>
  <c r="K13" i="14" s="1"/>
  <c r="E9" i="12"/>
  <c r="S47" i="12"/>
  <c r="H9" i="12"/>
  <c r="N9" i="15"/>
  <c r="O9" i="15" s="1"/>
  <c r="S46" i="12"/>
  <c r="G9" i="12"/>
  <c r="S43" i="12"/>
  <c r="C9" i="12"/>
  <c r="S42" i="5"/>
  <c r="S21" i="5"/>
  <c r="S44" i="5"/>
  <c r="G8" i="5"/>
  <c r="G9" i="5" s="1"/>
  <c r="E9" i="5"/>
  <c r="S45" i="5"/>
  <c r="I643" i="27"/>
  <c r="G9" i="26"/>
  <c r="S28" i="24"/>
  <c r="N9" i="27" s="1"/>
  <c r="O9" i="27" s="1"/>
  <c r="G7" i="24"/>
  <c r="G9" i="24" s="1"/>
  <c r="J643" i="15"/>
  <c r="P12" i="13"/>
  <c r="H13" i="13"/>
  <c r="R12" i="12" s="1"/>
  <c r="K12" i="13"/>
  <c r="S30" i="12"/>
  <c r="E9" i="7"/>
  <c r="S29" i="5"/>
  <c r="N9" i="9" s="1"/>
  <c r="O9" i="9" s="1"/>
  <c r="F9" i="5"/>
  <c r="S27" i="5"/>
  <c r="N8" i="9" s="1"/>
  <c r="O8" i="9" s="1"/>
  <c r="S24" i="5"/>
  <c r="I8" i="24" l="1"/>
  <c r="J8" i="24" s="1"/>
  <c r="C6" i="23" s="1"/>
  <c r="D17" i="3" s="1"/>
  <c r="G25" i="2"/>
  <c r="E8" i="24"/>
  <c r="S26" i="24"/>
  <c r="N7" i="27" s="1"/>
  <c r="O7" i="27" s="1"/>
  <c r="I7" i="24"/>
  <c r="I9" i="24" s="1"/>
  <c r="Q48" i="24"/>
  <c r="H12" i="2"/>
  <c r="S39" i="24"/>
  <c r="E7" i="24"/>
  <c r="E9" i="24" s="1"/>
  <c r="H10" i="2"/>
  <c r="H24" i="2"/>
  <c r="S37" i="29"/>
  <c r="N5" i="15"/>
  <c r="O5" i="15" s="1"/>
  <c r="O10" i="15" s="1"/>
  <c r="K643" i="15" s="1"/>
  <c r="L643" i="15" s="1"/>
  <c r="I13" i="2"/>
  <c r="I7" i="12"/>
  <c r="H13" i="2"/>
  <c r="F27" i="2"/>
  <c r="S12" i="12"/>
  <c r="K23" i="14"/>
  <c r="C8" i="14" s="1"/>
  <c r="L27" i="2"/>
  <c r="K22" i="14"/>
  <c r="C7" i="14" s="1"/>
  <c r="L13" i="2"/>
  <c r="C7" i="7"/>
  <c r="C9" i="7" s="1"/>
  <c r="K24" i="7"/>
  <c r="G23" i="2"/>
  <c r="F8" i="29"/>
  <c r="G21" i="2"/>
  <c r="D8" i="29"/>
  <c r="S30" i="5"/>
  <c r="N5" i="9" s="1"/>
  <c r="O5" i="9" s="1"/>
  <c r="O10" i="9" s="1"/>
  <c r="K644" i="9" s="1"/>
  <c r="L644" i="9" s="1"/>
  <c r="I8" i="5"/>
  <c r="J8" i="5" s="1"/>
  <c r="C6" i="4" s="1"/>
  <c r="D15" i="3" s="1"/>
  <c r="S48" i="5"/>
  <c r="E9" i="29"/>
  <c r="G9" i="2"/>
  <c r="S27" i="29"/>
  <c r="N8" i="21" s="1"/>
  <c r="O8" i="21" s="1"/>
  <c r="E24" i="2"/>
  <c r="S19" i="29"/>
  <c r="E10" i="2"/>
  <c r="G7" i="29"/>
  <c r="G7" i="2"/>
  <c r="S25" i="29"/>
  <c r="N6" i="21" s="1"/>
  <c r="O6" i="21" s="1"/>
  <c r="I9" i="2"/>
  <c r="I24" i="2"/>
  <c r="I23" i="2"/>
  <c r="S45" i="29"/>
  <c r="I21" i="2"/>
  <c r="S46" i="29"/>
  <c r="I10" i="2"/>
  <c r="S43" i="29"/>
  <c r="I7" i="2"/>
  <c r="G12" i="2"/>
  <c r="S30" i="24"/>
  <c r="N5" i="27" s="1"/>
  <c r="O5" i="27" s="1"/>
  <c r="I5" i="2"/>
  <c r="G5" i="2"/>
  <c r="F9" i="12"/>
  <c r="C9" i="14"/>
  <c r="P13" i="13"/>
  <c r="K13" i="13"/>
  <c r="O13" i="13"/>
  <c r="E43" i="13"/>
  <c r="R39" i="12" s="1"/>
  <c r="J7" i="12"/>
  <c r="C5" i="11" s="1"/>
  <c r="C9" i="5"/>
  <c r="J7" i="24" l="1"/>
  <c r="C5" i="23" s="1"/>
  <c r="D7" i="3" s="1"/>
  <c r="I9" i="5"/>
  <c r="O10" i="27"/>
  <c r="K643" i="27" s="1"/>
  <c r="L643" i="27" s="1"/>
  <c r="R6" i="26" s="1"/>
  <c r="I12" i="2"/>
  <c r="S48" i="24"/>
  <c r="E36" i="13"/>
  <c r="R21" i="12" s="1"/>
  <c r="H27" i="2"/>
  <c r="R48" i="12"/>
  <c r="S39" i="12"/>
  <c r="K24" i="14"/>
  <c r="G24" i="2"/>
  <c r="G8" i="29"/>
  <c r="J8" i="29" s="1"/>
  <c r="C6" i="17" s="1"/>
  <c r="D16" i="3" s="1"/>
  <c r="D8" i="3"/>
  <c r="F9" i="29"/>
  <c r="G10" i="2"/>
  <c r="S28" i="29"/>
  <c r="N9" i="21" s="1"/>
  <c r="O9" i="21" s="1"/>
  <c r="O10" i="21" s="1"/>
  <c r="K39" i="21" s="1"/>
  <c r="L39" i="21" s="1"/>
  <c r="J7" i="29"/>
  <c r="D9" i="29"/>
  <c r="R7" i="26"/>
  <c r="J7" i="5"/>
  <c r="J9" i="5" s="1"/>
  <c r="R7" i="14"/>
  <c r="R6" i="14"/>
  <c r="R7" i="7"/>
  <c r="R6" i="7"/>
  <c r="D33" i="2"/>
  <c r="F15" i="3"/>
  <c r="F17" i="3"/>
  <c r="F27" i="3" s="1"/>
  <c r="F18" i="3"/>
  <c r="F28" i="3" s="1"/>
  <c r="F16" i="3"/>
  <c r="F26" i="3" s="1"/>
  <c r="D27" i="3" l="1"/>
  <c r="J9" i="24"/>
  <c r="C7" i="23"/>
  <c r="E27" i="2"/>
  <c r="S21" i="12"/>
  <c r="S48" i="12"/>
  <c r="I27" i="2"/>
  <c r="I8" i="12"/>
  <c r="R14" i="14"/>
  <c r="D8" i="14" s="1"/>
  <c r="H8" i="14" s="1"/>
  <c r="C11" i="11" s="1"/>
  <c r="M27" i="2"/>
  <c r="R13" i="14"/>
  <c r="D7" i="14" s="1"/>
  <c r="M13" i="2"/>
  <c r="C5" i="4"/>
  <c r="D5" i="3" s="1"/>
  <c r="D25" i="3" s="1"/>
  <c r="R6" i="20"/>
  <c r="R7" i="20"/>
  <c r="G9" i="29"/>
  <c r="C5" i="17"/>
  <c r="J9" i="29"/>
  <c r="R14" i="26"/>
  <c r="D8" i="26" s="1"/>
  <c r="H8" i="26" s="1"/>
  <c r="C11" i="23" s="1"/>
  <c r="M25" i="2"/>
  <c r="R13" i="26"/>
  <c r="M11" i="2"/>
  <c r="R13" i="7"/>
  <c r="D7" i="7" s="1"/>
  <c r="M5" i="2"/>
  <c r="R14" i="7"/>
  <c r="D8" i="7" s="1"/>
  <c r="H8" i="7" s="1"/>
  <c r="C11" i="4" s="1"/>
  <c r="M19" i="2"/>
  <c r="F19" i="3"/>
  <c r="E35" i="3" s="1"/>
  <c r="F25" i="3"/>
  <c r="F29" i="3" s="1"/>
  <c r="R15" i="14" l="1"/>
  <c r="J8" i="12"/>
  <c r="I9" i="12"/>
  <c r="E18" i="3"/>
  <c r="C7" i="4"/>
  <c r="M6" i="2"/>
  <c r="R13" i="20"/>
  <c r="M20" i="2"/>
  <c r="R14" i="20"/>
  <c r="D8" i="20" s="1"/>
  <c r="H8" i="20" s="1"/>
  <c r="C11" i="17" s="1"/>
  <c r="D6" i="3"/>
  <c r="C7" i="17"/>
  <c r="E17" i="3"/>
  <c r="G17" i="3" s="1"/>
  <c r="C16" i="23"/>
  <c r="D7" i="26"/>
  <c r="R15" i="26"/>
  <c r="R15" i="7"/>
  <c r="C16" i="4"/>
  <c r="E15" i="3"/>
  <c r="G15" i="3" s="1"/>
  <c r="D9" i="14"/>
  <c r="H7" i="14"/>
  <c r="D9" i="7"/>
  <c r="H7" i="7"/>
  <c r="C6" i="11" l="1"/>
  <c r="J9" i="12"/>
  <c r="H9" i="14"/>
  <c r="C10" i="11"/>
  <c r="E16" i="3"/>
  <c r="D7" i="20"/>
  <c r="R15" i="20"/>
  <c r="D9" i="3"/>
  <c r="C33" i="3" s="1"/>
  <c r="D9" i="26"/>
  <c r="H7" i="26"/>
  <c r="H9" i="7"/>
  <c r="C10" i="4"/>
  <c r="E5" i="3" s="1"/>
  <c r="G5" i="3" l="1"/>
  <c r="E25" i="3"/>
  <c r="G25" i="3" s="1"/>
  <c r="D18" i="3"/>
  <c r="C7" i="11"/>
  <c r="C16" i="11"/>
  <c r="E8" i="3"/>
  <c r="C12" i="11"/>
  <c r="C15" i="11"/>
  <c r="C17" i="11" s="1"/>
  <c r="E19" i="3"/>
  <c r="D35" i="3" s="1"/>
  <c r="D9" i="20"/>
  <c r="H7" i="20"/>
  <c r="H9" i="26"/>
  <c r="C10" i="23"/>
  <c r="C12" i="4"/>
  <c r="C15" i="4"/>
  <c r="C17" i="4" s="1"/>
  <c r="E33" i="3"/>
  <c r="E37" i="3" s="1"/>
  <c r="G8" i="3" l="1"/>
  <c r="E28" i="3"/>
  <c r="D28" i="3"/>
  <c r="G28" i="3" s="1"/>
  <c r="G18" i="3"/>
  <c r="G19" i="3" s="1"/>
  <c r="D29" i="3"/>
  <c r="D19" i="3"/>
  <c r="C35" i="3" s="1"/>
  <c r="C10" i="17"/>
  <c r="C15" i="17" s="1"/>
  <c r="C17" i="17" s="1"/>
  <c r="H9" i="20"/>
  <c r="C12" i="23"/>
  <c r="E7" i="3"/>
  <c r="C15" i="23"/>
  <c r="C17" i="23" s="1"/>
  <c r="E27" i="3" l="1"/>
  <c r="G27" i="3" s="1"/>
  <c r="G7" i="3"/>
  <c r="G9" i="3" s="1"/>
  <c r="C37" i="3"/>
  <c r="F35" i="3"/>
  <c r="E6" i="3"/>
  <c r="E26" i="3" s="1"/>
  <c r="G26" i="3" s="1"/>
  <c r="G29" i="3" s="1"/>
  <c r="C12" i="17"/>
  <c r="E29" i="3" l="1"/>
  <c r="E9" i="3"/>
  <c r="D33" i="3" s="1"/>
  <c r="F33" i="3" l="1"/>
  <c r="F37" i="3" s="1"/>
  <c r="D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 Ideapad</author>
  </authors>
  <commentList>
    <comment ref="G6" authorId="0" shapeId="0" xr:uid="{FB37F8F7-1778-4508-AAAC-1C88DC476E6B}">
      <text>
        <r>
          <rPr>
            <b/>
            <sz val="9"/>
            <color indexed="81"/>
            <rFont val="Segoe UI"/>
            <charset val="1"/>
          </rPr>
          <t>Lenovo Ideapad:</t>
        </r>
        <r>
          <rPr>
            <sz val="9"/>
            <color indexed="81"/>
            <rFont val="Segoe UI"/>
            <charset val="1"/>
          </rPr>
          <t xml:space="preserve">
The ERs from Fazenda Granja Silva totaled -11 in 2019. In this cell, the ERs are marked as 0; however, they were deducted in the "Total Emission Reductions during monitoring period".</t>
        </r>
      </text>
    </comment>
    <comment ref="G26" authorId="0" shapeId="0" xr:uid="{1E2B00A5-6A1F-471A-A821-AB9365D3C814}">
      <text>
        <r>
          <rPr>
            <b/>
            <sz val="9"/>
            <color indexed="81"/>
            <rFont val="Segoe UI"/>
            <charset val="1"/>
          </rPr>
          <t>Lenovo Ideapad:</t>
        </r>
        <r>
          <rPr>
            <sz val="9"/>
            <color indexed="81"/>
            <rFont val="Segoe UI"/>
            <charset val="1"/>
          </rPr>
          <t xml:space="preserve">
The ERs from Fazenda Granja Silva totaled -11 in 2019. This value was deducted in the "Total Emission Reductions during monitoring period"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Marcelo Haddad</author>
    <author>Thiago Othero</author>
  </authors>
  <commentList>
    <comment ref="L2" authorId="0" shapeId="0" xr:uid="{1AA592B4-820B-4E81-B3F7-80111491A7A2}">
      <text>
        <r>
          <rPr>
            <sz val="9"/>
            <color indexed="81"/>
            <rFont val="Tahoma"/>
            <family val="2"/>
          </rPr>
          <t xml:space="preserve">Embrapa scientific study was utilized to obtain default values on the average production of swine manure, which are established according to the swine weight. Embrapa publication indicates that wastes from swine confinements are composed of dung, urine and flushed water. Swine manure (both dung and urine) consist of nearly 70% of total wastes (i.e., 4.9kg out of 7 liters, or 7.112 kg considering a density of 1.016 kg per liter). Such density is expected for swine manure with 3% of solid matter, which is the expected value for the farms included in the project.
In case these values were used, they were multiplied by the annual average number of animals of each type and by the number of days in year y where the animal manure management system was operational, thus obtaining the quantity of manure treated in the year y. 
</t>
        </r>
      </text>
    </comment>
    <comment ref="F3" authorId="0" shapeId="0" xr:uid="{D9E3AEE7-2553-4E23-B4D4-2981121F4581}">
      <text>
        <r>
          <rPr>
            <sz val="9"/>
            <color indexed="81"/>
            <rFont val="Tahoma"/>
            <family val="2"/>
          </rPr>
          <t>The use of a conservative factor of 125% was used, meaning an operation time 25% higher than expected by LPC was considered. This estimate is considered conservative given that electricity is an significant cost for the operation of the composting unit and farmers would have no interest in using the equipments longer than necessary.</t>
        </r>
      </text>
    </comment>
    <comment ref="F4" authorId="1" shapeId="0" xr:uid="{4A99FA22-FF71-4681-BF8D-FB681BADE491}">
      <text>
        <r>
          <rPr>
            <sz val="9"/>
            <color indexed="81"/>
            <rFont val="Tahoma"/>
            <family val="2"/>
          </rPr>
          <t>Hours converted to decimal.</t>
        </r>
      </text>
    </comment>
    <comment ref="G4" authorId="1" shapeId="0" xr:uid="{77DCD58A-B28F-4B22-B127-D7A9ADB419DD}">
      <text>
        <r>
          <rPr>
            <sz val="9"/>
            <color indexed="81"/>
            <rFont val="Tahoma"/>
            <family val="2"/>
          </rPr>
          <t>Hours converted to decimal.</t>
        </r>
      </text>
    </comment>
    <comment ref="M4" authorId="0" shapeId="0" xr:uid="{AF133B30-070E-4996-BE26-5262B0925AD2}">
      <text>
        <r>
          <rPr>
            <sz val="9"/>
            <color indexed="81"/>
            <rFont val="Tahoma"/>
            <family val="2"/>
          </rPr>
          <t xml:space="preserve">According to: OLIVEIRA, Paulo Armando V. de. Produção e manejo de dejetos de suínos. Concórdia: Embrapa, 2003. 83 p. Information taken from Table 1. Value adopted to the current monitoring for the amount of solid waste (in kilogram): average daily production of swine manure, including manure and urine, according to animals weight.
</t>
        </r>
      </text>
    </comment>
    <comment ref="B19" authorId="0" shapeId="0" xr:uid="{F77D78D9-AB18-499C-8E63-8E466C9569DC}">
      <text>
        <r>
          <rPr>
            <sz val="9"/>
            <color indexed="81"/>
            <rFont val="Tahoma"/>
            <family val="2"/>
          </rPr>
          <t>According to VCS PD, estimates applied on the emission reduction calculation are corrected with the use of a conservative factor of 125%, meaning an operation time 25% higher than expected by LPC was considered. This estimate is also considered conservative given that electricity is an significant cost for the operation of the composting unit and farmers would have no interest in using the equipments longer than necessary.</t>
        </r>
      </text>
    </comment>
    <comment ref="D20" authorId="1" shapeId="0" xr:uid="{F28E0E5A-B49E-4BC5-A8A8-8C8E6E68F57E}">
      <text>
        <r>
          <rPr>
            <sz val="9"/>
            <color indexed="81"/>
            <rFont val="Tahoma"/>
            <family val="2"/>
          </rPr>
          <t>This parameter is used to convert hours to decimal numbers</t>
        </r>
      </text>
    </comment>
    <comment ref="D21" authorId="0" shapeId="0" xr:uid="{3E60DAF7-07E9-4583-A6DA-4643E107F1F1}">
      <text>
        <r>
          <rPr>
            <sz val="9"/>
            <color indexed="81"/>
            <rFont val="Tahoma"/>
            <family val="2"/>
          </rPr>
          <t xml:space="preserve">As described in VCS PD, the density of 1,016 kg per m³ was chosen from a publication of an EMBRAPA researcher. Such density is expected for swine manure with 3% of solid matter, which is the expected value for the farms included in the project.
It is important to note that this value is used by LPC Tecnologia Ambiental on the Technical Project of the composting unit. Hence, it is considered applicable to the farms conditions.
</t>
        </r>
      </text>
    </comment>
    <comment ref="I25" authorId="1" shapeId="0" xr:uid="{92A0CC7A-85BE-48B1-9E84-1974BE2E9091}">
      <text>
        <r>
          <rPr>
            <sz val="9"/>
            <color indexed="81"/>
            <rFont val="Tahoma"/>
            <family val="2"/>
          </rPr>
          <t>Hours converted to decimal.</t>
        </r>
      </text>
    </comment>
    <comment ref="J25" authorId="1" shapeId="0" xr:uid="{61BC0C82-8421-437C-9D3F-6CBD13BD6BF6}">
      <text>
        <r>
          <rPr>
            <sz val="9"/>
            <color indexed="81"/>
            <rFont val="Tahoma"/>
            <family val="2"/>
          </rPr>
          <t>Hours converted to decimal.</t>
        </r>
      </text>
    </comment>
    <comment ref="M25" authorId="0" shapeId="0" xr:uid="{D2D6DFAD-192B-4CAE-8867-81B370B6DF30}">
      <text>
        <r>
          <rPr>
            <sz val="9"/>
            <color indexed="81"/>
            <rFont val="Tahoma"/>
            <family val="2"/>
          </rPr>
          <t>According to VCS PD, Project Proponents have used a deviation regarding the monitoring of the quantity of manure treated in the year y (parameter Qy) and the monitoring of the quantity of compost produced in year y (parameter Qy,treatment). The applied version of the methodology establishes these parameters should be monitored by on-site data measurement using weigh bridges. However, the project does not involve the transportation of waste by vehicles and compost is mostly used as fertilizer within the farm or on nearby farms, where weigh bridges are not available.
Therefore, Project Proponents proposed to determine the amount of waste composted by monitoring the number of operating hours of the pump that sends manure to the composting unit and/or applying default values.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Marcelo Haddad</author>
    <author>Thiago</author>
  </authors>
  <commentList>
    <comment ref="M4" authorId="0" shapeId="0" xr:uid="{2CF184F3-ED25-4DC0-B0BC-8014292262C4}">
      <text>
        <r>
          <rPr>
            <sz val="9"/>
            <color indexed="81"/>
            <rFont val="Tahoma"/>
            <family val="2"/>
          </rPr>
          <t>According to methodology AMS.III.D, v.18</t>
        </r>
      </text>
    </comment>
    <comment ref="M5" authorId="1" shapeId="0" xr:uid="{DE0FE026-019E-4C36-A636-913D4496F4AD}">
      <text>
        <r>
          <rPr>
            <sz val="10"/>
            <color indexed="81"/>
            <rFont val="Tahoma"/>
            <family val="2"/>
          </rPr>
          <t>According to methodology AMS.III.D, v.18</t>
        </r>
      </text>
    </comment>
    <comment ref="M6" authorId="0" shapeId="0" xr:uid="{70B7E59B-A743-451F-A314-86F96BFAC70C}">
      <text>
        <r>
          <rPr>
            <sz val="9"/>
            <color indexed="81"/>
            <rFont val="Tahoma"/>
            <family val="2"/>
          </rPr>
          <t>Uncovered anaerobic lagoons:77%</t>
        </r>
      </text>
    </comment>
    <comment ref="M7" authorId="0" shapeId="0" xr:uid="{A8940F35-4E4D-43E5-BBB6-78252D419C92}">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0" shapeId="0" xr:uid="{EBFD891A-F8AA-46B2-BBA1-E2F0D6D7AC9F}">
      <text>
        <r>
          <rPr>
            <sz val="9"/>
            <color indexed="81"/>
            <rFont val="Tahoma"/>
            <family val="2"/>
          </rPr>
          <t>According to VCS PD, all waste was sent to the baseline treatment system (anaerobic lagoons) prior to the project initiation.</t>
        </r>
      </text>
    </comment>
    <comment ref="L10" authorId="1" shapeId="0" xr:uid="{444E037C-9A04-48E8-816C-C980CA5F9F05}">
      <text>
        <r>
          <rPr>
            <sz val="8"/>
            <color indexed="81"/>
            <rFont val="Tahoma"/>
            <family val="2"/>
          </rPr>
          <t>According to Tables 10.17, 10.A-7 and 10.A-8 of th Chapter 10 of 2006 IPCC Guidelines on Greehouse Gas Inventories.</t>
        </r>
      </text>
    </comment>
    <comment ref="L13" authorId="0" shapeId="0" xr:uid="{6A1569CD-E87F-41F6-8F86-8A7671B32DA9}">
      <text>
        <r>
          <rPr>
            <sz val="9"/>
            <color indexed="81"/>
            <rFont val="Tahoma"/>
            <family val="2"/>
          </rPr>
          <t>Default value for the volatile solid excretion rate per day on a dry-matter basis for a defined livestock population</t>
        </r>
      </text>
    </comment>
    <comment ref="L18" authorId="0" shapeId="0" xr:uid="{FF72CA8D-FA5B-46D4-8FF2-97AE9B0B7D90}">
      <text>
        <r>
          <rPr>
            <sz val="9"/>
            <color indexed="81"/>
            <rFont val="Tahoma"/>
            <family val="2"/>
          </rPr>
          <t>Maximum methane producing potential of the volatile solid generated for animal type LT</t>
        </r>
      </text>
    </comment>
    <comment ref="L23" authorId="0" shapeId="0" xr:uid="{61F016C3-29F4-4C17-BD1F-005911AF8525}">
      <text>
        <r>
          <rPr>
            <sz val="9"/>
            <color indexed="81"/>
            <rFont val="Tahoma"/>
            <family val="2"/>
          </rPr>
          <t>Default average animal weight of a defined population</t>
        </r>
      </text>
    </comment>
    <comment ref="L30" authorId="0" shapeId="0" xr:uid="{C34F240E-7FF0-460F-B1EF-FF1D3F91FB16}">
      <text>
        <r>
          <rPr>
            <sz val="9"/>
            <color indexed="81"/>
            <rFont val="Tahoma"/>
            <family val="2"/>
          </rPr>
          <t>Default value for the volatile solid excretion rate per day on a dry-matter basis for a defined livestock population</t>
        </r>
      </text>
    </comment>
    <comment ref="L35" authorId="0" shapeId="0" xr:uid="{41AF0906-7B17-4DC2-AA2B-3EF2EF92BC6C}">
      <text>
        <r>
          <rPr>
            <sz val="9"/>
            <color indexed="81"/>
            <rFont val="Tahoma"/>
            <family val="2"/>
          </rPr>
          <t>Maximum methane producing potential of the volatile solid generated for animal type LT</t>
        </r>
      </text>
    </comment>
    <comment ref="L40" authorId="0" shapeId="0" xr:uid="{3FF92791-F70E-4703-99DF-F9CCB31D2DB2}">
      <text>
        <r>
          <rPr>
            <sz val="9"/>
            <color indexed="81"/>
            <rFont val="Tahoma"/>
            <family val="2"/>
          </rPr>
          <t>Default average animal weight of a defined population</t>
        </r>
      </text>
    </comment>
    <comment ref="P40" authorId="0" shapeId="0" xr:uid="{966C1E51-36F0-40B4-9342-DC33FCC2AE37}">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Camila Vaccari</author>
    <author>Marcelo Haddad</author>
    <author>mariana.ss</author>
    <author>Sustainable</author>
  </authors>
  <commentList>
    <comment ref="B4" authorId="0" shapeId="0" xr:uid="{89BDADB5-24DF-466C-977F-28592DF0A004}">
      <text>
        <r>
          <rPr>
            <sz val="9"/>
            <color indexed="81"/>
            <rFont val="Tahoma"/>
            <family val="2"/>
          </rPr>
          <t>According to data from integrators.</t>
        </r>
      </text>
    </comment>
    <comment ref="F4" authorId="1" shapeId="0" xr:uid="{D944BD41-A9B8-4480-B415-513DE8A92FB6}">
      <text>
        <r>
          <rPr>
            <sz val="9"/>
            <color indexed="81"/>
            <rFont val="Tahoma"/>
            <family val="2"/>
          </rPr>
          <t>End date can be either the date when animals leave the farm, or the end date of the monitoring period.
Emission reductions for each batch were limited to the final date of the monitoring period, in order to request carbon credits only within this period.</t>
        </r>
      </text>
    </comment>
    <comment ref="G4" authorId="1" shapeId="0" xr:uid="{7E691391-6AEE-4B53-BBBD-C0D12C09A390}">
      <text>
        <r>
          <rPr>
            <sz val="9"/>
            <color indexed="81"/>
            <rFont val="Tahoma"/>
            <family val="2"/>
          </rPr>
          <t>As described in VCS PD, batches do not follow a yearly calendar. This date represents the year wherein emission reductions are claimed for each batch. The end date of each batch will be the "year considered" for this purpose.
Therefore, if a batch has an entry date in one year, and an end date in another one, the year considered for carbon credits calculations will be the end date. This approach is in line with calculations carried out during previous monitoring period, e.g., when emission reductions were not claimed for a batch that had an end date after the end of the monitoring period. Thus, this procedure adjusts emission reductions to be in accordance with each batch.</t>
        </r>
      </text>
    </comment>
    <comment ref="N4" authorId="2" shapeId="0" xr:uid="{81AF884A-833B-4314-BC45-BE7FFE38333C}">
      <text>
        <r>
          <rPr>
            <sz val="9"/>
            <color indexed="81"/>
            <rFont val="Tahoma"/>
            <family val="2"/>
          </rPr>
          <t>The current monitoring period starts in May 2019, thus the number of days animals are alive in the farm (Nda,y) starts only from this date on, regardless if the batch entry date was before May 2019. This aproach has been carried out in order to request credits that refer to the current monitoring period.
In addition, the Number of days animal is alive in the farm was also limited to the final date of the monitoring period.</t>
        </r>
      </text>
    </comment>
    <comment ref="J40" authorId="3" shapeId="0" xr:uid="{12E8DC9C-0EAC-4D88-91B9-4C671F969316}">
      <text>
        <r>
          <rPr>
            <b/>
            <sz val="9"/>
            <color indexed="81"/>
            <rFont val="Segoe UI"/>
            <charset val="1"/>
          </rPr>
          <t>Sustainable:</t>
        </r>
        <r>
          <rPr>
            <sz val="9"/>
            <color indexed="81"/>
            <rFont val="Segoe UI"/>
            <charset val="1"/>
          </rPr>
          <t xml:space="preserve">
Due to lack of information, the Default Weight (Wdefault) for Breeding Swines was adoped, applied in Latin America, to estimate the Animal Weight (Wsite). </t>
        </r>
      </text>
    </comment>
    <comment ref="J41" authorId="3" shapeId="0" xr:uid="{070176AF-32AE-446C-AED1-D5B9226C59E2}">
      <text>
        <r>
          <rPr>
            <b/>
            <sz val="9"/>
            <color indexed="81"/>
            <rFont val="Segoe UI"/>
            <charset val="1"/>
          </rPr>
          <t>Sustainable:</t>
        </r>
        <r>
          <rPr>
            <sz val="9"/>
            <color indexed="81"/>
            <rFont val="Segoe UI"/>
            <charset val="1"/>
          </rPr>
          <t xml:space="preserve">
Due to lack of information, the Default Weight (Wdefault) for Breeding Swines was adoped, applied in Latin America, to estimate the Animal Weight (Wsite). </t>
        </r>
      </text>
    </comment>
    <comment ref="J42" authorId="3" shapeId="0" xr:uid="{57D4A8F0-A574-449F-85A1-61382FAD6BD7}">
      <text>
        <r>
          <rPr>
            <b/>
            <sz val="9"/>
            <color indexed="81"/>
            <rFont val="Segoe UI"/>
            <charset val="1"/>
          </rPr>
          <t>Sustainable:</t>
        </r>
        <r>
          <rPr>
            <sz val="9"/>
            <color indexed="81"/>
            <rFont val="Segoe UI"/>
            <charset val="1"/>
          </rPr>
          <t xml:space="preserve">
Due to lack of information, the Default Weight (Wdefault) for Breeding Swines was adoped, applied in Latin America, to estimate the Animal Weight (Wsite). </t>
        </r>
      </text>
    </comment>
    <comment ref="J43" authorId="3" shapeId="0" xr:uid="{922C9772-1813-4639-81FC-9B7889EAC4E1}">
      <text>
        <r>
          <rPr>
            <b/>
            <sz val="9"/>
            <color indexed="81"/>
            <rFont val="Segoe UI"/>
            <charset val="1"/>
          </rPr>
          <t>Sustainable:</t>
        </r>
        <r>
          <rPr>
            <sz val="9"/>
            <color indexed="81"/>
            <rFont val="Segoe UI"/>
            <charset val="1"/>
          </rPr>
          <t xml:space="preserve">
Due to lack of information, the Default Weight (Wdefault) for Breeding Swines was adoped, applied in Latin America, to estimate the Animal Weight (Wsite).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Marcelo Haddad</author>
    <author>mariana.ss</author>
    <author>Guilherme Prado</author>
  </authors>
  <commentList>
    <comment ref="U2" authorId="0" shapeId="0" xr:uid="{82642B2B-F7FC-422A-A2FE-10AC21D1A79E}">
      <text>
        <r>
          <rPr>
            <b/>
            <sz val="9"/>
            <color indexed="81"/>
            <rFont val="Tahoma"/>
            <family val="2"/>
          </rPr>
          <t>Marcelo Haddad:</t>
        </r>
        <r>
          <rPr>
            <sz val="9"/>
            <color indexed="81"/>
            <rFont val="Tahoma"/>
            <family val="2"/>
          </rPr>
          <t xml:space="preserve">
According to VCS PD, among the project emissions listed by the methodology AMS-III.F., version 10, the proposed project activity will not produce emissions referring to the consumption of fossil fuels, emissions due to the incremental transportation distances, emissions due to the runoff water and emissions related to compost storage. This is justified by the following:
 There will be no fossil fuel consumption by the equipments installed as part of the project; the project will not result in additional transportation of waste or compost.
 The project results in a significant reduction in the volume of treated manure, since the composting process evaporates most of the water content on the treated manure. This reduction in volume also reduces associated consumption of fossil fuels for its transportation until final destination;
 The mechanized composting units are automated and designed not apply excessive wastes on the substrate. Also, the sheds are covered, avoiding rainwater percolation onto the substrate. Any runoff water is recirculated into the composting mass;
 Finally, the compost will not be stored in anaerobic conditions nor sent to landfills.</t>
        </r>
      </text>
    </comment>
    <comment ref="L3" authorId="0" shapeId="0" xr:uid="{07CE6E2D-48D5-4114-BEEA-FFA20836BFC6}">
      <text>
        <r>
          <rPr>
            <sz val="9"/>
            <color indexed="81"/>
            <rFont val="Tahoma"/>
            <family val="2"/>
          </rPr>
          <t>The annual operating time represents the quantity of hours the AWMS operated per year, according to each batch. As described in VCS PD, batches do not follow a yearly calendar. The end date of each batch will be the "year considered" for calculations. Therefore, the annual operating time represents the hours/year, depending on the end date of each batch.
Data was incomplete, thus, given the farms management processes and their low energy consumption, a conservative value was applied. Such value is based on monitored data collected in part of this monitoring period and on LPC judgment about the expected time of operation of the manure pump and the UMAC equipment, which are the only two equipments demanding electricity consumption in the AWMS. Values applied on the emission reduction calculation were conservatively defined as the highest value of:
 LPC judgement corrected with the use of a conservative factor of 125%, meaning an operation time 25% higher than expected by LPC was considered.
The average time of operation of each equipment as monitored by each farmer during part of the monitored period.
This estimate is also considered conservative given that electricity is an significant cost for the operation of the composting unit and farmers would have no interest in using the equipments longer than necessary.
Finally, the most conservative value was multiplied by the number of days where animal manure management system is operational (ndy), achieving the annual operating time (in hours).</t>
        </r>
      </text>
    </comment>
    <comment ref="O3" authorId="0" shapeId="0" xr:uid="{62E1C7F8-3A32-4B19-8549-6D2761086709}">
      <text>
        <r>
          <rPr>
            <sz val="9"/>
            <color indexed="81"/>
            <rFont val="Tahoma"/>
            <family val="2"/>
          </rPr>
          <t>The annual quantity of manure treated per year was calculated according to each batch. As described in VCS PD, batches do not follow a yearly calendar. The end date of each batch will be the "year considered" for calculations. Therefore, the year considered for Qy depends on the end date of each batch.
Data was incomplete, thus, given the farms management processes and their low energy consumption, a conservative value was applied. Such value is based on monitored data collected in part of this monitoring period and on LPC judgment about the quantity of manure treated per day through the operation of the UMAC equipment. Values applied on the emission reduction calculation were conservatively defined as the highest value of:
 LPC judgement.
 The average quantity of manure treated per day monitored by each farmer during part of the monitored period.
Finally, the most conservative value was multiplied by the number of days where animal manure management system is operational (ndy), achieving the quantity of manure treated per year (Qy).</t>
        </r>
      </text>
    </comment>
    <comment ref="K5" authorId="1" shapeId="0" xr:uid="{2AF9A9DF-2BB3-4016-A04F-C31C7E0FFF51}">
      <text>
        <r>
          <rPr>
            <sz val="9"/>
            <color indexed="81"/>
            <rFont val="Tahoma"/>
            <family val="2"/>
          </rPr>
          <t xml:space="preserve">The UMAC equipment contains two motors with power of 6 hp  each one, and another motor of 2 CV. Thus, its total power is 14CV, which converted to KW corresponds to around 10.30 kW. 
Conversion fator available at: &lt;http://www.webcalc.com.br/frame.asp?pag=http://www.webcalc.com.br/conversoes/potencia.html&gt;. Last visit on: 04/08/2022. 
</t>
        </r>
      </text>
    </comment>
    <comment ref="U5" authorId="0" shapeId="0" xr:uid="{F654D585-4A11-4C62-90E0-3B2286536AF7}">
      <text>
        <r>
          <rPr>
            <sz val="9"/>
            <color indexed="81"/>
            <rFont val="Tahoma"/>
            <family val="2"/>
          </rPr>
          <t>In case produced compost is subjected to anaerobic storage or
disposed in a landfill</t>
        </r>
      </text>
    </comment>
    <comment ref="K7" authorId="2" shapeId="0" xr:uid="{43712408-9ED1-4AD4-92C7-21A21F37F6BA}">
      <text>
        <r>
          <rPr>
            <sz val="9"/>
            <color indexed="81"/>
            <rFont val="Segoe UI"/>
            <family val="2"/>
          </rPr>
          <t xml:space="preserve">Pump power specification:
7.5hp
Conversion fator available at: &lt;http://www.webcalc.com.br/frame.asp?pag=http://www.webcalc.com.br/conversoes/potencia.html&gt;. Last visit on: 04/08/2022. </t>
        </r>
      </text>
    </comment>
    <comment ref="R8" authorId="2" shapeId="0" xr:uid="{0CBF4E24-13DC-43EC-8B8F-4E8F053FD881}">
      <text>
        <r>
          <rPr>
            <sz val="9"/>
            <color indexed="81"/>
            <rFont val="Segoe UI"/>
            <family val="2"/>
          </rPr>
          <t>According to IPCC, the emission factor value for composting is:
10g CH4/kg waste composted on dry basis; and 4g CH4/kg waste composted on wet basis.</t>
        </r>
      </text>
    </comment>
    <comment ref="J18" authorId="0" shapeId="0" xr:uid="{CCE9A6E1-95C6-4AED-ABFF-EC0A78B21D4A}">
      <text>
        <r>
          <rPr>
            <sz val="9"/>
            <color indexed="81"/>
            <rFont val="Tahoma"/>
            <family val="2"/>
          </rPr>
          <t>Average technical transmission and distribution losses for providing electricity in year y</t>
        </r>
      </text>
    </comment>
    <comment ref="K18" authorId="0" shapeId="0" xr:uid="{D48ACEAF-5234-40CD-BB18-3E73E9993EBE}">
      <text>
        <r>
          <rPr>
            <sz val="9"/>
            <color indexed="81"/>
            <rFont val="Tahoma"/>
            <family val="2"/>
          </rPr>
          <t>According to methodology AMS-III.F, v10.</t>
        </r>
      </text>
    </comment>
    <comment ref="J20" authorId="0" shapeId="0" xr:uid="{8D1B7DB8-789D-441C-B63B-460A64D0CE3B}">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Marcelo Haddad</author>
    <author>Thiago Othero</author>
  </authors>
  <commentList>
    <comment ref="L2" authorId="0" shapeId="0" xr:uid="{5AB897AA-379D-4B7F-BC4B-C9493A6B2B36}">
      <text>
        <r>
          <rPr>
            <sz val="9"/>
            <color indexed="81"/>
            <rFont val="Tahoma"/>
            <family val="2"/>
          </rPr>
          <t xml:space="preserve">Embrapa scientific study was utilized to obtain default values on the average production of swine manure, which are established according to the swine weight. Embrapa publication indicates that wastes from swine confinements are composed of dung, urine and flushed water. Swine manure (both dung and urine) consist of nearly 70% of total wastes (i.e., 4.9kg out of 7 liters, or 7.112 kg considering a density of 1.016 kg per liter). Such density is expected for swine manure with 3% of solid matter, which is the expected value for the farms included in the project.
In case these values were used, they were multiplied by the annual average number of animals of each type and by the number of days in year y where the animal manure management system was operational, thus obtaining the quantity of manure treated in the year y. 
</t>
        </r>
      </text>
    </comment>
    <comment ref="F3" authorId="0" shapeId="0" xr:uid="{06DFE6E1-9648-4C1E-93D0-DE0A5A9D5400}">
      <text>
        <r>
          <rPr>
            <sz val="9"/>
            <color indexed="81"/>
            <rFont val="Tahoma"/>
            <family val="2"/>
          </rPr>
          <t>The use of a conservative factor of 125% was used, meaning an operation time 25% higher than expected by LPC was considered. This estimate is considered conservative given that electricity is an significant cost for the operation of the composting unit and farmers would have no interest in using the equipments longer than necessary.</t>
        </r>
      </text>
    </comment>
    <comment ref="F4" authorId="1" shapeId="0" xr:uid="{98E1E1EE-1F17-41B2-BDD6-0BAEA38CED9A}">
      <text>
        <r>
          <rPr>
            <sz val="9"/>
            <color indexed="81"/>
            <rFont val="Tahoma"/>
            <family val="2"/>
          </rPr>
          <t>Hours converted to decimal.</t>
        </r>
      </text>
    </comment>
    <comment ref="G4" authorId="1" shapeId="0" xr:uid="{7D0FB6E2-76DA-44F3-9AF0-70F4BDD8FF1E}">
      <text>
        <r>
          <rPr>
            <sz val="9"/>
            <color indexed="81"/>
            <rFont val="Tahoma"/>
            <family val="2"/>
          </rPr>
          <t>Hours converted to decimal.</t>
        </r>
      </text>
    </comment>
    <comment ref="M4" authorId="0" shapeId="0" xr:uid="{FDA1B766-4D4F-4E02-853C-69C65FCB2BE2}">
      <text>
        <r>
          <rPr>
            <sz val="9"/>
            <color indexed="81"/>
            <rFont val="Tahoma"/>
            <family val="2"/>
          </rPr>
          <t xml:space="preserve">According to: OLIVEIRA, Paulo Armando V. de. Produção e manejo de dejetos de suínos. Concórdia: Embrapa, 2003. 83 p. Information taken from Table 1. Value adopted to the current monitoring for the amount of solid waste (in kilogram): average daily production of swine manure, including manure and urine, according to animals weight.
</t>
        </r>
      </text>
    </comment>
    <comment ref="B19" authorId="0" shapeId="0" xr:uid="{2907ACF7-0868-484F-8A0F-A730C3A7962E}">
      <text>
        <r>
          <rPr>
            <sz val="9"/>
            <color indexed="81"/>
            <rFont val="Tahoma"/>
            <family val="2"/>
          </rPr>
          <t>According to VCS PD, estimates applied on the emission reduction calculation are corrected with the use of a conservative factor of 125%, meaning an operation time 25% higher than expected by LPC was considered. This estimate is also considered conservative given that electricity is an significant cost for the operation of the composting unit and farmers would have no interest in using the equipments longer than necessary.</t>
        </r>
      </text>
    </comment>
    <comment ref="D20" authorId="1" shapeId="0" xr:uid="{C649AE2D-933C-4AA7-B72F-BFB6BEAB7926}">
      <text>
        <r>
          <rPr>
            <sz val="9"/>
            <color indexed="81"/>
            <rFont val="Tahoma"/>
            <family val="2"/>
          </rPr>
          <t>This parameter is used to convert hours to decimal numbers</t>
        </r>
      </text>
    </comment>
    <comment ref="D21" authorId="0" shapeId="0" xr:uid="{085677DF-4777-43E3-9065-E5A2F8D10A78}">
      <text>
        <r>
          <rPr>
            <sz val="9"/>
            <color indexed="81"/>
            <rFont val="Tahoma"/>
            <family val="2"/>
          </rPr>
          <t xml:space="preserve">As described in VCS PD, the density of 1,016 kg per m³ was chosen from a publication of an EMBRAPA researcher. Such density is expected for swine manure with 3% of solid matter, which is the expected value for the farms included in the project.
It is important to note that this value is used by LPC Tecnologia Ambiental on the Technical Project of the composting unit. Hence, it is considered applicable to the farms conditions.
</t>
        </r>
      </text>
    </comment>
    <comment ref="I25" authorId="1" shapeId="0" xr:uid="{D4F8BC15-7F75-4D79-AD6E-E7044F1AE15C}">
      <text>
        <r>
          <rPr>
            <sz val="9"/>
            <color indexed="81"/>
            <rFont val="Tahoma"/>
            <family val="2"/>
          </rPr>
          <t>Hours converted to decimal.</t>
        </r>
      </text>
    </comment>
    <comment ref="J25" authorId="1" shapeId="0" xr:uid="{581C815B-9E05-4560-A193-2C0926509C8D}">
      <text>
        <r>
          <rPr>
            <sz val="9"/>
            <color indexed="81"/>
            <rFont val="Tahoma"/>
            <family val="2"/>
          </rPr>
          <t>Hours converted to decimal.</t>
        </r>
      </text>
    </comment>
    <comment ref="M25" authorId="0" shapeId="0" xr:uid="{B7FC2E07-8C72-481A-92D4-A3416BCF1AA4}">
      <text>
        <r>
          <rPr>
            <sz val="9"/>
            <color indexed="81"/>
            <rFont val="Tahoma"/>
            <family val="2"/>
          </rPr>
          <t>According to VCS PD, Project Proponents have used a deviation regarding the monitoring of the quantity of manure treated in the year y (parameter Qy) and the monitoring of the quantity of compost produced in year y (parameter Qy,treatment). The applied version of the methodology establishes these parameters should be monitored by on-site data measurement using weigh bridges. However, the project does not involve the transportation of waste by vehicles and compost is mostly used as fertilizer within the farm or on nearby farms, where weigh bridges are not available.
Therefore, Project Proponents proposed to determine the amount of waste composted by monitoring the number of operating hours of the pump that sends manure to the composting unit and/or applying default values.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Marcelo Haddad</author>
    <author>Thiago</author>
  </authors>
  <commentList>
    <comment ref="M4" authorId="0" shapeId="0" xr:uid="{41603819-246D-42D8-87DE-8EDA10259A6A}">
      <text>
        <r>
          <rPr>
            <sz val="9"/>
            <color indexed="81"/>
            <rFont val="Tahoma"/>
            <family val="2"/>
          </rPr>
          <t>According to methodology AMS.III.D, v.18</t>
        </r>
      </text>
    </comment>
    <comment ref="M5" authorId="1" shapeId="0" xr:uid="{9404D52F-41A4-41CA-B669-5B29D3FC762A}">
      <text>
        <r>
          <rPr>
            <sz val="10"/>
            <color indexed="81"/>
            <rFont val="Tahoma"/>
            <family val="2"/>
          </rPr>
          <t>According to methodology AMS.III.D, v.18</t>
        </r>
      </text>
    </comment>
    <comment ref="M6" authorId="0" shapeId="0" xr:uid="{C47E9630-CFAB-4A8D-8F33-B47AA3FD99AB}">
      <text>
        <r>
          <rPr>
            <sz val="9"/>
            <color indexed="81"/>
            <rFont val="Tahoma"/>
            <family val="2"/>
          </rPr>
          <t>Uncovered anaerobic lagoons: 77%
2006 IPCC Guidelines for National Greenhouse Gas Inventories, volume 4, chapter 10, table 10.17.</t>
        </r>
      </text>
    </comment>
    <comment ref="M7" authorId="0" shapeId="0" xr:uid="{5EDEAF16-39AE-4779-AE46-C1351654B299}">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0" shapeId="0" xr:uid="{4B286964-C56A-4760-9298-B44DFAA0577C}">
      <text>
        <r>
          <rPr>
            <sz val="9"/>
            <color indexed="81"/>
            <rFont val="Tahoma"/>
            <family val="2"/>
          </rPr>
          <t>According to VCS PD, all waste was sent to the baseline treatment system (anaerobic lagoons) prior to the project initiation.</t>
        </r>
      </text>
    </comment>
    <comment ref="L10" authorId="1" shapeId="0" xr:uid="{7D3728BD-BAF9-4798-93AD-A7DBD4419E11}">
      <text>
        <r>
          <rPr>
            <sz val="8"/>
            <color indexed="81"/>
            <rFont val="Tahoma"/>
            <family val="2"/>
          </rPr>
          <t>According to Tables 10.17, 10.A-7 and 10.A-8 of th Chapter 10 of 2006 IPCC Guidelines on Greehouse Gas Inventories.</t>
        </r>
      </text>
    </comment>
    <comment ref="L13" authorId="0" shapeId="0" xr:uid="{FA95E255-DA75-4503-A70C-48AFEC483D11}">
      <text>
        <r>
          <rPr>
            <sz val="9"/>
            <color indexed="81"/>
            <rFont val="Tahoma"/>
            <family val="2"/>
          </rPr>
          <t>Default value for the volatile solid excretion rate per day on a dry-matter basis for a defined livestock population</t>
        </r>
      </text>
    </comment>
    <comment ref="L18" authorId="0" shapeId="0" xr:uid="{F7963D59-4FC1-4A2B-979F-5124DD1AD8FF}">
      <text>
        <r>
          <rPr>
            <sz val="9"/>
            <color indexed="81"/>
            <rFont val="Tahoma"/>
            <family val="2"/>
          </rPr>
          <t>Maximum methane producing potential of the volatile solid generated for animal type LT</t>
        </r>
      </text>
    </comment>
    <comment ref="L23" authorId="0" shapeId="0" xr:uid="{392B9DE3-39AB-4C13-94A4-ED118AC40174}">
      <text>
        <r>
          <rPr>
            <sz val="9"/>
            <color indexed="81"/>
            <rFont val="Tahoma"/>
            <family val="2"/>
          </rPr>
          <t>Default average animal weight of a defined population</t>
        </r>
      </text>
    </comment>
    <comment ref="L30" authorId="0" shapeId="0" xr:uid="{CD00ED8B-7CFB-4478-99E7-8520DBD8B957}">
      <text>
        <r>
          <rPr>
            <sz val="9"/>
            <color indexed="81"/>
            <rFont val="Tahoma"/>
            <family val="2"/>
          </rPr>
          <t>Default value for the volatile solid excretion rate per day on a dry-matter basis for a defined livestock population</t>
        </r>
      </text>
    </comment>
    <comment ref="L35" authorId="0" shapeId="0" xr:uid="{464CB1A6-E71D-4FE4-9E84-B98B34A07BB4}">
      <text>
        <r>
          <rPr>
            <sz val="9"/>
            <color indexed="81"/>
            <rFont val="Tahoma"/>
            <family val="2"/>
          </rPr>
          <t>Maximum methane producing potential of the volatile solid generated for animal type LT</t>
        </r>
      </text>
    </comment>
    <comment ref="L40" authorId="0" shapeId="0" xr:uid="{F93D6E12-44F3-483F-89E7-188F923A0C65}">
      <text>
        <r>
          <rPr>
            <sz val="9"/>
            <color indexed="81"/>
            <rFont val="Tahoma"/>
            <family val="2"/>
          </rPr>
          <t>Default average animal weight of a defined population</t>
        </r>
      </text>
    </comment>
    <comment ref="P40" authorId="0" shapeId="0" xr:uid="{5AB82A9E-7343-4561-95DD-510DDF184C56}">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Camila Vaccari</author>
    <author>Marcelo Haddad</author>
    <author>mariana.ss</author>
  </authors>
  <commentList>
    <comment ref="B4" authorId="0" shapeId="0" xr:uid="{61189F06-D419-4C0C-8F22-5FB36B1A0EF7}">
      <text>
        <r>
          <rPr>
            <sz val="9"/>
            <color indexed="81"/>
            <rFont val="Tahoma"/>
            <family val="2"/>
          </rPr>
          <t>According to data from integrators.</t>
        </r>
      </text>
    </comment>
    <comment ref="F4" authorId="1" shapeId="0" xr:uid="{3871C261-7EF1-4CEC-8A10-75FD61AF6F56}">
      <text>
        <r>
          <rPr>
            <sz val="9"/>
            <color indexed="81"/>
            <rFont val="Tahoma"/>
            <family val="2"/>
          </rPr>
          <t>End date can be either the date when animals leave the farm, or the end date of the monitoring period.
Emission reductions for each batch were limited to the final date of the monitoring period, in order to request carbon credits only within this period.</t>
        </r>
      </text>
    </comment>
    <comment ref="G4" authorId="1" shapeId="0" xr:uid="{5A58EFCA-673F-44C2-8862-395445E74DCE}">
      <text>
        <r>
          <rPr>
            <sz val="9"/>
            <color indexed="81"/>
            <rFont val="Tahoma"/>
            <family val="2"/>
          </rPr>
          <t>As described in VCS PD, batches do not follow a yearly calendar. This date represents the year wherein emission reductions are claimed for each batch. The end date of each batch will be the "year considered" for this purpose.
Therefore, if a batch has an entry date in one year, and an end date in another one, the year considered for carbon credits calculations will be the end date. This approach is in line with calculations carried out during previous monitoring period, e.g., when emission reductions were not claimed for a batch that had an end date after the end of the monitoring period. Thus, this procedure adjusts emission reductions to be in accordance with each batch.</t>
        </r>
      </text>
    </comment>
    <comment ref="N4" authorId="2" shapeId="0" xr:uid="{CD37EC4D-EB85-4DF8-A6FF-13CFA71BB946}">
      <text>
        <r>
          <rPr>
            <sz val="9"/>
            <color indexed="81"/>
            <rFont val="Tahoma"/>
            <family val="2"/>
          </rPr>
          <t>The current monitoring period starts in May 2019, thus the number of days animals are alive in the farm (Nda,y) starts only from this date on, regardless if the batch entry date was before May 2019. This aproach has been carried out in order to request credits that refer to the current monitoring period.
In addition, the Number of days animal is alive in the farm was also limited to the final date of the monitoring period.</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Marcelo Haddad</author>
    <author>mariana.ss</author>
    <author>Guilherme Prado</author>
  </authors>
  <commentList>
    <comment ref="U2" authorId="0" shapeId="0" xr:uid="{A3206412-5584-47AB-AC1C-2DBB698BE9C6}">
      <text>
        <r>
          <rPr>
            <b/>
            <sz val="9"/>
            <color indexed="81"/>
            <rFont val="Tahoma"/>
            <family val="2"/>
          </rPr>
          <t>Marcelo Haddad:</t>
        </r>
        <r>
          <rPr>
            <sz val="9"/>
            <color indexed="81"/>
            <rFont val="Tahoma"/>
            <family val="2"/>
          </rPr>
          <t xml:space="preserve">
According to VCS PD, among the project emissions listed by the methodology AMS-III.F., version 10, the proposed project activity will not produce emissions referring to the consumption of fossil fuels, emissions due to the incremental transportation distances, emissions due to the runoff water and emissions related to compost storage. This is justified by the following:
 There will be no fossil fuel consumption by the equipments installed as part of the project; the project will not result in additional transportation of waste or compost.
 The project results in a significant reduction in the volume of treated manure, since the composting process evaporates most of the water content on the treated manure. This reduction in volume also reduces associated consumption of fossil fuels for its transportation until final destination;
 The mechanized composting units are automated and designed not apply excessive wastes on the substrate. Also, the sheds are covered, avoiding rainwater percolation onto the substrate. Any runoff water is recirculated into the composting mass;
 Finally, the compost will not be stored in anaerobic conditions nor sent to landfills.</t>
        </r>
      </text>
    </comment>
    <comment ref="L3" authorId="0" shapeId="0" xr:uid="{BA90451B-7E67-44CD-989A-CB430E6484B4}">
      <text>
        <r>
          <rPr>
            <sz val="9"/>
            <color indexed="81"/>
            <rFont val="Tahoma"/>
            <family val="2"/>
          </rPr>
          <t>The annual operating time represents the quantity of hours the AWMS operated per year, according to each batch. As described in VCS PD, batches do not follow a yearly calendar. The end date of each batch will be the "year considered" for calculations. Therefore, the annual operating time represents the hours/year, depending on the end date of each batch.
Data was incomplete, thus, given the farms management processes and their low energy consumption, a conservative value was applied. Such value is based on monitored data collected in part of this monitoring period and on LPC judgment about the expected time of operation of the manure pump and the UMAC equipment, which are the only two equipments demanding electricity consumption in the AWMS. Values applied on the emission reduction calculation were conservatively defined as the highest value of:
 LPC judgement corrected with the use of a conservative factor of 125%, meaning an operation time 25% higher than expected by LPC was considered.
The average time of operation of each equipment as monitored by each farmer during part of the monitored period.
This estimate is also considered conservative given that electricity is an significant cost for the operation of the composting unit and farmers would have no interest in using the equipments longer than necessary.
Finally, the most conservative value was multiplied by the number of days where animal manure management system is operational (ndy), achieving the annual operating time (in hours).</t>
        </r>
      </text>
    </comment>
    <comment ref="O3" authorId="0" shapeId="0" xr:uid="{5CD0B732-9F5C-450E-B04F-598FBFAEEE67}">
      <text>
        <r>
          <rPr>
            <sz val="9"/>
            <color indexed="81"/>
            <rFont val="Tahoma"/>
            <family val="2"/>
          </rPr>
          <t>The annual quantity of manure treated per year was calculated according to each batch. As described in VCS PD, batches do not follow a yearly calendar. The end date of each batch will be the "year considered" for calculations. Therefore, the year considered for Qy depends on the end date of each batch.
Data was incomplete, thus, given the farms management processes and their low energy consumption, a conservative value was applied. Such value is based on monitored data collected in part of this monitoring period and on LPC judgment about the quantity of manure treated per day through the operation of the UMAC equipment. Values applied on the emission reduction calculation were conservatively defined as the highest value of:
 LPC judgement.
 The average quantity of manure treated per day monitored by each farmer during part of the monitored period.
Finally, the most conservative value was multiplied by the number of days where animal manure management system is operational (ndy), achieving the quantity of manure treated per year (Qy).</t>
        </r>
      </text>
    </comment>
    <comment ref="K5" authorId="1" shapeId="0" xr:uid="{B665B9AA-5967-4711-9EBB-066BC35E7E6C}">
      <text>
        <r>
          <rPr>
            <sz val="9"/>
            <color indexed="81"/>
            <rFont val="Tahoma"/>
            <family val="2"/>
          </rPr>
          <t xml:space="preserve">The UMAC equipment contains two motors with power of 6 hp each one, and another motor of 2 hp. Thus, its total power is 14 hp, which converted to KW corresponds to around 10.30 kW. 
Conversion fator available at: &lt;http://www.webcalc.com.br/frame.asp?pag=http://www.webcalc.com.br/conversoes/potencia.html&gt;. Last visit on: 04/08/2022. </t>
        </r>
      </text>
    </comment>
    <comment ref="U5" authorId="0" shapeId="0" xr:uid="{EEF8A677-0530-4EBA-83EA-29EA368F5135}">
      <text>
        <r>
          <rPr>
            <sz val="9"/>
            <color indexed="81"/>
            <rFont val="Tahoma"/>
            <family val="2"/>
          </rPr>
          <t>In case produced compost is subjected to anaerobic storage or
disposed in a landfill</t>
        </r>
      </text>
    </comment>
    <comment ref="K7" authorId="2" shapeId="0" xr:uid="{F06C0BB4-8C2F-49D1-9E16-AD716A4E2925}">
      <text>
        <r>
          <rPr>
            <sz val="9"/>
            <color indexed="81"/>
            <rFont val="Segoe UI"/>
            <family val="2"/>
          </rPr>
          <t xml:space="preserve">Pump power specification:
7.5 hp
Conversion fator available at: &lt;http://www.webcalc.com.br/frame.asp?pag=http://www.webcalc.com.br/conversoes/potencia.html&gt;. Last visit on: 04/08/2022. </t>
        </r>
      </text>
    </comment>
    <comment ref="R8" authorId="2" shapeId="0" xr:uid="{F285E114-F58C-409D-8861-1BD716849F22}">
      <text>
        <r>
          <rPr>
            <sz val="9"/>
            <color indexed="81"/>
            <rFont val="Segoe UI"/>
            <family val="2"/>
          </rPr>
          <t>According to IPCC, the emission factor value for composting is:
10g CH4/kg waste composted on dry basis; and 4g CH4/kg waste composted on wet basis.</t>
        </r>
      </text>
    </comment>
    <comment ref="J18" authorId="0" shapeId="0" xr:uid="{63213808-7E57-484B-A110-F769A1CA9445}">
      <text>
        <r>
          <rPr>
            <sz val="9"/>
            <color indexed="81"/>
            <rFont val="Tahoma"/>
            <family val="2"/>
          </rPr>
          <t>Average technical transmission and distribution losses for providing electricity in year y</t>
        </r>
      </text>
    </comment>
    <comment ref="K18" authorId="0" shapeId="0" xr:uid="{30D37771-9504-47AC-BE39-24508EC112FC}">
      <text>
        <r>
          <rPr>
            <sz val="9"/>
            <color indexed="81"/>
            <rFont val="Tahoma"/>
            <family val="2"/>
          </rPr>
          <t>According to methodology AMS-III.F, v10.</t>
        </r>
      </text>
    </comment>
    <comment ref="J20" authorId="0" shapeId="0" xr:uid="{5E10DCFE-4D36-4BF2-8187-6DB19D1AC617}">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Marcelo Haddad</author>
    <author>Thiago Othero</author>
  </authors>
  <commentList>
    <comment ref="L2" authorId="0" shapeId="0" xr:uid="{44F1F6C0-5E0E-4638-87E4-DC57174CDF3F}">
      <text>
        <r>
          <rPr>
            <sz val="9"/>
            <color indexed="81"/>
            <rFont val="Tahoma"/>
            <family val="2"/>
          </rPr>
          <t xml:space="preserve">Embrapa scientific study was utilized to obtain default values on the average production of swine manure, which are established according to the swine weight. Embrapa publication indicates that wastes from swine confinements are composed of dung, urine and flushed water. Swine manure (both dung and urine) consist of nearly 70% of total wastes (i.e., 4.9kg out of 7 liters, or 7.112 kg considering a density of 1.016 kg per liter). Such density is expected for swine manure with 3% of solid matter, which is the expected value for the farms included in the project.
In case these values were used, they were multiplied by the annual average number of animals of each type and by the number of days in year y where the animal manure management system was operational, thus obtaining the quantity of manure treated in the year y. 
</t>
        </r>
      </text>
    </comment>
    <comment ref="F3" authorId="0" shapeId="0" xr:uid="{175F4303-2A8F-480A-9999-03F6D289EDA3}">
      <text>
        <r>
          <rPr>
            <sz val="9"/>
            <color indexed="81"/>
            <rFont val="Tahoma"/>
            <family val="2"/>
          </rPr>
          <t>The use of a conservative factor of 125% was used, meaning an operation time 25% higher than expected by LPC was considered. This estimate is considered conservative given that electricity is an significant cost for the operation of the composting unit and farmers would have no interest in using the equipments longer than necessary.</t>
        </r>
      </text>
    </comment>
    <comment ref="F4" authorId="1" shapeId="0" xr:uid="{4FB46875-E77E-4FDD-AB3B-A14ABB6182B9}">
      <text>
        <r>
          <rPr>
            <sz val="9"/>
            <color indexed="81"/>
            <rFont val="Tahoma"/>
            <family val="2"/>
          </rPr>
          <t>Hours converted to decimal.</t>
        </r>
      </text>
    </comment>
    <comment ref="G4" authorId="1" shapeId="0" xr:uid="{C3580252-2E41-410C-8D3C-17E1D6BA449A}">
      <text>
        <r>
          <rPr>
            <sz val="9"/>
            <color indexed="81"/>
            <rFont val="Tahoma"/>
            <family val="2"/>
          </rPr>
          <t>Hours converted to decimal.</t>
        </r>
      </text>
    </comment>
    <comment ref="M4" authorId="0" shapeId="0" xr:uid="{F1994807-701B-42B6-9925-68BECD5542F5}">
      <text>
        <r>
          <rPr>
            <sz val="9"/>
            <color indexed="81"/>
            <rFont val="Tahoma"/>
            <family val="2"/>
          </rPr>
          <t xml:space="preserve">According to: OLIVEIRA, Paulo Armando V. de. Produção e manejo de dejetos de suínos. Concórdia: Embrapa, 2003. 83 p. Information taken from Table 1. Value adopted to the current monitoring for the amount of solid waste (in kilogram): average daily production of swine manure, including manure and urine, according to animals weight.
</t>
        </r>
      </text>
    </comment>
    <comment ref="B19" authorId="0" shapeId="0" xr:uid="{FCF6D031-E7A2-4AB3-80FC-BCBEE838718F}">
      <text>
        <r>
          <rPr>
            <sz val="9"/>
            <color indexed="81"/>
            <rFont val="Tahoma"/>
            <family val="2"/>
          </rPr>
          <t>According to VCS PD, estimates applied on the emission reduction calculation are corrected with the use of a conservative factor of 125%, meaning an operation time 25% higher than expected by LPC was considered. This estimate is also considered conservative given that electricity is an significant cost for the operation of the composting unit and farmers would have no interest in using the equipments longer than necessary.</t>
        </r>
      </text>
    </comment>
    <comment ref="D20" authorId="1" shapeId="0" xr:uid="{597705CD-785D-4143-8112-8749C1DA775A}">
      <text>
        <r>
          <rPr>
            <sz val="9"/>
            <color indexed="81"/>
            <rFont val="Tahoma"/>
            <family val="2"/>
          </rPr>
          <t>This parameter is used to convert hours to decimal numbers</t>
        </r>
      </text>
    </comment>
    <comment ref="D21" authorId="0" shapeId="0" xr:uid="{F880ABDD-3BDC-4EFC-B0FA-91DDA4B2C836}">
      <text>
        <r>
          <rPr>
            <sz val="9"/>
            <color indexed="81"/>
            <rFont val="Tahoma"/>
            <family val="2"/>
          </rPr>
          <t xml:space="preserve">As described in VCS PD, the density of 1,016 kg per m³ was chosen from a publication of an EMBRAPA researcher. Such density is expected for swine manure with 3% of solid matter, which is the expected value for the farms included in the project.
It is important to note that this value is used by LPC Tecnologia Ambiental on the Technical Project of the composting unit. Hence, it is considered applicable to the farms conditions.
</t>
        </r>
      </text>
    </comment>
    <comment ref="I25" authorId="1" shapeId="0" xr:uid="{583245BE-3A83-44B7-8A99-5B58A362398D}">
      <text>
        <r>
          <rPr>
            <sz val="9"/>
            <color indexed="81"/>
            <rFont val="Tahoma"/>
            <family val="2"/>
          </rPr>
          <t>Hours converted to decimal.</t>
        </r>
      </text>
    </comment>
    <comment ref="J25" authorId="1" shapeId="0" xr:uid="{D4CABFEE-B323-4E49-8E05-5A29E7564306}">
      <text>
        <r>
          <rPr>
            <sz val="9"/>
            <color indexed="81"/>
            <rFont val="Tahoma"/>
            <family val="2"/>
          </rPr>
          <t>Hours converted to decimal.</t>
        </r>
      </text>
    </comment>
    <comment ref="M25" authorId="0" shapeId="0" xr:uid="{80B015F4-E2CC-4965-AD37-8E54EC3C1A37}">
      <text>
        <r>
          <rPr>
            <sz val="9"/>
            <color indexed="81"/>
            <rFont val="Tahoma"/>
            <family val="2"/>
          </rPr>
          <t>According to VCS PD, Project Proponents have used a deviation regarding the monitoring of the quantity of manure treated in the year y (parameter Qy) and the monitoring of the quantity of compost produced in year y (parameter Qy,treatment). The applied version of the methodology establishes these parameters should be monitored by on-site data measurement using weigh bridges. However, the project does not involve the transportation of waste by vehicles and compost is mostly used as fertilizer within the farm or on nearby farms, where weigh bridges are not available.
Therefore, Project Proponents proposed to determine the amount of waste composted by monitoring the number of operating hours of the pump that sends manure to the composting unit and/or applying default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Thiago Othero</author>
    <author>Sustainable</author>
  </authors>
  <commentList>
    <comment ref="K3" authorId="0" shapeId="0" xr:uid="{00000000-0006-0000-0000-000001000000}">
      <text>
        <r>
          <rPr>
            <sz val="9"/>
            <color indexed="81"/>
            <rFont val="Tahoma"/>
            <family val="2"/>
          </rPr>
          <t>Source of data:
The amount of compost produced was monitored in accordance to the weight or volume described by the farm owner. It was utilized the Specific Gravity in order to convert from m³ to tonnes. 
Specific gravity of the compost produced is 250kg/m³ (or 0.25 tonne/m³). According to Epagri Technical Report number 150.</t>
        </r>
      </text>
    </comment>
    <comment ref="K5" authorId="1" shapeId="0" xr:uid="{B239BC0F-0BE9-4DA0-BC8E-446CBF4B07A4}">
      <text>
        <r>
          <rPr>
            <b/>
            <sz val="9"/>
            <color indexed="81"/>
            <rFont val="Segoe UI"/>
            <charset val="1"/>
          </rPr>
          <t>Sustainable:</t>
        </r>
        <r>
          <rPr>
            <sz val="9"/>
            <color indexed="81"/>
            <rFont val="Segoe UI"/>
            <charset val="1"/>
          </rPr>
          <t xml:space="preserve">
450 m³ per year</t>
        </r>
      </text>
    </comment>
    <comment ref="K6" authorId="1" shapeId="0" xr:uid="{C3DF4911-AC13-4C39-8244-8B4720AE3470}">
      <text>
        <r>
          <rPr>
            <b/>
            <sz val="9"/>
            <color indexed="81"/>
            <rFont val="Segoe UI"/>
            <charset val="1"/>
          </rPr>
          <t>Sustainable:</t>
        </r>
        <r>
          <rPr>
            <sz val="9"/>
            <color indexed="81"/>
            <rFont val="Segoe UI"/>
            <charset val="1"/>
          </rPr>
          <t xml:space="preserve">
300 tonnes per year
</t>
        </r>
      </text>
    </comment>
    <comment ref="K11" authorId="1" shapeId="0" xr:uid="{57B9FEA7-DB4D-4F5B-8C4D-EAF1A0D55A5A}">
      <text>
        <r>
          <rPr>
            <b/>
            <sz val="9"/>
            <color indexed="81"/>
            <rFont val="Segoe UI"/>
            <charset val="1"/>
          </rPr>
          <t>Sustainable:</t>
        </r>
        <r>
          <rPr>
            <sz val="9"/>
            <color indexed="81"/>
            <rFont val="Segoe UI"/>
            <charset val="1"/>
          </rPr>
          <t xml:space="preserve">
250 tonnes in 2019
</t>
        </r>
      </text>
    </comment>
    <comment ref="K17" authorId="0" shapeId="0" xr:uid="{14B6BB90-D06F-4228-AF3F-A2FD1D640949}">
      <text>
        <r>
          <rPr>
            <sz val="9"/>
            <color indexed="81"/>
            <rFont val="Tahoma"/>
            <family val="2"/>
          </rPr>
          <t>Source of data:
The amount of compost produced was monitored in accordance to the weight or volume described by the farm owner. It was utilized the Specific Gravity in order to convert from m³ to tonnes. 
Specific gravity of the compost produced is 250kg/m³ (or 0.25 tonne/m³). According to Epagri Technical Report number 150.</t>
        </r>
      </text>
    </comment>
    <comment ref="K19" authorId="1" shapeId="0" xr:uid="{71DF10EE-E998-4B95-8D94-415266258357}">
      <text>
        <r>
          <rPr>
            <b/>
            <sz val="9"/>
            <color indexed="81"/>
            <rFont val="Segoe UI"/>
            <charset val="1"/>
          </rPr>
          <t>Sustainable:</t>
        </r>
        <r>
          <rPr>
            <sz val="9"/>
            <color indexed="81"/>
            <rFont val="Segoe UI"/>
            <charset val="1"/>
          </rPr>
          <t xml:space="preserve">
450 m³ per year</t>
        </r>
      </text>
    </comment>
    <comment ref="K20" authorId="1" shapeId="0" xr:uid="{B294EF21-ECA2-44FB-98CB-DA36ECF398E9}">
      <text>
        <r>
          <rPr>
            <b/>
            <sz val="9"/>
            <color indexed="81"/>
            <rFont val="Segoe UI"/>
            <charset val="1"/>
          </rPr>
          <t>Sustainable:</t>
        </r>
        <r>
          <rPr>
            <sz val="9"/>
            <color indexed="81"/>
            <rFont val="Segoe UI"/>
            <charset val="1"/>
          </rPr>
          <t xml:space="preserve">
300 tonnes per year</t>
        </r>
      </text>
    </comment>
    <comment ref="K25" authorId="1" shapeId="0" xr:uid="{6BA8F59A-713C-40DD-84C2-D2CB056FBBF6}">
      <text>
        <r>
          <rPr>
            <b/>
            <sz val="9"/>
            <color indexed="81"/>
            <rFont val="Segoe UI"/>
            <charset val="1"/>
          </rPr>
          <t>Sustainable:</t>
        </r>
        <r>
          <rPr>
            <sz val="9"/>
            <color indexed="81"/>
            <rFont val="Segoe UI"/>
            <charset val="1"/>
          </rPr>
          <t xml:space="preserve">
250 tonnes in 2020</t>
        </r>
      </text>
    </comment>
    <comment ref="D30" authorId="0" shapeId="0" xr:uid="{AEFC3814-D863-4563-8963-F2517C4F9A2B}">
      <text>
        <r>
          <rPr>
            <sz val="9"/>
            <color indexed="81"/>
            <rFont val="Tahoma"/>
            <family val="2"/>
          </rPr>
          <t>Source of data:
The amount of compost produced was monitored in accordance to the weight or volume described by the farm owner. It was utilized the Specific Gravity in order to convert from m³ to tonnes. 
Specific gravity of the compost produced is 250kg/m³ (or 0.25 tonne/m³). According to Epagri Technical Report number 150.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Marcelo Haddad</author>
    <author>Thiago</author>
  </authors>
  <commentList>
    <comment ref="M4" authorId="0" shapeId="0" xr:uid="{2249FCC5-357B-4CF2-9AB9-ACFF57A611E3}">
      <text>
        <r>
          <rPr>
            <sz val="9"/>
            <color indexed="81"/>
            <rFont val="Tahoma"/>
            <family val="2"/>
          </rPr>
          <t>According to methodology AMS.III.D, v.18</t>
        </r>
      </text>
    </comment>
    <comment ref="M5" authorId="1" shapeId="0" xr:uid="{3480D016-7A4C-449C-881B-A5D96C4CB11D}">
      <text>
        <r>
          <rPr>
            <sz val="10"/>
            <color indexed="81"/>
            <rFont val="Tahoma"/>
            <family val="2"/>
          </rPr>
          <t>According to methodology AMS.III.D, v.18</t>
        </r>
      </text>
    </comment>
    <comment ref="M6" authorId="0" shapeId="0" xr:uid="{454DFA6F-6E21-462E-B7E0-1EED7D894EA1}">
      <text>
        <r>
          <rPr>
            <sz val="9"/>
            <color indexed="81"/>
            <rFont val="Tahoma"/>
            <family val="2"/>
          </rPr>
          <t>Uncovered anaerobic lagoons:77%</t>
        </r>
      </text>
    </comment>
    <comment ref="M7" authorId="0" shapeId="0" xr:uid="{A4473BB2-3DAD-45C2-9D57-275DEB2F3C29}">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0" shapeId="0" xr:uid="{80B4B3A1-2912-4905-8E8D-38D303CD7CB0}">
      <text>
        <r>
          <rPr>
            <sz val="9"/>
            <color indexed="81"/>
            <rFont val="Tahoma"/>
            <family val="2"/>
          </rPr>
          <t>According to VCS PD, all waste was sent to the baseline treatment system (anaerobic lagoons) prior to the project initiation.</t>
        </r>
      </text>
    </comment>
    <comment ref="L10" authorId="1" shapeId="0" xr:uid="{10A3C46F-8033-45BD-A2B5-E86AA80C9A95}">
      <text>
        <r>
          <rPr>
            <sz val="8"/>
            <color indexed="81"/>
            <rFont val="Tahoma"/>
            <family val="2"/>
          </rPr>
          <t>According to Tables 10.17, 10.A-7 and 10.A-8 of th Chapter 10 of 2006 IPCC Guidelines on Greehouse Gas Inventories.</t>
        </r>
      </text>
    </comment>
    <comment ref="L13" authorId="0" shapeId="0" xr:uid="{6FB81465-4A40-4A5D-A01B-3EFB9A5546DA}">
      <text>
        <r>
          <rPr>
            <sz val="9"/>
            <color indexed="81"/>
            <rFont val="Tahoma"/>
            <family val="2"/>
          </rPr>
          <t>Default value for the volatile solid excretion rate per day on a dry-matter basis for a defined livestock population</t>
        </r>
      </text>
    </comment>
    <comment ref="L18" authorId="0" shapeId="0" xr:uid="{C1B507AB-E7C8-4FAC-A434-A73B97450EC5}">
      <text>
        <r>
          <rPr>
            <sz val="9"/>
            <color indexed="81"/>
            <rFont val="Tahoma"/>
            <family val="2"/>
          </rPr>
          <t>Maximum methane producing potential of the volatile solid generated for animal type LT</t>
        </r>
      </text>
    </comment>
    <comment ref="L23" authorId="0" shapeId="0" xr:uid="{EBCF15A4-8313-40C4-ACF4-E7F291428DDF}">
      <text>
        <r>
          <rPr>
            <sz val="9"/>
            <color indexed="81"/>
            <rFont val="Tahoma"/>
            <family val="2"/>
          </rPr>
          <t>Default average animal weight of a defined population</t>
        </r>
      </text>
    </comment>
    <comment ref="L30" authorId="0" shapeId="0" xr:uid="{D8F64A46-5473-4BA4-8BE3-3497FB65702E}">
      <text>
        <r>
          <rPr>
            <sz val="9"/>
            <color indexed="81"/>
            <rFont val="Tahoma"/>
            <family val="2"/>
          </rPr>
          <t>Default value for the volatile solid excretion rate per day on a dry-matter basis for a defined livestock population</t>
        </r>
      </text>
    </comment>
    <comment ref="L35" authorId="0" shapeId="0" xr:uid="{3E65D019-A700-459C-86F2-1635F33F0150}">
      <text>
        <r>
          <rPr>
            <sz val="9"/>
            <color indexed="81"/>
            <rFont val="Tahoma"/>
            <family val="2"/>
          </rPr>
          <t>Maximum methane producing potential of the volatile solid generated for animal type LT</t>
        </r>
      </text>
    </comment>
    <comment ref="L40" authorId="0" shapeId="0" xr:uid="{82470CDC-35B5-4EBF-B845-E4A0DFB715FF}">
      <text>
        <r>
          <rPr>
            <sz val="9"/>
            <color indexed="81"/>
            <rFont val="Tahoma"/>
            <family val="2"/>
          </rPr>
          <t>Default average animal weight of a defined population</t>
        </r>
      </text>
    </comment>
    <comment ref="P40" authorId="0" shapeId="0" xr:uid="{194F3282-6840-4A1C-96AA-28F0E785A317}">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Camila Vaccari</author>
    <author>Marcelo Haddad</author>
    <author>mariana.ss</author>
  </authors>
  <commentList>
    <comment ref="B4" authorId="0" shapeId="0" xr:uid="{8DFB501B-E143-4AC3-826C-B02A3CF8DC1A}">
      <text>
        <r>
          <rPr>
            <sz val="9"/>
            <color indexed="81"/>
            <rFont val="Tahoma"/>
            <family val="2"/>
          </rPr>
          <t>According to data from integrators.</t>
        </r>
      </text>
    </comment>
    <comment ref="F4" authorId="1" shapeId="0" xr:uid="{222E4201-6B01-499A-A7B6-74F99D690268}">
      <text>
        <r>
          <rPr>
            <sz val="9"/>
            <color indexed="81"/>
            <rFont val="Tahoma"/>
            <family val="2"/>
          </rPr>
          <t>End date can be either the date when animals leave the farm, or the end date of the monitoring period.
Emission reductions for each batch were limited to the final date of the monitoring period, in order to request carbon credits only within this period.</t>
        </r>
      </text>
    </comment>
    <comment ref="G4" authorId="1" shapeId="0" xr:uid="{7D39CE63-DD63-4AF2-A7EE-F910689202EF}">
      <text>
        <r>
          <rPr>
            <sz val="9"/>
            <color indexed="81"/>
            <rFont val="Tahoma"/>
            <family val="2"/>
          </rPr>
          <t>As described in VCS PD, batches do not follow a yearly calendar. This date represents the year wherein emission reductions are claimed for each batch. The end date of each batch will be the "year considered" for this purpose.
Therefore, if a batch has an entry date in one year, and an end date in another one, the year considered for carbon credits calculations will be the end date. This approach is in line with calculations carried out during previous monitoring period, e.g., when emission reductions were not claimed for a batch that had an end date after the end of the monitoring period. Thus, this procedure adjusts emission reductions to be in accordance with each batch.</t>
        </r>
      </text>
    </comment>
    <comment ref="N4" authorId="2" shapeId="0" xr:uid="{B318FE2F-873D-490F-8827-111EE7097686}">
      <text>
        <r>
          <rPr>
            <sz val="9"/>
            <color indexed="81"/>
            <rFont val="Tahoma"/>
            <family val="2"/>
          </rPr>
          <t>The current monitoring period starts in May 2019, thus the number of days animals are alive in the farm (Nda,y) starts only from this date on, regardless if the batch entry date was before May 2019. This aproach has been carried out in order to request credits that refer to the current monitoring period.
In addition, the Number of days animal is alive in the farm was also limited to the final date of the monitoring period.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Marcelo Haddad</author>
    <author>mariana.ss</author>
    <author>Guilherme Prado</author>
  </authors>
  <commentList>
    <comment ref="U2" authorId="0" shapeId="0" xr:uid="{62D4E4E3-36C0-4DAD-BF25-0B5F24AB6239}">
      <text>
        <r>
          <rPr>
            <b/>
            <sz val="9"/>
            <color indexed="81"/>
            <rFont val="Tahoma"/>
            <family val="2"/>
          </rPr>
          <t>Marcelo Haddad:</t>
        </r>
        <r>
          <rPr>
            <sz val="9"/>
            <color indexed="81"/>
            <rFont val="Tahoma"/>
            <family val="2"/>
          </rPr>
          <t xml:space="preserve">
According to VCS PD, among the project emissions listed by the methodology AMS-III.F., version 10, the proposed project activity will not produce emissions referring to the consumption of fossil fuels, emissions due to the incremental transportation distances, emissions due to the runoff water and emissions related to compost storage. This is justified by the following:
 There will be no fossil fuel consumption by the equipments installed as part of the project; the project will not result in additional transportation of waste or compost.
 The project results in a significant reduction in the volume of treated manure, since the composting process evaporates most of the water content on the treated manure. This reduction in volume also reduces associated consumption of fossil fuels for its transportation until final destination;
 The mechanized composting units are automated and designed not apply excessive wastes on the substrate. Also, the sheds are covered, avoiding rainwater percolation onto the substrate. Any runoff water is recirculated into the composting mass;
 Finally, the compost will not be stored in anaerobic conditions nor sent to landfills.</t>
        </r>
      </text>
    </comment>
    <comment ref="L3" authorId="0" shapeId="0" xr:uid="{90F54F3C-2992-4CC9-85C3-61968A97A360}">
      <text>
        <r>
          <rPr>
            <sz val="9"/>
            <color indexed="81"/>
            <rFont val="Tahoma"/>
            <family val="2"/>
          </rPr>
          <t>The annual operating time represents the quantity of hours the AWMS operated per year, according to each batch. As described in VCS PD, batches do not follow a yearly calendar. The end date of each batch will be the "year considered" for calculations. Therefore, the annual operating time represents the hours/year, depending on the end date of each batch.
Data was incomplete, thus, given the farms management processes and their low energy consumption, a conservative value was applied. Such value is based on monitored data collected in part of this monitoring period and on LPC judgment about the expected time of operation of the manure pump and the UMAC equipment, which are the only two equipments demanding electricity consumption in the AWMS. Values applied on the emission reduction calculation were conservatively defined as the highest value of:
 LPC judgement corrected with the use of a conservative factor of 125%, meaning an operation time 25% higher than expected by LPC was considered.
The average time of operation of each equipment as monitored by each farmer during part of the monitored period.
This estimate is also considered conservative given that electricity is an significant cost for the operation of the composting unit and farmers would have no interest in using the equipments longer than necessary.
Finally, the most conservative value was multiplied by the number of days where animal manure management system is operational (ndy), achieving the annual operating time (in hours).</t>
        </r>
      </text>
    </comment>
    <comment ref="O3" authorId="0" shapeId="0" xr:uid="{AC999697-0338-4C55-B3DF-49F1F612A98D}">
      <text>
        <r>
          <rPr>
            <sz val="9"/>
            <color indexed="81"/>
            <rFont val="Tahoma"/>
            <family val="2"/>
          </rPr>
          <t>The annual quantity of manure treated per year was calculated according to each batch. As described in VCS PD, batches do not follow a yearly calendar. The end date of each batch will be the "year considered" for calculations. Therefore, the year considered for Qy depends on the end date of each batch.
Data was incomplete, thus, given the farms management processes and their low energy consumption, a conservative value was applied. Such value is based on monitored data collected in part of this monitoring period and on LPC judgment about the quantity of manure treated per day through the operation of the UMAC equipment. Values applied on the emission reduction calculation were conservatively defined as the highest value of:
 LPC judgement.
 The average quantity of manure treated per day monitored by each farmer during part of the monitored period.
Finally, the most conservative value was multiplied by the number of days where animal manure management system is operational (ndy), achieving the quantity of manure treated per year (Qy).</t>
        </r>
      </text>
    </comment>
    <comment ref="K5" authorId="1" shapeId="0" xr:uid="{281D78E5-DCAA-4710-922E-A88A24664A53}">
      <text>
        <r>
          <rPr>
            <sz val="9"/>
            <color indexed="81"/>
            <rFont val="Tahoma"/>
            <family val="2"/>
          </rPr>
          <t xml:space="preserve">The UMAC equipment contains two motors with power of 6 hp  each one, and another motor of 2 CV. Thus, its total power is 14CV, which converted to KW corresponds to around 10.30 kW. 
Conversion fator available at: &lt;http://www.webcalc.com.br/frame.asp?pag=http://www.webcalc.com.br/conversoes/potencia.html&gt;. Last visit on: 04/08/2022. 
</t>
        </r>
      </text>
    </comment>
    <comment ref="U5" authorId="0" shapeId="0" xr:uid="{370B9000-9D44-439F-92A7-92E6B247446A}">
      <text>
        <r>
          <rPr>
            <sz val="9"/>
            <color indexed="81"/>
            <rFont val="Tahoma"/>
            <family val="2"/>
          </rPr>
          <t>In case produced compost is subjected to anaerobic storage or
disposed in a landfill</t>
        </r>
      </text>
    </comment>
    <comment ref="K7" authorId="2" shapeId="0" xr:uid="{266F3ABA-8115-4B43-8FD3-B7CEEDE5EF84}">
      <text>
        <r>
          <rPr>
            <sz val="9"/>
            <color indexed="81"/>
            <rFont val="Segoe UI"/>
            <family val="2"/>
          </rPr>
          <t xml:space="preserve">Pump power specification:
7.5hp
Conversion fator available at: &lt;http://www.webcalc.com.br/frame.asp?pag=http://www.webcalc.com.br/conversoes/potencia.html&gt;. Last visit on: 06/08/2015. </t>
        </r>
      </text>
    </comment>
    <comment ref="R8" authorId="2" shapeId="0" xr:uid="{89D7B43B-35DA-4D63-8FF4-E8C0708C37C0}">
      <text>
        <r>
          <rPr>
            <sz val="9"/>
            <color indexed="81"/>
            <rFont val="Segoe UI"/>
            <family val="2"/>
          </rPr>
          <t>According to IPCC, the emission factor value for composting is:
10g CH4/kg waste composted on dry basis; and 4g CH4/kg waste composted on wet basis.</t>
        </r>
      </text>
    </comment>
    <comment ref="J18" authorId="0" shapeId="0" xr:uid="{2C07A6F4-BF4C-4954-BF5A-B92ABF4B5807}">
      <text>
        <r>
          <rPr>
            <sz val="9"/>
            <color indexed="81"/>
            <rFont val="Tahoma"/>
            <family val="2"/>
          </rPr>
          <t>Average technical transmission and distribution losses for providing electricity in year y</t>
        </r>
      </text>
    </comment>
    <comment ref="K18" authorId="0" shapeId="0" xr:uid="{45D9A985-A50C-47A4-B98F-DC15B7FB49E3}">
      <text>
        <r>
          <rPr>
            <sz val="9"/>
            <color indexed="81"/>
            <rFont val="Tahoma"/>
            <family val="2"/>
          </rPr>
          <t>According to methodology AMS-III.F, v10.</t>
        </r>
      </text>
    </comment>
    <comment ref="J20" authorId="0" shapeId="0" xr:uid="{0671B357-2793-4684-9049-BCAEF42388D9}">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Marcelo Haddad</author>
    <author>Thiago Othero</author>
  </authors>
  <commentList>
    <comment ref="L2" authorId="0" shapeId="0" xr:uid="{3C701610-10BB-4BE5-924D-2C4ABBFC9343}">
      <text>
        <r>
          <rPr>
            <sz val="9"/>
            <color indexed="81"/>
            <rFont val="Tahoma"/>
            <family val="2"/>
          </rPr>
          <t xml:space="preserve">Embrapa scientific study was utilized to obtain default values on the average production of swine manure, which are established according to the swine weight. Embrapa publication indicates that wastes from swine confinements are composed of dung, urine and flushed water. Swine manure (both dung and urine) consist of nearly 70% of total wastes (i.e., 4.9kg out of 7 liters, or 7.112 kg considering a density of 1.016 kg per liter). Such density is expected for swine manure with 3% of solid matter, which is the expected value for the farms included in the project.
In case these values were used, they were multiplied by the annual average number of animals of each type and by the number of days in year y where the animal manure management system was operational, thus obtaining the quantity of manure treated in the year y. 
</t>
        </r>
      </text>
    </comment>
    <comment ref="F3" authorId="0" shapeId="0" xr:uid="{E6061F22-D5F6-4024-85E5-AFCC5C758EE5}">
      <text>
        <r>
          <rPr>
            <sz val="9"/>
            <color indexed="81"/>
            <rFont val="Tahoma"/>
            <family val="2"/>
          </rPr>
          <t>The use of a conservative factor of 125% was used, meaning an operation time 25% higher than expected by LPC was considered. This estimate is considered conservative given that electricity is an significant cost for the operation of the composting unit and farmers would have no interest in using the equipments longer than necessary.</t>
        </r>
      </text>
    </comment>
    <comment ref="F4" authorId="1" shapeId="0" xr:uid="{61C71F77-22B3-47AC-8EC4-8A1657CE45EE}">
      <text>
        <r>
          <rPr>
            <sz val="9"/>
            <color indexed="81"/>
            <rFont val="Tahoma"/>
            <family val="2"/>
          </rPr>
          <t>Hours converted to decimal.</t>
        </r>
      </text>
    </comment>
    <comment ref="G4" authorId="1" shapeId="0" xr:uid="{019AB31F-08E3-4886-A863-D8E31EF61A93}">
      <text>
        <r>
          <rPr>
            <sz val="9"/>
            <color indexed="81"/>
            <rFont val="Tahoma"/>
            <family val="2"/>
          </rPr>
          <t>Hours converted to decimal.</t>
        </r>
      </text>
    </comment>
    <comment ref="M4" authorId="0" shapeId="0" xr:uid="{368AD1E4-C8C8-455E-A6AE-D797CBE42269}">
      <text>
        <r>
          <rPr>
            <sz val="9"/>
            <color indexed="81"/>
            <rFont val="Tahoma"/>
            <family val="2"/>
          </rPr>
          <t xml:space="preserve">According to: OLIVEIRA, Paulo Armando V. de. Produção e manejo de dejetos de suínos. Concórdia: Embrapa, 2003. 83 p. Information taken from Table 1. Value adopted to the current monitoring for the amount of solid waste (in kilogram): average daily production of swine manure, including manure and urine, according to animals weight.
</t>
        </r>
      </text>
    </comment>
    <comment ref="B19" authorId="0" shapeId="0" xr:uid="{14A03832-8B6E-415D-99BA-065CC54297DB}">
      <text>
        <r>
          <rPr>
            <sz val="9"/>
            <color indexed="81"/>
            <rFont val="Tahoma"/>
            <family val="2"/>
          </rPr>
          <t>According to VCS PD, estimates applied on the emission reduction calculation are corrected with the use of a conservative factor of 125%, meaning an operation time 25% higher than expected by LPC was considered. This estimate is also considered conservative given that electricity is an significant cost for the operation of the composting unit and farmers would have no interest in using the equipments longer than necessary.</t>
        </r>
      </text>
    </comment>
    <comment ref="D20" authorId="1" shapeId="0" xr:uid="{33199369-E93D-431D-9FD7-88EFE437C3EC}">
      <text>
        <r>
          <rPr>
            <sz val="9"/>
            <color indexed="81"/>
            <rFont val="Tahoma"/>
            <family val="2"/>
          </rPr>
          <t>This parameter is used to convert hours to decimal numbers</t>
        </r>
      </text>
    </comment>
    <comment ref="D21" authorId="0" shapeId="0" xr:uid="{F45158EB-C830-436E-9360-1BC106CB6374}">
      <text>
        <r>
          <rPr>
            <sz val="9"/>
            <color indexed="81"/>
            <rFont val="Tahoma"/>
            <family val="2"/>
          </rPr>
          <t xml:space="preserve">As described in VCS PD, the density of 1,016 kg per m³ was chosen from a publication of an EMBRAPA researcher. Such density is expected for swine manure with 3% of solid matter, which is the expected value for the farms included in the project.
It is important to note that this value is used by LPC Tecnologia Ambiental on the Technical Project of the composting unit. Hence, it is considered applicable to the farms conditions.
</t>
        </r>
      </text>
    </comment>
    <comment ref="I25" authorId="1" shapeId="0" xr:uid="{9AB470AF-0682-4A8A-AEDF-2401A5C38ADE}">
      <text>
        <r>
          <rPr>
            <sz val="9"/>
            <color indexed="81"/>
            <rFont val="Tahoma"/>
            <family val="2"/>
          </rPr>
          <t>Hours converted to decimal.</t>
        </r>
      </text>
    </comment>
    <comment ref="J25" authorId="1" shapeId="0" xr:uid="{A3D388F6-FFC5-4830-842B-A1CAAF3CA335}">
      <text>
        <r>
          <rPr>
            <sz val="9"/>
            <color indexed="81"/>
            <rFont val="Tahoma"/>
            <family val="2"/>
          </rPr>
          <t>Hours converted to decimal.</t>
        </r>
      </text>
    </comment>
    <comment ref="M25" authorId="0" shapeId="0" xr:uid="{89233900-DE9F-4581-8C14-FDFE5519804A}">
      <text>
        <r>
          <rPr>
            <sz val="9"/>
            <color indexed="81"/>
            <rFont val="Tahoma"/>
            <family val="2"/>
          </rPr>
          <t>According to VCS PD, Project Proponents have used a deviation regarding the monitoring of the quantity of manure treated in the year y (parameter Qy) and the monitoring of the quantity of compost produced in year y (parameter Qy,treatment). The applied version of the methodology establishes these parameters should be monitored by on-site data measurement using weigh bridges. However, the project does not involve the transportation of waste by vehicles and compost is mostly used as fertilizer within the farm or on nearby farms, where weigh bridges are not available.
Therefore, Project Proponents proposed to determine the amount of waste composted by monitoring the number of operating hours of the pump that sends manure to the composting unit and/or applying default values.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Marcelo Haddad</author>
    <author>Thiago</author>
  </authors>
  <commentList>
    <comment ref="M4" authorId="0" shapeId="0" xr:uid="{DCD65C22-387D-407B-AA1C-93195ACB595E}">
      <text>
        <r>
          <rPr>
            <sz val="9"/>
            <color indexed="81"/>
            <rFont val="Tahoma"/>
            <family val="2"/>
          </rPr>
          <t>According to methodology AMS.III.D, v.18</t>
        </r>
      </text>
    </comment>
    <comment ref="M5" authorId="1" shapeId="0" xr:uid="{6E1999DD-870B-4DE2-B61F-BE7EBAC35EE4}">
      <text>
        <r>
          <rPr>
            <sz val="10"/>
            <color indexed="81"/>
            <rFont val="Tahoma"/>
            <family val="2"/>
          </rPr>
          <t>According to methodology AMS.III.D, v.18</t>
        </r>
      </text>
    </comment>
    <comment ref="M6" authorId="0" shapeId="0" xr:uid="{16B21404-3A07-4056-A0B9-3A805070D44D}">
      <text>
        <r>
          <rPr>
            <sz val="9"/>
            <color indexed="81"/>
            <rFont val="Tahoma"/>
            <family val="2"/>
          </rPr>
          <t>Uncovered anaerobic lagoons: 77%
2006 IPCC Guidelines for National Greenhouse Gas Inventories, volume 4, chapter 10, table 10.17.</t>
        </r>
      </text>
    </comment>
    <comment ref="M7" authorId="0" shapeId="0" xr:uid="{C6C18A95-9C12-4A1F-9F7D-E9BD0ECF0A07}">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0" shapeId="0" xr:uid="{C8FD6B02-CB71-4A0C-AC75-A164E3CAEDEE}">
      <text>
        <r>
          <rPr>
            <sz val="9"/>
            <color indexed="81"/>
            <rFont val="Tahoma"/>
            <family val="2"/>
          </rPr>
          <t>According to VCS PD, all waste was sent to the baseline treatment system (anaerobic lagoons) prior to the project initiation.</t>
        </r>
      </text>
    </comment>
    <comment ref="L10" authorId="1" shapeId="0" xr:uid="{8A521F2C-8CCB-4C83-9954-762907A48E5D}">
      <text>
        <r>
          <rPr>
            <sz val="8"/>
            <color indexed="81"/>
            <rFont val="Tahoma"/>
            <family val="2"/>
          </rPr>
          <t>According to Tables 10.17, 10.A-7 and 10.A-8 of th Chapter 10 of 2006 IPCC Guidelines on Greehouse Gas Inventories.</t>
        </r>
      </text>
    </comment>
    <comment ref="L13" authorId="0" shapeId="0" xr:uid="{C26CB2A1-689B-41F6-96DC-6E4054E39325}">
      <text>
        <r>
          <rPr>
            <sz val="9"/>
            <color indexed="81"/>
            <rFont val="Tahoma"/>
            <family val="2"/>
          </rPr>
          <t>Default value for the volatile solid excretion rate per day on a dry-matter basis for a defined livestock population</t>
        </r>
      </text>
    </comment>
    <comment ref="L18" authorId="0" shapeId="0" xr:uid="{593DF9C2-56E8-4521-946F-0178FB50232F}">
      <text>
        <r>
          <rPr>
            <sz val="9"/>
            <color indexed="81"/>
            <rFont val="Tahoma"/>
            <family val="2"/>
          </rPr>
          <t>Maximum methane producing potential of the volatile solid generated for animal type LT</t>
        </r>
      </text>
    </comment>
    <comment ref="L23" authorId="0" shapeId="0" xr:uid="{F9C32016-20E8-4230-A681-64B7FB0F6BCB}">
      <text>
        <r>
          <rPr>
            <sz val="9"/>
            <color indexed="81"/>
            <rFont val="Tahoma"/>
            <family val="2"/>
          </rPr>
          <t>Default average animal weight of a defined population</t>
        </r>
      </text>
    </comment>
    <comment ref="L30" authorId="0" shapeId="0" xr:uid="{200F2196-DE0E-4F43-AB66-C6720A13BE21}">
      <text>
        <r>
          <rPr>
            <sz val="9"/>
            <color indexed="81"/>
            <rFont val="Tahoma"/>
            <family val="2"/>
          </rPr>
          <t>Default value for the volatile solid excretion rate per day on a dry-matter basis for a defined livestock population</t>
        </r>
      </text>
    </comment>
    <comment ref="L35" authorId="0" shapeId="0" xr:uid="{1C8AE4EA-C59E-4895-9650-02676E39B8B5}">
      <text>
        <r>
          <rPr>
            <sz val="9"/>
            <color indexed="81"/>
            <rFont val="Tahoma"/>
            <family val="2"/>
          </rPr>
          <t>Maximum methane producing potential of the volatile solid generated for animal type LT</t>
        </r>
      </text>
    </comment>
    <comment ref="L40" authorId="0" shapeId="0" xr:uid="{81DEC9E4-C419-499D-86EA-27FF8145063B}">
      <text>
        <r>
          <rPr>
            <sz val="9"/>
            <color indexed="81"/>
            <rFont val="Tahoma"/>
            <family val="2"/>
          </rPr>
          <t>Default average animal weight of a defined population</t>
        </r>
      </text>
    </comment>
    <comment ref="P40" authorId="0" shapeId="0" xr:uid="{466FC451-99ED-4E3A-9C55-B077234C3988}">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Camila Vaccari</author>
    <author>Marcelo Haddad</author>
    <author>mariana.ss</author>
  </authors>
  <commentList>
    <comment ref="B4" authorId="0" shapeId="0" xr:uid="{DD904B19-C0D4-42FA-AC22-0D93EAE937D3}">
      <text>
        <r>
          <rPr>
            <sz val="9"/>
            <color indexed="81"/>
            <rFont val="Tahoma"/>
            <family val="2"/>
          </rPr>
          <t>According to data from integrators.</t>
        </r>
      </text>
    </comment>
    <comment ref="F4" authorId="1" shapeId="0" xr:uid="{AC65D783-0C2C-454C-9183-0B9CEBFAB31F}">
      <text>
        <r>
          <rPr>
            <sz val="9"/>
            <color indexed="81"/>
            <rFont val="Tahoma"/>
            <family val="2"/>
          </rPr>
          <t>End date can be either the date when animals leave the farm, or the end date of the monitoring period.
Emission reductions for each batch were limited to the final date of the monitoring period, in order to request carbon credits only within this period.</t>
        </r>
      </text>
    </comment>
    <comment ref="G4" authorId="1" shapeId="0" xr:uid="{EDECD955-25B3-4BC4-BD35-427111BE73BA}">
      <text>
        <r>
          <rPr>
            <sz val="9"/>
            <color indexed="81"/>
            <rFont val="Tahoma"/>
            <family val="2"/>
          </rPr>
          <t>As described in VCS PD, batches do not follow a yearly calendar. This date represents the year wherein emission reductions are claimed for each batch. The end date of each batch will be the "year considered" for this purpose.
Therefore, if a batch has an entry date in one year, and an end date in another one, the year considered for carbon credits calculations will be the end date. This approach is in line with calculations carried out during previous monitoring period, e.g., when emission reductions were not claimed for a batch that had an end date after the end of the monitoring period. Thus, this procedure adjusts emission reductions to be in accordance with each batch.</t>
        </r>
      </text>
    </comment>
    <comment ref="N4" authorId="2" shapeId="0" xr:uid="{CE7C4CAC-4884-4DEA-81A1-B71CD9298325}">
      <text>
        <r>
          <rPr>
            <sz val="9"/>
            <color indexed="81"/>
            <rFont val="Tahoma"/>
            <family val="2"/>
          </rPr>
          <t>The current monitoring period starts in May 2019, thus the number of days animals are alive in the farm (Nda,y) starts only from this date on, regardless if the batch entry date was before May 2019. This aproach has been carried out in order to request credits that refer to the current monitoring period.
In addition, the Number of days animal is alive in the farm was also limited to the final date of the monitoring period.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Marcelo Haddad</author>
    <author>mariana.ss</author>
    <author>Guilherme Prado</author>
  </authors>
  <commentList>
    <comment ref="U2" authorId="0" shapeId="0" xr:uid="{CB052768-0F58-4E72-B8EE-C089CFA17CCE}">
      <text>
        <r>
          <rPr>
            <b/>
            <sz val="9"/>
            <color indexed="81"/>
            <rFont val="Tahoma"/>
            <family val="2"/>
          </rPr>
          <t>Marcelo Haddad:</t>
        </r>
        <r>
          <rPr>
            <sz val="9"/>
            <color indexed="81"/>
            <rFont val="Tahoma"/>
            <family val="2"/>
          </rPr>
          <t xml:space="preserve">
According to VCS PD, among the project emissions listed by the methodology AMS-III.F., version 10, the proposed project activity will not produce emissions referring to the consumption of fossil fuels, emissions due to the incremental transportation distances, emissions due to the runoff water and emissions related to compost storage. This is justified by the following:
 There will be no fossil fuel consumption by the equipments installed as part of the project; the project will not result in additional transportation of waste or compost.
 The project results in a significant reduction in the volume of treated manure, since the composting process evaporates most of the water content on the treated manure. This reduction in volume also reduces associated consumption of fossil fuels for its transportation until final destination;
 The mechanized composting units are automated and designed not apply excessive wastes on the substrate. Also, the sheds are covered, avoiding rainwater percolation onto the substrate. Any runoff water is recirculated into the composting mass;
 Finally, the compost will not be stored in anaerobic conditions nor sent to landfills.</t>
        </r>
      </text>
    </comment>
    <comment ref="L3" authorId="0" shapeId="0" xr:uid="{9B4B8858-5C27-4361-B08D-239AB497E578}">
      <text>
        <r>
          <rPr>
            <sz val="9"/>
            <color indexed="81"/>
            <rFont val="Tahoma"/>
            <family val="2"/>
          </rPr>
          <t>The annual operating time represents the quantity of hours the AWMS operated per year, according to each batch. As described in VCS PD, batches do not follow a yearly calendar. The end date of each batch will be the "year considered" for calculations. Therefore, the annual operating time represents the hours/year, depending on the end date of each batch.
Data was incomplete, thus, given the farms management processes and their low energy consumption, a conservative value was applied. Such value is based on monitored data collected in part of this monitoring period and on LPC judgment about the expected time of operation of the manure pump and the UMAC equipment, which are the only two equipments demanding electricity consumption in the AWMS. Values applied on the emission reduction calculation were conservatively defined as the highest value of:
 LPC judgement corrected with the use of a conservative factor of 125%, meaning an operation time 25% higher than expected by LPC was considered.
The average time of operation of each equipment as monitored by each farmer during part of the monitored period.
This estimate is also considered conservative given that electricity is an significant cost for the operation of the composting unit and farmers would have no interest in using the equipments longer than necessary.
Finally, the most conservative value was multiplied by the number of days where animal manure management system is operational (ndy), achieving the annual operating time (in hours).</t>
        </r>
      </text>
    </comment>
    <comment ref="O3" authorId="0" shapeId="0" xr:uid="{683BC552-6BDB-49C9-85A1-839BD1F58602}">
      <text>
        <r>
          <rPr>
            <sz val="9"/>
            <color indexed="81"/>
            <rFont val="Tahoma"/>
            <family val="2"/>
          </rPr>
          <t>The annual quantity of manure treated per year was calculated according to each batch. As described in VCS PD, batches do not follow a yearly calendar. The end date of each batch will be the "year considered" for calculations. Therefore, the year considered for Qy depends on the end date of each batch.
Data was incomplete, thus, given the farms management processes and their low energy consumption, a conservative value was applied. Such value is based on monitored data collected in part of this monitoring period and on LPC judgment about the quantity of manure treated per day through the operation of the UMAC equipment. Values applied on the emission reduction calculation were conservatively defined as the highest value of:
 LPC judgement.
 The average quantity of manure treated per day monitored by each farmer during part of the monitored period.
Finally, the most conservative value was multiplied by the number of days where animal manure management system is operational (ndy), achieving the quantity of manure treated per year (Qy).</t>
        </r>
      </text>
    </comment>
    <comment ref="K5" authorId="1" shapeId="0" xr:uid="{01C709FC-1118-430D-AE18-987ECBD8EDB3}">
      <text>
        <r>
          <rPr>
            <sz val="9"/>
            <color indexed="81"/>
            <rFont val="Tahoma"/>
            <family val="2"/>
          </rPr>
          <t xml:space="preserve">The UMAC equipment contains two motors with power of 6 hp each one, and another motor of 2 hp. Thus, its total power is 14 hp, which converted to KW corresponds to around 10.30 kW. 
Conversion fator available at: &lt;http://www.webcalc.com.br/frame.asp?pag=http://www.webcalc.com.br/conversoes/potencia.html&gt;. Last visit on: 04/08/2022. </t>
        </r>
      </text>
    </comment>
    <comment ref="U5" authorId="0" shapeId="0" xr:uid="{927849ED-7E3D-4B4E-88E1-9FCBA4A46197}">
      <text>
        <r>
          <rPr>
            <sz val="9"/>
            <color indexed="81"/>
            <rFont val="Tahoma"/>
            <family val="2"/>
          </rPr>
          <t>In case produced compost is subjected to anaerobic storage or
disposed in a landfill</t>
        </r>
      </text>
    </comment>
    <comment ref="K7" authorId="2" shapeId="0" xr:uid="{CCC792E5-425D-461A-8054-F4F0C2AAC51F}">
      <text>
        <r>
          <rPr>
            <sz val="9"/>
            <color indexed="81"/>
            <rFont val="Segoe UI"/>
            <family val="2"/>
          </rPr>
          <t xml:space="preserve">Pump power specification:
7.5 hp
Conversion fator available at: &lt;http://www.webcalc.com.br/frame.asp?pag=http://www.webcalc.com.br/conversoes/potencia.html&gt;. Last visit on: 04/08/2022. </t>
        </r>
      </text>
    </comment>
    <comment ref="R8" authorId="2" shapeId="0" xr:uid="{EA317919-1A0C-4F80-B6C5-BC7A5DC23616}">
      <text>
        <r>
          <rPr>
            <sz val="9"/>
            <color indexed="81"/>
            <rFont val="Segoe UI"/>
            <family val="2"/>
          </rPr>
          <t>According to IPCC, the emission factor value for composting is:
10g CH4/kg waste composted on dry basis; and 4g CH4/kg waste composted on wet basis.</t>
        </r>
      </text>
    </comment>
    <comment ref="J18" authorId="0" shapeId="0" xr:uid="{38472DA5-2423-4CEA-A8A7-E0FDC5B10CEB}">
      <text>
        <r>
          <rPr>
            <sz val="9"/>
            <color indexed="81"/>
            <rFont val="Tahoma"/>
            <family val="2"/>
          </rPr>
          <t>Average technical transmission and distribution losses for providing electricity in year y</t>
        </r>
      </text>
    </comment>
    <comment ref="K18" authorId="0" shapeId="0" xr:uid="{C2B9748F-F741-4962-8866-843D27AC163C}">
      <text>
        <r>
          <rPr>
            <sz val="9"/>
            <color indexed="81"/>
            <rFont val="Tahoma"/>
            <family val="2"/>
          </rPr>
          <t>According to methodology AMS-III.F, v10.</t>
        </r>
      </text>
    </comment>
    <comment ref="J20" authorId="0" shapeId="0" xr:uid="{4EBD6CB1-4533-4A62-9321-51C4BDE01433}">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List>
</comments>
</file>

<file path=xl/sharedStrings.xml><?xml version="1.0" encoding="utf-8"?>
<sst xmlns="http://schemas.openxmlformats.org/spreadsheetml/2006/main" count="2504" uniqueCount="260">
  <si>
    <t>(Kg dm/animal/year)</t>
  </si>
  <si>
    <t>(Kg)</t>
  </si>
  <si>
    <t>Leakage</t>
  </si>
  <si>
    <t>Farm owner</t>
  </si>
  <si>
    <t>TOTAL</t>
  </si>
  <si>
    <t>Altenor José Basso</t>
  </si>
  <si>
    <t>Belmiro Secco</t>
  </si>
  <si>
    <t>Jair da Silva</t>
  </si>
  <si>
    <t>(tonnes)</t>
  </si>
  <si>
    <t>(MWh)</t>
  </si>
  <si>
    <t xml:space="preserve">TOTAL </t>
  </si>
  <si>
    <t xml:space="preserve">Farm Name </t>
  </si>
  <si>
    <t>Fazenda Altenor</t>
  </si>
  <si>
    <t>Sítio Santa Lucia</t>
  </si>
  <si>
    <t>Fazenda Granja Silva</t>
  </si>
  <si>
    <t>Year</t>
  </si>
  <si>
    <t>Total</t>
  </si>
  <si>
    <t>Farm</t>
  </si>
  <si>
    <t>Fazenda Ramella</t>
  </si>
  <si>
    <t>Sitio Santa Lúcia</t>
  </si>
  <si>
    <t>Farm Owner</t>
  </si>
  <si>
    <t>Composting Project in Santa Catarina</t>
  </si>
  <si>
    <t>Total emission reductions during monitoring period</t>
  </si>
  <si>
    <t>Animal Type</t>
  </si>
  <si>
    <t>Finishers</t>
  </si>
  <si>
    <t>(number)</t>
  </si>
  <si>
    <t>Gilts</t>
  </si>
  <si>
    <t>Sows in gestation</t>
  </si>
  <si>
    <t xml:space="preserve">Sows </t>
  </si>
  <si>
    <t xml:space="preserve">Boars </t>
  </si>
  <si>
    <t>Piglets</t>
  </si>
  <si>
    <t>Emission reductions 2019</t>
  </si>
  <si>
    <r>
      <t>Q</t>
    </r>
    <r>
      <rPr>
        <b/>
        <vertAlign val="subscript"/>
        <sz val="10.5"/>
        <color theme="0"/>
        <rFont val="Franklin Gothic Book"/>
        <family val="2"/>
      </rPr>
      <t>y,treatment</t>
    </r>
  </si>
  <si>
    <r>
      <t>N</t>
    </r>
    <r>
      <rPr>
        <b/>
        <vertAlign val="subscript"/>
        <sz val="10.5"/>
        <color theme="0"/>
        <rFont val="Franklin Gothic Book"/>
        <family val="2"/>
      </rPr>
      <t>da,y</t>
    </r>
  </si>
  <si>
    <r>
      <t>N</t>
    </r>
    <r>
      <rPr>
        <b/>
        <vertAlign val="subscript"/>
        <sz val="10.5"/>
        <color theme="0"/>
        <rFont val="Franklin Gothic Book"/>
        <family val="2"/>
      </rPr>
      <t>p,y</t>
    </r>
  </si>
  <si>
    <r>
      <t>N</t>
    </r>
    <r>
      <rPr>
        <b/>
        <vertAlign val="subscript"/>
        <sz val="10.5"/>
        <color theme="0"/>
        <rFont val="Franklin Gothic Book"/>
        <family val="2"/>
      </rPr>
      <t>LT,y</t>
    </r>
  </si>
  <si>
    <r>
      <t>W</t>
    </r>
    <r>
      <rPr>
        <b/>
        <vertAlign val="subscript"/>
        <sz val="10.5"/>
        <color theme="0"/>
        <rFont val="Franklin Gothic Book"/>
        <family val="2"/>
      </rPr>
      <t>site</t>
    </r>
  </si>
  <si>
    <r>
      <t>VS</t>
    </r>
    <r>
      <rPr>
        <b/>
        <vertAlign val="subscript"/>
        <sz val="10.5"/>
        <color theme="0"/>
        <rFont val="Franklin Gothic Book"/>
        <family val="2"/>
      </rPr>
      <t>LT,y</t>
    </r>
  </si>
  <si>
    <r>
      <t>nd</t>
    </r>
    <r>
      <rPr>
        <b/>
        <vertAlign val="subscript"/>
        <sz val="10.5"/>
        <color theme="0"/>
        <rFont val="Franklin Gothic Book"/>
        <family val="2"/>
      </rPr>
      <t>y</t>
    </r>
  </si>
  <si>
    <r>
      <t>EC</t>
    </r>
    <r>
      <rPr>
        <b/>
        <vertAlign val="subscript"/>
        <sz val="10.5"/>
        <color theme="0"/>
        <rFont val="Franklin Gothic Book"/>
        <family val="2"/>
      </rPr>
      <t>P,j,y</t>
    </r>
  </si>
  <si>
    <r>
      <t>Q</t>
    </r>
    <r>
      <rPr>
        <b/>
        <vertAlign val="subscript"/>
        <sz val="10.5"/>
        <color theme="0"/>
        <rFont val="Franklin Gothic Book"/>
        <family val="2"/>
      </rPr>
      <t>y</t>
    </r>
  </si>
  <si>
    <t>Data and parameters monitored - Year 2020</t>
  </si>
  <si>
    <r>
      <t xml:space="preserve">2019 </t>
    </r>
    <r>
      <rPr>
        <sz val="10.5"/>
        <rFont val="Franklin Gothic Book"/>
        <family val="2"/>
      </rPr>
      <t>(May-December)</t>
    </r>
  </si>
  <si>
    <r>
      <t>Data and parameters monitored - Year 2019</t>
    </r>
    <r>
      <rPr>
        <sz val="10.5"/>
        <color theme="0"/>
        <rFont val="Franklin Gothic Book"/>
        <family val="2"/>
      </rPr>
      <t xml:space="preserve"> (May-December)</t>
    </r>
  </si>
  <si>
    <r>
      <t>BE</t>
    </r>
    <r>
      <rPr>
        <b/>
        <vertAlign val="subscript"/>
        <sz val="10.5"/>
        <color theme="0"/>
        <rFont val="Franklin Gothic Book"/>
        <family val="2"/>
      </rPr>
      <t>y</t>
    </r>
  </si>
  <si>
    <r>
      <t>PE</t>
    </r>
    <r>
      <rPr>
        <b/>
        <vertAlign val="subscript"/>
        <sz val="10.5"/>
        <color theme="0"/>
        <rFont val="Franklin Gothic Book"/>
        <family val="2"/>
      </rPr>
      <t>y</t>
    </r>
  </si>
  <si>
    <r>
      <t>ER</t>
    </r>
    <r>
      <rPr>
        <b/>
        <vertAlign val="subscript"/>
        <sz val="10.5"/>
        <color theme="0"/>
        <rFont val="Franklin Gothic Book"/>
        <family val="2"/>
      </rPr>
      <t>y</t>
    </r>
  </si>
  <si>
    <r>
      <t>(tCO</t>
    </r>
    <r>
      <rPr>
        <vertAlign val="subscript"/>
        <sz val="10.5"/>
        <color theme="0"/>
        <rFont val="Franklin Gothic Book"/>
        <family val="2"/>
      </rPr>
      <t>2</t>
    </r>
    <r>
      <rPr>
        <sz val="10.5"/>
        <color theme="0"/>
        <rFont val="Franklin Gothic Book"/>
        <family val="2"/>
      </rPr>
      <t>e)</t>
    </r>
  </si>
  <si>
    <r>
      <t>Baseline emissions or removals (tCO</t>
    </r>
    <r>
      <rPr>
        <b/>
        <vertAlign val="subscript"/>
        <sz val="10.5"/>
        <color theme="0"/>
        <rFont val="Franklin Gothic Book"/>
        <family val="2"/>
      </rPr>
      <t>2</t>
    </r>
    <r>
      <rPr>
        <b/>
        <sz val="10.5"/>
        <color theme="0"/>
        <rFont val="Franklin Gothic Book"/>
        <family val="2"/>
      </rPr>
      <t>e)</t>
    </r>
  </si>
  <si>
    <r>
      <t>Project emissions or removals (tCO</t>
    </r>
    <r>
      <rPr>
        <b/>
        <vertAlign val="subscript"/>
        <sz val="10.5"/>
        <color theme="0"/>
        <rFont val="Franklin Gothic Book"/>
        <family val="2"/>
      </rPr>
      <t>2</t>
    </r>
    <r>
      <rPr>
        <b/>
        <sz val="10.5"/>
        <color theme="0"/>
        <rFont val="Franklin Gothic Book"/>
        <family val="2"/>
      </rPr>
      <t>e)</t>
    </r>
  </si>
  <si>
    <r>
      <t>Leakage emissions (tCO</t>
    </r>
    <r>
      <rPr>
        <b/>
        <vertAlign val="subscript"/>
        <sz val="10.5"/>
        <color theme="0"/>
        <rFont val="Franklin Gothic Book"/>
        <family val="2"/>
      </rPr>
      <t>2</t>
    </r>
    <r>
      <rPr>
        <b/>
        <sz val="10.5"/>
        <color theme="0"/>
        <rFont val="Franklin Gothic Book"/>
        <family val="2"/>
      </rPr>
      <t>e)</t>
    </r>
  </si>
  <si>
    <r>
      <t>Net GHG emission reductions or removals (tCO</t>
    </r>
    <r>
      <rPr>
        <b/>
        <vertAlign val="subscript"/>
        <sz val="10.5"/>
        <color theme="0"/>
        <rFont val="Franklin Gothic Book"/>
        <family val="2"/>
      </rPr>
      <t>2</t>
    </r>
    <r>
      <rPr>
        <b/>
        <sz val="10.5"/>
        <color theme="0"/>
        <rFont val="Franklin Gothic Book"/>
        <family val="2"/>
      </rPr>
      <t>e)</t>
    </r>
  </si>
  <si>
    <t>Emission reductions 2020</t>
  </si>
  <si>
    <t>(01/May/2019 to 31/Dec/2019)</t>
  </si>
  <si>
    <t>(01/Jan/2020 to 31/Dec/2020)</t>
  </si>
  <si>
    <t xml:space="preserve">Fazenda Ramella </t>
  </si>
  <si>
    <t>Sows</t>
  </si>
  <si>
    <t>Antônio Carlos Ramella</t>
  </si>
  <si>
    <r>
      <t xml:space="preserve">GHG Emission Reductions Generated by the
</t>
    </r>
    <r>
      <rPr>
        <b/>
        <i/>
        <sz val="10.5"/>
        <color indexed="9"/>
        <rFont val="Franklin Gothic Book"/>
        <family val="2"/>
      </rPr>
      <t>Fazenda Altenor</t>
    </r>
  </si>
  <si>
    <t>Baseline emissions</t>
  </si>
  <si>
    <r>
      <t>tCO</t>
    </r>
    <r>
      <rPr>
        <vertAlign val="subscript"/>
        <sz val="10.5"/>
        <rFont val="Franklin Gothic Book"/>
        <family val="2"/>
      </rPr>
      <t>2</t>
    </r>
    <r>
      <rPr>
        <sz val="10.5"/>
        <rFont val="Franklin Gothic Book"/>
        <family val="2"/>
      </rPr>
      <t>e</t>
    </r>
  </si>
  <si>
    <r>
      <t>tCO</t>
    </r>
    <r>
      <rPr>
        <b/>
        <vertAlign val="subscript"/>
        <sz val="10.5"/>
        <rFont val="Franklin Gothic Book"/>
        <family val="2"/>
      </rPr>
      <t>2</t>
    </r>
    <r>
      <rPr>
        <b/>
        <sz val="10.5"/>
        <rFont val="Franklin Gothic Book"/>
        <family val="2"/>
      </rPr>
      <t>e</t>
    </r>
  </si>
  <si>
    <t>Project emissions</t>
  </si>
  <si>
    <t>Emission Reductions</t>
  </si>
  <si>
    <t>Baseline Emissions</t>
  </si>
  <si>
    <t>Values applied</t>
  </si>
  <si>
    <t>Animal Data</t>
  </si>
  <si>
    <t>Data</t>
  </si>
  <si>
    <t>Value</t>
  </si>
  <si>
    <t>Unit</t>
  </si>
  <si>
    <r>
      <t>Model Correction Factor (UF</t>
    </r>
    <r>
      <rPr>
        <shadow/>
        <vertAlign val="subscript"/>
        <sz val="10.5"/>
        <rFont val="Franklin Gothic Book"/>
        <family val="2"/>
      </rPr>
      <t>b</t>
    </r>
    <r>
      <rPr>
        <shadow/>
        <sz val="10.5"/>
        <rFont val="Franklin Gothic Book"/>
        <family val="2"/>
      </rPr>
      <t>)</t>
    </r>
  </si>
  <si>
    <t>Fraction</t>
  </si>
  <si>
    <r>
      <t>Animals produced annualy (N</t>
    </r>
    <r>
      <rPr>
        <b/>
        <vertAlign val="subscript"/>
        <sz val="10.5"/>
        <color indexed="9"/>
        <rFont val="Franklin Gothic Book"/>
        <family val="2"/>
      </rPr>
      <t>P,y</t>
    </r>
    <r>
      <rPr>
        <b/>
        <sz val="10.5"/>
        <color indexed="9"/>
        <rFont val="Franklin Gothic Book"/>
        <family val="2"/>
      </rPr>
      <t>)</t>
    </r>
  </si>
  <si>
    <r>
      <t>Baseline Emissions per Animal type, in tCO</t>
    </r>
    <r>
      <rPr>
        <b/>
        <vertAlign val="subscript"/>
        <sz val="10.5"/>
        <color indexed="9"/>
        <rFont val="Franklin Gothic Book"/>
        <family val="2"/>
      </rPr>
      <t>2</t>
    </r>
    <r>
      <rPr>
        <b/>
        <sz val="10.5"/>
        <color indexed="9"/>
        <rFont val="Franklin Gothic Book"/>
        <family val="2"/>
      </rPr>
      <t>e</t>
    </r>
  </si>
  <si>
    <r>
      <t>CH</t>
    </r>
    <r>
      <rPr>
        <vertAlign val="subscript"/>
        <sz val="10.5"/>
        <rFont val="Franklin Gothic Book"/>
        <family val="2"/>
      </rPr>
      <t>4</t>
    </r>
    <r>
      <rPr>
        <sz val="10.5"/>
        <rFont val="Franklin Gothic Book"/>
        <family val="2"/>
      </rPr>
      <t xml:space="preserve"> density at room temperature (D</t>
    </r>
    <r>
      <rPr>
        <vertAlign val="subscript"/>
        <sz val="10.5"/>
        <rFont val="Franklin Gothic Book"/>
        <family val="2"/>
      </rPr>
      <t>CH4</t>
    </r>
    <r>
      <rPr>
        <sz val="10.5"/>
        <rFont val="Franklin Gothic Book"/>
        <family val="2"/>
      </rPr>
      <t>)</t>
    </r>
  </si>
  <si>
    <r>
      <t>ton/m</t>
    </r>
    <r>
      <rPr>
        <vertAlign val="superscript"/>
        <sz val="10.5"/>
        <rFont val="Franklin Gothic Book"/>
        <family val="2"/>
      </rPr>
      <t>3</t>
    </r>
  </si>
  <si>
    <t>Type of animal</t>
  </si>
  <si>
    <t>Average</t>
  </si>
  <si>
    <t xml:space="preserve">Nursery </t>
  </si>
  <si>
    <t>Annual methane conversion factor for the baseline animal manure management system (MCF)</t>
  </si>
  <si>
    <r>
      <t>GWP CH</t>
    </r>
    <r>
      <rPr>
        <vertAlign val="subscript"/>
        <sz val="10.5"/>
        <rFont val="Franklin Gothic Book"/>
        <family val="2"/>
      </rPr>
      <t>4</t>
    </r>
  </si>
  <si>
    <t>N/A</t>
  </si>
  <si>
    <t>Fraction of manure handled in baseline animal manure management system (MS%)</t>
  </si>
  <si>
    <t>IPCC 2006 Default Values</t>
  </si>
  <si>
    <t>Breeding swine</t>
  </si>
  <si>
    <r>
      <t>VS</t>
    </r>
    <r>
      <rPr>
        <b/>
        <vertAlign val="subscript"/>
        <sz val="10.5"/>
        <color indexed="9"/>
        <rFont val="Franklin Gothic Book"/>
        <family val="2"/>
      </rPr>
      <t>default</t>
    </r>
  </si>
  <si>
    <r>
      <t>Average number of days animal is alive in the farm (N</t>
    </r>
    <r>
      <rPr>
        <b/>
        <vertAlign val="subscript"/>
        <sz val="10.5"/>
        <color indexed="9"/>
        <rFont val="Franklin Gothic Book"/>
        <family val="2"/>
      </rPr>
      <t>da,y</t>
    </r>
    <r>
      <rPr>
        <b/>
        <sz val="10.5"/>
        <color indexed="9"/>
        <rFont val="Franklin Gothic Book"/>
        <family val="2"/>
      </rPr>
      <t>)</t>
    </r>
  </si>
  <si>
    <t>North America</t>
  </si>
  <si>
    <t>Kg/animal/day</t>
  </si>
  <si>
    <t>Western Europe</t>
  </si>
  <si>
    <t>Eastern Europe</t>
  </si>
  <si>
    <t>Latin America</t>
  </si>
  <si>
    <r>
      <t>B</t>
    </r>
    <r>
      <rPr>
        <b/>
        <vertAlign val="subscript"/>
        <sz val="10.5"/>
        <color indexed="9"/>
        <rFont val="Franklin Gothic Book"/>
        <family val="2"/>
      </rPr>
      <t>o,LT</t>
    </r>
  </si>
  <si>
    <t>Boars</t>
  </si>
  <si>
    <r>
      <t>m³CH</t>
    </r>
    <r>
      <rPr>
        <vertAlign val="subscript"/>
        <sz val="10.5"/>
        <rFont val="Franklin Gothic Book"/>
        <family val="2"/>
      </rPr>
      <t>4</t>
    </r>
    <r>
      <rPr>
        <sz val="10.5"/>
        <rFont val="Franklin Gothic Book"/>
        <family val="2"/>
      </rPr>
      <t>/kg dm</t>
    </r>
  </si>
  <si>
    <t>Nursery</t>
  </si>
  <si>
    <r>
      <t>Annual average number of animals (N</t>
    </r>
    <r>
      <rPr>
        <b/>
        <vertAlign val="subscript"/>
        <sz val="10.5"/>
        <color indexed="9"/>
        <rFont val="Franklin Gothic Book"/>
        <family val="2"/>
      </rPr>
      <t>LT,y</t>
    </r>
    <r>
      <rPr>
        <b/>
        <sz val="10.5"/>
        <color indexed="9"/>
        <rFont val="Franklin Gothic Book"/>
        <family val="2"/>
      </rPr>
      <t>)</t>
    </r>
  </si>
  <si>
    <r>
      <t>Default Weight (W</t>
    </r>
    <r>
      <rPr>
        <b/>
        <vertAlign val="subscript"/>
        <sz val="10.5"/>
        <color indexed="9"/>
        <rFont val="Franklin Gothic Book"/>
        <family val="2"/>
      </rPr>
      <t>default</t>
    </r>
    <r>
      <rPr>
        <b/>
        <sz val="10.5"/>
        <color indexed="9"/>
        <rFont val="Franklin Gothic Book"/>
        <family val="2"/>
      </rPr>
      <t>)</t>
    </r>
  </si>
  <si>
    <t>Kg</t>
  </si>
  <si>
    <t>Market swine</t>
  </si>
  <si>
    <r>
      <t>Animal Weight (W</t>
    </r>
    <r>
      <rPr>
        <b/>
        <vertAlign val="subscript"/>
        <sz val="10.5"/>
        <color indexed="9"/>
        <rFont val="Franklin Gothic Book"/>
        <family val="2"/>
      </rPr>
      <t>site</t>
    </r>
    <r>
      <rPr>
        <b/>
        <sz val="10.5"/>
        <color indexed="9"/>
        <rFont val="Franklin Gothic Book"/>
        <family val="2"/>
      </rPr>
      <t>), in kg/animal</t>
    </r>
  </si>
  <si>
    <t xml:space="preserve">Gilts </t>
  </si>
  <si>
    <t xml:space="preserve">Piglets </t>
  </si>
  <si>
    <r>
      <t>Volatile solids for animals entering the animal manure management system (on a dry matter weight basis), in kg/animal/year (VS</t>
    </r>
    <r>
      <rPr>
        <b/>
        <vertAlign val="subscript"/>
        <sz val="10.5"/>
        <color indexed="9"/>
        <rFont val="Franklin Gothic Book"/>
        <family val="2"/>
      </rPr>
      <t>LT,y</t>
    </r>
    <r>
      <rPr>
        <b/>
        <sz val="10.5"/>
        <color indexed="9"/>
        <rFont val="Franklin Gothic Book"/>
        <family val="2"/>
      </rPr>
      <t>)</t>
    </r>
  </si>
  <si>
    <r>
      <t>Number of days where animal manure management system is operational (nd</t>
    </r>
    <r>
      <rPr>
        <b/>
        <vertAlign val="subscript"/>
        <sz val="10.5"/>
        <color indexed="9"/>
        <rFont val="Franklin Gothic Book"/>
        <family val="2"/>
      </rPr>
      <t>y</t>
    </r>
    <r>
      <rPr>
        <b/>
        <sz val="10.5"/>
        <color indexed="9"/>
        <rFont val="Franklin Gothic Book"/>
        <family val="2"/>
      </rPr>
      <t>)</t>
    </r>
  </si>
  <si>
    <t>Monitoring period start date</t>
  </si>
  <si>
    <t>Monitoring period end date</t>
  </si>
  <si>
    <t>Batch</t>
  </si>
  <si>
    <t xml:space="preserve">Entry Date </t>
  </si>
  <si>
    <t>Monitoring period - Start date</t>
  </si>
  <si>
    <t>Number of days in the farm</t>
  </si>
  <si>
    <t>End Date</t>
  </si>
  <si>
    <t>Year considered</t>
  </si>
  <si>
    <t>Amount of animals that left the farm</t>
  </si>
  <si>
    <t>Type of animal that left the farm</t>
  </si>
  <si>
    <t>Initial Medium Weight (IMW), in kg</t>
  </si>
  <si>
    <t>Total final weight, in kg</t>
  </si>
  <si>
    <t>Final Medium Weight (FMW), in kg</t>
  </si>
  <si>
    <t>Average (IMW:FMW)</t>
  </si>
  <si>
    <r>
      <t>Number of days animal is alive in the farm (N</t>
    </r>
    <r>
      <rPr>
        <b/>
        <vertAlign val="subscript"/>
        <sz val="10.5"/>
        <color indexed="9"/>
        <rFont val="Franklin Gothic Book"/>
        <family val="2"/>
      </rPr>
      <t>da,y</t>
    </r>
    <r>
      <rPr>
        <b/>
        <sz val="10.5"/>
        <color indexed="9"/>
        <rFont val="Franklin Gothic Book"/>
        <family val="2"/>
      </rPr>
      <t>)</t>
    </r>
  </si>
  <si>
    <r>
      <t>Product
N</t>
    </r>
    <r>
      <rPr>
        <b/>
        <vertAlign val="subscript"/>
        <sz val="10.5"/>
        <color indexed="9"/>
        <rFont val="Franklin Gothic Book"/>
        <family val="2"/>
      </rPr>
      <t>da,y</t>
    </r>
    <r>
      <rPr>
        <b/>
        <sz val="10.5"/>
        <color indexed="9"/>
        <rFont val="Franklin Gothic Book"/>
        <family val="2"/>
      </rPr>
      <t xml:space="preserve"> * N</t>
    </r>
    <r>
      <rPr>
        <b/>
        <vertAlign val="subscript"/>
        <sz val="10.5"/>
        <color indexed="9"/>
        <rFont val="Franklin Gothic Book"/>
        <family val="2"/>
      </rPr>
      <t>P,y</t>
    </r>
  </si>
  <si>
    <r>
      <t>Product
Average Weight * N</t>
    </r>
    <r>
      <rPr>
        <b/>
        <vertAlign val="subscript"/>
        <sz val="10.5"/>
        <color indexed="9"/>
        <rFont val="Franklin Gothic Book"/>
        <family val="2"/>
      </rPr>
      <t>P,y</t>
    </r>
  </si>
  <si>
    <r>
      <t>Animal Weight (W</t>
    </r>
    <r>
      <rPr>
        <b/>
        <vertAlign val="subscript"/>
        <sz val="10.5"/>
        <color indexed="9"/>
        <rFont val="Franklin Gothic Book"/>
        <family val="2"/>
      </rPr>
      <t>site</t>
    </r>
    <r>
      <rPr>
        <b/>
        <sz val="10.5"/>
        <color indexed="9"/>
        <rFont val="Franklin Gothic Book"/>
        <family val="2"/>
      </rPr>
      <t>)</t>
    </r>
  </si>
  <si>
    <r>
      <t>Project Emissions (PE</t>
    </r>
    <r>
      <rPr>
        <b/>
        <vertAlign val="subscript"/>
        <sz val="10.5"/>
        <color indexed="9"/>
        <rFont val="Franklin Gothic Book"/>
        <family val="2"/>
      </rPr>
      <t>y</t>
    </r>
    <r>
      <rPr>
        <b/>
        <sz val="10.5"/>
        <color indexed="9"/>
        <rFont val="Franklin Gothic Book"/>
        <family val="2"/>
      </rPr>
      <t>)</t>
    </r>
  </si>
  <si>
    <t>Project Emissions from Electricity Consumption due to the operation of AWMS</t>
  </si>
  <si>
    <r>
      <t>Project Emissions from Methane Emissions during Composting Process (PE</t>
    </r>
    <r>
      <rPr>
        <b/>
        <vertAlign val="subscript"/>
        <sz val="10.5"/>
        <color indexed="9"/>
        <rFont val="Franklin Gothic Book"/>
        <family val="2"/>
      </rPr>
      <t>y,comp</t>
    </r>
    <r>
      <rPr>
        <b/>
        <sz val="10.5"/>
        <color indexed="9"/>
        <rFont val="Franklin Gothic Book"/>
        <family val="2"/>
      </rPr>
      <t>)</t>
    </r>
  </si>
  <si>
    <t>Other Sources of Project Emissions</t>
  </si>
  <si>
    <t>Equipment</t>
  </si>
  <si>
    <t>Power consumption (KW)</t>
  </si>
  <si>
    <t>Annual operating time (hours)</t>
  </si>
  <si>
    <t>Manure treatment</t>
  </si>
  <si>
    <t>Parameter</t>
  </si>
  <si>
    <t>Raw waste/manure weight basis</t>
  </si>
  <si>
    <t>wet</t>
  </si>
  <si>
    <t>PEy,runoff</t>
  </si>
  <si>
    <t>Project emissions from runoff water from the composting facility in the year y</t>
  </si>
  <si>
    <r>
      <t>Project Emission Source, in tCO</t>
    </r>
    <r>
      <rPr>
        <b/>
        <vertAlign val="subscript"/>
        <sz val="10.5"/>
        <color indexed="9"/>
        <rFont val="Franklin Gothic Book"/>
        <family val="2"/>
      </rPr>
      <t>2</t>
    </r>
    <r>
      <rPr>
        <b/>
        <sz val="10.5"/>
        <color indexed="9"/>
        <rFont val="Franklin Gothic Book"/>
        <family val="2"/>
      </rPr>
      <t>e</t>
    </r>
  </si>
  <si>
    <t>Equipment eletricity consumption (UMAC)</t>
  </si>
  <si>
    <r>
      <t>PE</t>
    </r>
    <r>
      <rPr>
        <vertAlign val="subscript"/>
        <sz val="10.5"/>
        <rFont val="Franklin Gothic Book"/>
        <family val="2"/>
      </rPr>
      <t>y,res waste</t>
    </r>
  </si>
  <si>
    <t>Project emissions from the anaerobic decay of the residual organic content in year y</t>
  </si>
  <si>
    <r>
      <t>PE</t>
    </r>
    <r>
      <rPr>
        <b/>
        <vertAlign val="subscript"/>
        <sz val="10.5"/>
        <color indexed="9"/>
        <rFont val="Franklin Gothic Book"/>
        <family val="2"/>
      </rPr>
      <t>y,power</t>
    </r>
  </si>
  <si>
    <r>
      <t>PE</t>
    </r>
    <r>
      <rPr>
        <b/>
        <vertAlign val="subscript"/>
        <sz val="10.5"/>
        <color indexed="9"/>
        <rFont val="Franklin Gothic Book"/>
        <family val="2"/>
      </rPr>
      <t>y,comp</t>
    </r>
  </si>
  <si>
    <r>
      <t>PE</t>
    </r>
    <r>
      <rPr>
        <b/>
        <vertAlign val="subscript"/>
        <sz val="10.5"/>
        <color indexed="9"/>
        <rFont val="Franklin Gothic Book"/>
        <family val="2"/>
      </rPr>
      <t>y,transp</t>
    </r>
  </si>
  <si>
    <r>
      <t>PE</t>
    </r>
    <r>
      <rPr>
        <b/>
        <vertAlign val="subscript"/>
        <sz val="10.5"/>
        <color indexed="9"/>
        <rFont val="Franklin Gothic Book"/>
        <family val="2"/>
      </rPr>
      <t>y,runoff</t>
    </r>
  </si>
  <si>
    <r>
      <t>PE</t>
    </r>
    <r>
      <rPr>
        <b/>
        <vertAlign val="subscript"/>
        <sz val="10.5"/>
        <color indexed="9"/>
        <rFont val="Franklin Gothic Book"/>
        <family val="2"/>
      </rPr>
      <t>y,res waste</t>
    </r>
  </si>
  <si>
    <r>
      <t>PE</t>
    </r>
    <r>
      <rPr>
        <b/>
        <vertAlign val="subscript"/>
        <sz val="10.5"/>
        <color indexed="9"/>
        <rFont val="Franklin Gothic Book"/>
        <family val="2"/>
      </rPr>
      <t>y</t>
    </r>
  </si>
  <si>
    <r>
      <t>Q</t>
    </r>
    <r>
      <rPr>
        <vertAlign val="subscript"/>
        <sz val="10.5"/>
        <rFont val="Franklin Gothic Book"/>
        <family val="2"/>
      </rPr>
      <t>y</t>
    </r>
    <r>
      <rPr>
        <sz val="10.5"/>
        <rFont val="Franklin Gothic Book"/>
        <family val="2"/>
      </rPr>
      <t xml:space="preserve"> - Year 2019</t>
    </r>
  </si>
  <si>
    <t>Quantity of raw waste/manure treated</t>
  </si>
  <si>
    <t>tonnes</t>
  </si>
  <si>
    <r>
      <t>PE</t>
    </r>
    <r>
      <rPr>
        <vertAlign val="subscript"/>
        <sz val="10.5"/>
        <rFont val="Franklin Gothic Book"/>
        <family val="2"/>
      </rPr>
      <t>y,transp</t>
    </r>
  </si>
  <si>
    <t>Project emissions from incremental transportation in the year y</t>
  </si>
  <si>
    <t xml:space="preserve">Pump consumption </t>
  </si>
  <si>
    <r>
      <t>Q</t>
    </r>
    <r>
      <rPr>
        <vertAlign val="subscript"/>
        <sz val="10.5"/>
        <rFont val="Franklin Gothic Book"/>
        <family val="2"/>
      </rPr>
      <t>y</t>
    </r>
    <r>
      <rPr>
        <sz val="10.5"/>
        <rFont val="Franklin Gothic Book"/>
        <family val="2"/>
      </rPr>
      <t xml:space="preserve"> - Year 2020</t>
    </r>
  </si>
  <si>
    <r>
      <t>EF</t>
    </r>
    <r>
      <rPr>
        <vertAlign val="subscript"/>
        <sz val="10.5"/>
        <rFont val="Franklin Gothic Book"/>
        <family val="2"/>
      </rPr>
      <t>composting</t>
    </r>
  </si>
  <si>
    <t>Emission factor for composting</t>
  </si>
  <si>
    <t>-</t>
  </si>
  <si>
    <r>
      <t>tCH</t>
    </r>
    <r>
      <rPr>
        <vertAlign val="subscript"/>
        <sz val="10.5"/>
        <rFont val="Franklin Gothic Book"/>
        <family val="2"/>
      </rPr>
      <t xml:space="preserve">4 </t>
    </r>
    <r>
      <rPr>
        <sz val="10.5"/>
        <rFont val="Franklin Gothic Book"/>
        <family val="2"/>
      </rPr>
      <t>/ ton waste composted</t>
    </r>
  </si>
  <si>
    <t>Global Warming Potential of methane</t>
  </si>
  <si>
    <r>
      <t>tCO</t>
    </r>
    <r>
      <rPr>
        <vertAlign val="subscript"/>
        <sz val="10.5"/>
        <rFont val="Franklin Gothic Book"/>
        <family val="2"/>
      </rPr>
      <t>2</t>
    </r>
    <r>
      <rPr>
        <sz val="10.5"/>
        <rFont val="Franklin Gothic Book"/>
        <family val="2"/>
      </rPr>
      <t>/tCH</t>
    </r>
    <r>
      <rPr>
        <vertAlign val="subscript"/>
        <sz val="10.5"/>
        <rFont val="Franklin Gothic Book"/>
        <family val="2"/>
      </rPr>
      <t>4</t>
    </r>
  </si>
  <si>
    <t>Electricity consumption for the operation of AWMS</t>
  </si>
  <si>
    <r>
      <t>Total Electricity Consumption - Year 2019 (EC</t>
    </r>
    <r>
      <rPr>
        <vertAlign val="subscript"/>
        <sz val="10.5"/>
        <rFont val="Franklin Gothic Book"/>
        <family val="2"/>
      </rPr>
      <t>PJ,y</t>
    </r>
    <r>
      <rPr>
        <sz val="10.5"/>
        <rFont val="Franklin Gothic Book"/>
        <family val="2"/>
      </rPr>
      <t>)</t>
    </r>
  </si>
  <si>
    <t>KWh</t>
  </si>
  <si>
    <t>MWh</t>
  </si>
  <si>
    <r>
      <t>PE</t>
    </r>
    <r>
      <rPr>
        <vertAlign val="subscript"/>
        <sz val="10.5"/>
        <rFont val="Franklin Gothic Book"/>
        <family val="2"/>
      </rPr>
      <t>y,comp</t>
    </r>
    <r>
      <rPr>
        <sz val="10.5"/>
        <rFont val="Franklin Gothic Book"/>
        <family val="2"/>
      </rPr>
      <t xml:space="preserve"> - Year 2019</t>
    </r>
  </si>
  <si>
    <t>Emissons from composting</t>
  </si>
  <si>
    <r>
      <t>Total Electricity Consumption - Year 2020 (EC</t>
    </r>
    <r>
      <rPr>
        <vertAlign val="subscript"/>
        <sz val="10.5"/>
        <rFont val="Franklin Gothic Book"/>
        <family val="2"/>
      </rPr>
      <t>PJ,y</t>
    </r>
    <r>
      <rPr>
        <sz val="10.5"/>
        <rFont val="Franklin Gothic Book"/>
        <family val="2"/>
      </rPr>
      <t>)</t>
    </r>
  </si>
  <si>
    <r>
      <t>PE</t>
    </r>
    <r>
      <rPr>
        <vertAlign val="subscript"/>
        <sz val="10.5"/>
        <rFont val="Franklin Gothic Book"/>
        <family val="2"/>
      </rPr>
      <t>y,comp</t>
    </r>
    <r>
      <rPr>
        <sz val="10.5"/>
        <rFont val="Franklin Gothic Book"/>
        <family val="2"/>
      </rPr>
      <t xml:space="preserve"> - Year 2020</t>
    </r>
  </si>
  <si>
    <r>
      <t>Total PE</t>
    </r>
    <r>
      <rPr>
        <b/>
        <vertAlign val="subscript"/>
        <sz val="10.5"/>
        <rFont val="Franklin Gothic Book"/>
        <family val="2"/>
      </rPr>
      <t>y,comp</t>
    </r>
    <r>
      <rPr>
        <sz val="10"/>
        <rFont val="Arial"/>
      </rPr>
      <t/>
    </r>
  </si>
  <si>
    <t>Total Project Emissions from Composting</t>
  </si>
  <si>
    <r>
      <t>Emission factor for electricity generation (EF</t>
    </r>
    <r>
      <rPr>
        <vertAlign val="subscript"/>
        <sz val="10.5"/>
        <rFont val="Franklin Gothic Book"/>
        <family val="2"/>
      </rPr>
      <t>EL,y</t>
    </r>
    <r>
      <rPr>
        <sz val="10.5"/>
        <rFont val="Franklin Gothic Book"/>
        <family val="2"/>
      </rPr>
      <t>) 
Year 2019</t>
    </r>
  </si>
  <si>
    <r>
      <t>tCO</t>
    </r>
    <r>
      <rPr>
        <vertAlign val="subscript"/>
        <sz val="10.5"/>
        <rFont val="Franklin Gothic Book"/>
        <family val="2"/>
      </rPr>
      <t>2</t>
    </r>
    <r>
      <rPr>
        <sz val="10.5"/>
        <rFont val="Franklin Gothic Book"/>
        <family val="2"/>
      </rPr>
      <t>/MWh</t>
    </r>
  </si>
  <si>
    <r>
      <t>Emission factor for electricity generation (EF</t>
    </r>
    <r>
      <rPr>
        <vertAlign val="subscript"/>
        <sz val="10.5"/>
        <rFont val="Franklin Gothic Book"/>
        <family val="2"/>
      </rPr>
      <t>EL,y</t>
    </r>
    <r>
      <rPr>
        <sz val="10.5"/>
        <rFont val="Franklin Gothic Book"/>
        <family val="2"/>
      </rPr>
      <t>) 
Year 2020</t>
    </r>
  </si>
  <si>
    <r>
      <t>Transmission and distribution losses (TDL</t>
    </r>
    <r>
      <rPr>
        <vertAlign val="subscript"/>
        <sz val="10.5"/>
        <rFont val="Franklin Gothic Book"/>
        <family val="2"/>
      </rPr>
      <t>,y</t>
    </r>
    <r>
      <rPr>
        <sz val="10.5"/>
        <rFont val="Franklin Gothic Book"/>
        <family val="2"/>
      </rPr>
      <t>)</t>
    </r>
  </si>
  <si>
    <t>Percentage</t>
  </si>
  <si>
    <r>
      <t>Emissions from electricity consumption (PE</t>
    </r>
    <r>
      <rPr>
        <b/>
        <vertAlign val="subscript"/>
        <sz val="10.5"/>
        <color indexed="9"/>
        <rFont val="Franklin Gothic Book"/>
        <family val="2"/>
      </rPr>
      <t>y,power</t>
    </r>
    <r>
      <rPr>
        <b/>
        <sz val="10.5"/>
        <color indexed="9"/>
        <rFont val="Franklin Gothic Book"/>
        <family val="2"/>
      </rPr>
      <t>)</t>
    </r>
  </si>
  <si>
    <r>
      <t>PE</t>
    </r>
    <r>
      <rPr>
        <vertAlign val="subscript"/>
        <sz val="10.5"/>
        <rFont val="Franklin Gothic Book"/>
        <family val="2"/>
      </rPr>
      <t xml:space="preserve">y,power </t>
    </r>
    <r>
      <rPr>
        <sz val="10.5"/>
        <rFont val="Franklin Gothic Book"/>
        <family val="2"/>
      </rPr>
      <t>- Year 2019</t>
    </r>
  </si>
  <si>
    <r>
      <t>PE</t>
    </r>
    <r>
      <rPr>
        <vertAlign val="subscript"/>
        <sz val="10.5"/>
        <rFont val="Franklin Gothic Book"/>
        <family val="2"/>
      </rPr>
      <t xml:space="preserve">y,power </t>
    </r>
    <r>
      <rPr>
        <sz val="10.5"/>
        <rFont val="Franklin Gothic Book"/>
        <family val="2"/>
      </rPr>
      <t>- Year 2020</t>
    </r>
  </si>
  <si>
    <t>Total PEy,power</t>
  </si>
  <si>
    <t>General Data - Composting Project in Santa Catarina</t>
  </si>
  <si>
    <t>Expected Time of Operation of the Manure Pump and the UMAC Equipment, based on LPC judgement</t>
  </si>
  <si>
    <r>
      <t>Pump nominal flow (P</t>
    </r>
    <r>
      <rPr>
        <b/>
        <vertAlign val="subscript"/>
        <sz val="10.5"/>
        <color indexed="9"/>
        <rFont val="Franklin Gothic Book"/>
        <family val="2"/>
      </rPr>
      <t>NF</t>
    </r>
    <r>
      <rPr>
        <b/>
        <sz val="10.5"/>
        <color indexed="9"/>
        <rFont val="Franklin Gothic Book"/>
        <family val="2"/>
      </rPr>
      <t>)</t>
    </r>
  </si>
  <si>
    <r>
      <t>Quantity of manure treated in year y (Q</t>
    </r>
    <r>
      <rPr>
        <b/>
        <vertAlign val="subscript"/>
        <sz val="10.5"/>
        <color indexed="9"/>
        <rFont val="Franklin Gothic Book"/>
        <family val="2"/>
      </rPr>
      <t>y</t>
    </r>
    <r>
      <rPr>
        <b/>
        <sz val="10.5"/>
        <color indexed="9"/>
        <rFont val="Franklin Gothic Book"/>
        <family val="2"/>
      </rPr>
      <t>)</t>
    </r>
  </si>
  <si>
    <t>LPC judgement</t>
  </si>
  <si>
    <t>Conservative Estimates</t>
  </si>
  <si>
    <t>Manure pump daily operating time (hours)</t>
  </si>
  <si>
    <t>UMAC equipment daily operating time (hours)</t>
  </si>
  <si>
    <r>
      <t>P</t>
    </r>
    <r>
      <rPr>
        <b/>
        <vertAlign val="subscript"/>
        <sz val="10.5"/>
        <color indexed="9"/>
        <rFont val="Franklin Gothic Book"/>
        <family val="2"/>
      </rPr>
      <t>NF</t>
    </r>
    <r>
      <rPr>
        <b/>
        <sz val="10.5"/>
        <color indexed="9"/>
        <rFont val="Franklin Gothic Book"/>
        <family val="2"/>
      </rPr>
      <t xml:space="preserve"> (m³/hour)</t>
    </r>
  </si>
  <si>
    <t>Animal</t>
  </si>
  <si>
    <t>Average daily production of swine manure 
(manure and urine, in kg)</t>
  </si>
  <si>
    <r>
      <t>Q</t>
    </r>
    <r>
      <rPr>
        <b/>
        <vertAlign val="subscript"/>
        <sz val="10.5"/>
        <color indexed="9"/>
        <rFont val="Franklin Gothic Book"/>
        <family val="2"/>
      </rPr>
      <t>y</t>
    </r>
    <r>
      <rPr>
        <b/>
        <sz val="10.5"/>
        <color indexed="9"/>
        <rFont val="Franklin Gothic Book"/>
        <family val="2"/>
      </rPr>
      <t xml:space="preserve"> (tonnes/day)</t>
    </r>
  </si>
  <si>
    <t>Swine weight from 25 to 100 kg 
(Finishers or Gilts)</t>
  </si>
  <si>
    <t>Fazenda Andretta</t>
  </si>
  <si>
    <t>Fazenda Baccin</t>
  </si>
  <si>
    <t>Fazenda colônia Suspiro</t>
  </si>
  <si>
    <t>Fazenda Colônia Zuffo</t>
  </si>
  <si>
    <t>Nursery 
(Nursery/Piglets)</t>
  </si>
  <si>
    <t>Fazenda Gilmar</t>
  </si>
  <si>
    <r>
      <t>Total Q</t>
    </r>
    <r>
      <rPr>
        <b/>
        <vertAlign val="subscript"/>
        <sz val="10.5"/>
        <color indexed="9"/>
        <rFont val="Franklin Gothic Book"/>
        <family val="2"/>
      </rPr>
      <t>y</t>
    </r>
  </si>
  <si>
    <t>Fazenda Helena</t>
  </si>
  <si>
    <t>Fazenda Pissaia</t>
  </si>
  <si>
    <t>Fazenda Suruvy</t>
  </si>
  <si>
    <t>Sítio Pickler</t>
  </si>
  <si>
    <t>Conservative factor:</t>
  </si>
  <si>
    <t>Reference hour</t>
  </si>
  <si>
    <t>Manure density (kg/m³)</t>
  </si>
  <si>
    <t>Monitored Data</t>
  </si>
  <si>
    <t>Date</t>
  </si>
  <si>
    <t>Manure pump</t>
  </si>
  <si>
    <t>UMAC equipment</t>
  </si>
  <si>
    <t>Estimated data 
Manure pump daily operating time (hours)</t>
  </si>
  <si>
    <t>Estimated data 
UMAC equipment daily operating time (hours)</t>
  </si>
  <si>
    <r>
      <t>Monitored data and calculation of Q</t>
    </r>
    <r>
      <rPr>
        <b/>
        <vertAlign val="subscript"/>
        <sz val="10.5"/>
        <color indexed="9"/>
        <rFont val="Franklin Gothic Book"/>
        <family val="2"/>
      </rPr>
      <t>y</t>
    </r>
  </si>
  <si>
    <t>Start hour</t>
  </si>
  <si>
    <t>End hour</t>
  </si>
  <si>
    <r>
      <t>P</t>
    </r>
    <r>
      <rPr>
        <vertAlign val="subscript"/>
        <sz val="10.5"/>
        <color indexed="9"/>
        <rFont val="Franklin Gothic Book"/>
        <family val="2"/>
      </rPr>
      <t>NF</t>
    </r>
    <r>
      <rPr>
        <sz val="10.5"/>
        <color indexed="9"/>
        <rFont val="Franklin Gothic Book"/>
        <family val="2"/>
      </rPr>
      <t xml:space="preserve"> – Pump nominal flow (m³/hour)</t>
    </r>
  </si>
  <si>
    <r>
      <t>P</t>
    </r>
    <r>
      <rPr>
        <vertAlign val="subscript"/>
        <sz val="10.5"/>
        <color indexed="9"/>
        <rFont val="Franklin Gothic Book"/>
        <family val="2"/>
      </rPr>
      <t>TO,y</t>
    </r>
    <r>
      <rPr>
        <sz val="10.5"/>
        <color indexed="9"/>
        <rFont val="Franklin Gothic Book"/>
        <family val="2"/>
      </rPr>
      <t xml:space="preserve"> – Pump time of operation in day </t>
    </r>
    <r>
      <rPr>
        <i/>
        <sz val="10.5"/>
        <color indexed="9"/>
        <rFont val="Franklin Gothic Book"/>
        <family val="2"/>
      </rPr>
      <t>d</t>
    </r>
    <r>
      <rPr>
        <sz val="10.5"/>
        <color indexed="9"/>
        <rFont val="Franklin Gothic Book"/>
        <family val="2"/>
      </rPr>
      <t xml:space="preserve"> (hours)</t>
    </r>
  </si>
  <si>
    <t>MD – Manure density (tonnes/m³)</t>
  </si>
  <si>
    <r>
      <t>Q</t>
    </r>
    <r>
      <rPr>
        <vertAlign val="subscript"/>
        <sz val="10.5"/>
        <color indexed="9"/>
        <rFont val="Franklin Gothic Book"/>
        <family val="2"/>
      </rPr>
      <t>y</t>
    </r>
    <r>
      <rPr>
        <sz val="10.5"/>
        <color indexed="9"/>
        <rFont val="Franklin Gothic Book"/>
        <family val="2"/>
      </rPr>
      <t xml:space="preserve"> (tonnes/day)</t>
    </r>
  </si>
  <si>
    <t>Manure Pump</t>
  </si>
  <si>
    <t>UMAC Equipment</t>
  </si>
  <si>
    <r>
      <t>Q</t>
    </r>
    <r>
      <rPr>
        <b/>
        <vertAlign val="subscript"/>
        <sz val="10.5"/>
        <color indexed="9"/>
        <rFont val="Franklin Gothic Book"/>
        <family val="2"/>
      </rPr>
      <t>y</t>
    </r>
  </si>
  <si>
    <t>Average Manure pump daily operating time (hours)</t>
  </si>
  <si>
    <t>Estimated data - Manure Pump</t>
  </si>
  <si>
    <t>Conservative estimate: manure pump operating time (hours)</t>
  </si>
  <si>
    <t>(A) Average UMAC equipment daily operating time (hours)</t>
  </si>
  <si>
    <t>Estimated data - UMAC Equipment</t>
  </si>
  <si>
    <t>Conservative estimate: UMAC equipment daily operating time (hours)</t>
  </si>
  <si>
    <r>
      <t xml:space="preserve"> (A) Average Q</t>
    </r>
    <r>
      <rPr>
        <b/>
        <vertAlign val="subscript"/>
        <sz val="10.5"/>
        <color indexed="9"/>
        <rFont val="Franklin Gothic Book"/>
        <family val="2"/>
      </rPr>
      <t>y</t>
    </r>
    <r>
      <rPr>
        <b/>
        <sz val="10.5"/>
        <color indexed="9"/>
        <rFont val="Franklin Gothic Book"/>
        <family val="2"/>
      </rPr>
      <t xml:space="preserve"> (tonnes/day)</t>
    </r>
  </si>
  <si>
    <r>
      <t>Q</t>
    </r>
    <r>
      <rPr>
        <b/>
        <vertAlign val="subscript"/>
        <sz val="10.5"/>
        <color indexed="9"/>
        <rFont val="Franklin Gothic Book"/>
        <family val="2"/>
      </rPr>
      <t>y</t>
    </r>
    <r>
      <rPr>
        <b/>
        <sz val="10.5"/>
        <color indexed="9"/>
        <rFont val="Franklin Gothic Book"/>
        <family val="2"/>
      </rPr>
      <t xml:space="preserve"> estimated data</t>
    </r>
  </si>
  <si>
    <r>
      <t>Conservative estimate: 
Q</t>
    </r>
    <r>
      <rPr>
        <b/>
        <vertAlign val="subscript"/>
        <sz val="10.5"/>
        <color indexed="9"/>
        <rFont val="Franklin Gothic Book"/>
        <family val="2"/>
      </rPr>
      <t>y</t>
    </r>
    <r>
      <rPr>
        <b/>
        <sz val="10.5"/>
        <color indexed="9"/>
        <rFont val="Franklin Gothic Book"/>
        <family val="2"/>
      </rPr>
      <t xml:space="preserve"> (tonnes/day)</t>
    </r>
  </si>
  <si>
    <t>Ministry of Science, Technology and Innovations</t>
  </si>
  <si>
    <t xml:space="preserve">Source: </t>
  </si>
  <si>
    <t>https://www.gov.br/mcti/pt-br/acompanhe-o-mcti/sirene/dados-e-ferramentas/fatores-de-emissao#:~:text=Fatores%20de%20emiss%C3%A3o%20MDL%2FSIN,-Info&amp;text=Ele%20calcula%20a%20m%C3%A9dia%20das,que%20estejam%20funcionando%20na%20margem</t>
  </si>
  <si>
    <t>Acess:</t>
  </si>
  <si>
    <t> 
CONSTRUCTION MARGIN</t>
  </si>
  <si>
    <t>Average Emission Factor (tCO2/MWh) - ANNUAL</t>
  </si>
  <si>
    <t> 
OPERATION MARGIN</t>
  </si>
  <si>
    <t>Average Emission Factor (tCO2/MWh) - MONTHLY</t>
  </si>
  <si>
    <t>Month</t>
  </si>
  <si>
    <t>January</t>
  </si>
  <si>
    <t>Fabruary</t>
  </si>
  <si>
    <t>March</t>
  </si>
  <si>
    <t>April</t>
  </si>
  <si>
    <t>May</t>
  </si>
  <si>
    <t>June</t>
  </si>
  <si>
    <t>July</t>
  </si>
  <si>
    <t>August</t>
  </si>
  <si>
    <t>September</t>
  </si>
  <si>
    <t>October</t>
  </si>
  <si>
    <t>November</t>
  </si>
  <si>
    <t>December</t>
  </si>
  <si>
    <t>Combined Margin 2019</t>
  </si>
  <si>
    <t>CONSTRUCTION MARGIN</t>
  </si>
  <si>
    <t>OPERATION MARGIN</t>
  </si>
  <si>
    <t>Combined Margin 2020</t>
  </si>
  <si>
    <r>
      <t xml:space="preserve">GHG Emission Reductions Generated by the
</t>
    </r>
    <r>
      <rPr>
        <b/>
        <i/>
        <sz val="10.5"/>
        <color indexed="9"/>
        <rFont val="Franklin Gothic Book"/>
        <family val="2"/>
      </rPr>
      <t>Sitio Santa Lúcia Farm</t>
    </r>
  </si>
  <si>
    <t>x</t>
  </si>
  <si>
    <r>
      <t xml:space="preserve">GHG Emission Reductions Generated by the
</t>
    </r>
    <r>
      <rPr>
        <b/>
        <i/>
        <sz val="10.5"/>
        <color indexed="9"/>
        <rFont val="Franklin Gothic Book"/>
        <family val="2"/>
      </rPr>
      <t>Fazenda Granja Silva</t>
    </r>
  </si>
  <si>
    <r>
      <t xml:space="preserve">GHG Emission Reductions Generated by the
</t>
    </r>
    <r>
      <rPr>
        <b/>
        <i/>
        <sz val="10.5"/>
        <color indexed="9"/>
        <rFont val="Franklin Gothic Book"/>
        <family val="2"/>
      </rPr>
      <t>Ramella Farm</t>
    </r>
  </si>
  <si>
    <t>Fazenda Colônia Suspiro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</si>
</sst>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h:mm;@"/>
    <numFmt numFmtId="167" formatCode="#,##0.0"/>
  </numFmts>
  <fonts count="41" x14ac:knownFonts="1">
    <font>
      <sz val="11"/>
      <color theme="1"/>
      <name val="Calibri"/>
      <family val="2"/>
      <scheme val="minor"/>
    </font>
    <font>
      <sz val="9"/>
      <color indexed="81"/>
      <name val="Tahoma"/>
      <family val="2"/>
    </font>
    <font>
      <sz val="11"/>
      <color theme="1"/>
      <name val="Calibri"/>
      <family val="2"/>
      <scheme val="minor"/>
    </font>
    <font>
      <sz val="10.5"/>
      <color theme="1"/>
      <name val="Franklin Gothic Book"/>
      <family val="2"/>
    </font>
    <font>
      <b/>
      <sz val="10.5"/>
      <color theme="0"/>
      <name val="Franklin Gothic Book"/>
      <family val="2"/>
    </font>
    <font>
      <b/>
      <sz val="10.5"/>
      <color theme="1"/>
      <name val="Franklin Gothic Book"/>
      <family val="2"/>
    </font>
    <font>
      <sz val="10.5"/>
      <name val="Franklin Gothic Book"/>
      <family val="2"/>
    </font>
    <font>
      <b/>
      <sz val="10.5"/>
      <color rgb="FFFF0000"/>
      <name val="Franklin Gothic Book"/>
      <family val="2"/>
    </font>
    <font>
      <sz val="10.5"/>
      <color indexed="8"/>
      <name val="Franklin Gothic Book"/>
      <family val="2"/>
    </font>
    <font>
      <sz val="10.5"/>
      <color rgb="FFFF0000"/>
      <name val="Franklin Gothic Book"/>
      <family val="2"/>
    </font>
    <font>
      <b/>
      <vertAlign val="subscript"/>
      <sz val="10.5"/>
      <color theme="0"/>
      <name val="Franklin Gothic Book"/>
      <family val="2"/>
    </font>
    <font>
      <sz val="10.5"/>
      <color theme="0"/>
      <name val="Franklin Gothic Book"/>
      <family val="2"/>
    </font>
    <font>
      <b/>
      <sz val="10.5"/>
      <name val="Franklin Gothic Book"/>
      <family val="2"/>
    </font>
    <font>
      <sz val="10.5"/>
      <color theme="0" tint="-0.249977111117893"/>
      <name val="Franklin Gothic Book"/>
      <family val="2"/>
    </font>
    <font>
      <vertAlign val="subscript"/>
      <sz val="10.5"/>
      <color theme="0"/>
      <name val="Franklin Gothic Book"/>
      <family val="2"/>
    </font>
    <font>
      <sz val="10.5"/>
      <color rgb="FF000000"/>
      <name val="Franklin Gothic Book"/>
      <family val="2"/>
    </font>
    <font>
      <b/>
      <i/>
      <sz val="10.5"/>
      <color theme="0"/>
      <name val="Franklin Gothic Book"/>
      <family val="2"/>
    </font>
    <font>
      <sz val="9"/>
      <color indexed="81"/>
      <name val="Segoe UI"/>
      <charset val="1"/>
    </font>
    <font>
      <b/>
      <sz val="9"/>
      <color indexed="81"/>
      <name val="Segoe UI"/>
      <charset val="1"/>
    </font>
    <font>
      <b/>
      <i/>
      <sz val="10.5"/>
      <color indexed="9"/>
      <name val="Franklin Gothic Book"/>
      <family val="2"/>
    </font>
    <font>
      <vertAlign val="subscript"/>
      <sz val="10.5"/>
      <name val="Franklin Gothic Book"/>
      <family val="2"/>
    </font>
    <font>
      <b/>
      <vertAlign val="subscript"/>
      <sz val="10.5"/>
      <name val="Franklin Gothic Book"/>
      <family val="2"/>
    </font>
    <font>
      <sz val="10.5"/>
      <color theme="0" tint="-0.499984740745262"/>
      <name val="Franklin Gothic Book"/>
      <family val="2"/>
    </font>
    <font>
      <b/>
      <shadow/>
      <sz val="10.5"/>
      <color theme="0"/>
      <name val="Franklin Gothic Book"/>
      <family val="2"/>
    </font>
    <font>
      <shadow/>
      <sz val="10.5"/>
      <name val="Franklin Gothic Book"/>
      <family val="2"/>
    </font>
    <font>
      <shadow/>
      <vertAlign val="subscript"/>
      <sz val="10.5"/>
      <name val="Franklin Gothic Book"/>
      <family val="2"/>
    </font>
    <font>
      <b/>
      <vertAlign val="subscript"/>
      <sz val="10.5"/>
      <color indexed="9"/>
      <name val="Franklin Gothic Book"/>
      <family val="2"/>
    </font>
    <font>
      <b/>
      <sz val="10.5"/>
      <color indexed="9"/>
      <name val="Franklin Gothic Book"/>
      <family val="2"/>
    </font>
    <font>
      <vertAlign val="superscript"/>
      <sz val="10.5"/>
      <name val="Franklin Gothic Book"/>
      <family val="2"/>
    </font>
    <font>
      <sz val="10"/>
      <name val="Arial"/>
    </font>
    <font>
      <sz val="10"/>
      <color indexed="81"/>
      <name val="Tahoma"/>
      <family val="2"/>
    </font>
    <font>
      <sz val="8"/>
      <color indexed="81"/>
      <name val="Tahoma"/>
      <family val="2"/>
    </font>
    <font>
      <b/>
      <sz val="9"/>
      <color indexed="81"/>
      <name val="Tahoma"/>
      <family val="2"/>
    </font>
    <font>
      <sz val="9"/>
      <color indexed="81"/>
      <name val="Segoe UI"/>
      <family val="2"/>
    </font>
    <font>
      <sz val="10"/>
      <name val="Arial"/>
      <family val="2"/>
    </font>
    <font>
      <vertAlign val="subscript"/>
      <sz val="10.5"/>
      <color indexed="9"/>
      <name val="Franklin Gothic Book"/>
      <family val="2"/>
    </font>
    <font>
      <sz val="10.5"/>
      <color indexed="9"/>
      <name val="Franklin Gothic Book"/>
      <family val="2"/>
    </font>
    <font>
      <i/>
      <sz val="10.5"/>
      <color indexed="9"/>
      <name val="Franklin Gothic Book"/>
      <family val="2"/>
    </font>
    <font>
      <u/>
      <sz val="11"/>
      <color theme="10"/>
      <name val="Calibri"/>
      <family val="2"/>
      <scheme val="minor"/>
    </font>
    <font>
      <b/>
      <sz val="12"/>
      <color theme="1"/>
      <name val="Arial"/>
      <family val="2"/>
    </font>
    <font>
      <b/>
      <sz val="10"/>
      <name val="Arial"/>
      <family val="2"/>
    </font>
  </fonts>
  <fills count="17">
    <fill>
      <patternFill patternType="none"/>
    </fill>
    <fill>
      <patternFill patternType="gray125"/>
    </fill>
    <fill>
      <patternFill patternType="solid">
        <fgColor rgb="FF2B3957"/>
        <bgColor indexed="64"/>
      </patternFill>
    </fill>
    <fill>
      <patternFill patternType="solid">
        <fgColor rgb="FFF2F2F2"/>
        <bgColor indexed="64"/>
      </patternFill>
    </fill>
    <fill>
      <patternFill patternType="solid">
        <fgColor rgb="FFF2F2F2"/>
        <bgColor theme="4" tint="0.79998168889431442"/>
      </patternFill>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FFFF99"/>
        <bgColor indexed="64"/>
      </patternFill>
    </fill>
    <fill>
      <patternFill patternType="solid">
        <fgColor rgb="FFC0C0C0"/>
        <bgColor indexed="64"/>
      </patternFill>
    </fill>
    <fill>
      <patternFill patternType="solid">
        <fgColor rgb="FF00FF00"/>
        <bgColor indexed="64"/>
      </patternFill>
    </fill>
    <fill>
      <patternFill patternType="solid">
        <fgColor theme="9"/>
        <bgColor indexed="64"/>
      </patternFill>
    </fill>
    <fill>
      <patternFill patternType="solid">
        <fgColor rgb="FFF79646"/>
        <bgColor indexed="64"/>
      </patternFill>
    </fill>
    <fill>
      <patternFill patternType="solid">
        <fgColor rgb="FFFF99CC"/>
        <bgColor indexed="64"/>
      </patternFill>
    </fill>
    <fill>
      <patternFill patternType="solid">
        <fgColor rgb="FFF79645"/>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double">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thin">
        <color indexed="64"/>
      </top>
      <bottom style="thin">
        <color indexed="64"/>
      </bottom>
      <diagonal/>
    </border>
    <border>
      <left style="thin">
        <color theme="0"/>
      </left>
      <right style="thin">
        <color theme="0"/>
      </right>
      <top/>
      <bottom/>
      <diagonal/>
    </border>
  </borders>
  <cellStyleXfs count="6">
    <xf numFmtId="0" fontId="0" fillId="0" borderId="0"/>
    <xf numFmtId="9" fontId="2" fillId="0" borderId="0" applyFont="0" applyFill="0" applyBorder="0" applyAlignment="0" applyProtection="0"/>
    <xf numFmtId="43" fontId="2" fillId="0" borderId="0" applyFont="0" applyFill="0" applyBorder="0" applyAlignment="0" applyProtection="0"/>
    <xf numFmtId="0" fontId="34" fillId="0" borderId="0"/>
    <xf numFmtId="0" fontId="38" fillId="0" borderId="0" applyNumberFormat="0" applyFill="0" applyBorder="0" applyAlignment="0" applyProtection="0"/>
    <xf numFmtId="0" fontId="2" fillId="0" borderId="0"/>
  </cellStyleXfs>
  <cellXfs count="213">
    <xf numFmtId="0" fontId="0" fillId="0" borderId="0" xfId="0"/>
    <xf numFmtId="0" fontId="3" fillId="0" borderId="1" xfId="0" applyFont="1" applyBorder="1"/>
    <xf numFmtId="4" fontId="3" fillId="0" borderId="1" xfId="0" applyNumberFormat="1" applyFont="1" applyBorder="1"/>
    <xf numFmtId="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7" fillId="0" borderId="1" xfId="0" applyFont="1" applyBorder="1"/>
    <xf numFmtId="0" fontId="5" fillId="0" borderId="1" xfId="0" applyFont="1" applyBorder="1"/>
    <xf numFmtId="0" fontId="9" fillId="0" borderId="1" xfId="0" applyFont="1" applyBorder="1"/>
    <xf numFmtId="4" fontId="4" fillId="2" borderId="1" xfId="0" applyNumberFormat="1" applyFont="1" applyFill="1" applyBorder="1" applyAlignment="1">
      <alignment horizontal="center" vertical="center"/>
    </xf>
    <xf numFmtId="4" fontId="6"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3" fontId="3"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xf>
    <xf numFmtId="0" fontId="4" fillId="2" borderId="1" xfId="0" applyFont="1" applyFill="1" applyBorder="1" applyAlignment="1">
      <alignment horizontal="center"/>
    </xf>
    <xf numFmtId="0" fontId="12" fillId="3" borderId="1" xfId="0" applyFont="1" applyFill="1" applyBorder="1" applyAlignment="1">
      <alignment horizontal="center"/>
    </xf>
    <xf numFmtId="3" fontId="3" fillId="3" borderId="1" xfId="0" applyNumberFormat="1" applyFont="1" applyFill="1" applyBorder="1" applyAlignment="1">
      <alignment horizontal="center"/>
    </xf>
    <xf numFmtId="3" fontId="4" fillId="2" borderId="1" xfId="0" applyNumberFormat="1" applyFont="1" applyFill="1" applyBorder="1" applyAlignment="1">
      <alignment horizontal="center"/>
    </xf>
    <xf numFmtId="0" fontId="6" fillId="3" borderId="1" xfId="0" applyFont="1" applyFill="1" applyBorder="1" applyAlignment="1">
      <alignment horizontal="center" vertical="center"/>
    </xf>
    <xf numFmtId="0" fontId="13" fillId="0" borderId="1" xfId="0" applyFont="1" applyBorder="1" applyAlignment="1">
      <alignment horizontal="center"/>
    </xf>
    <xf numFmtId="0" fontId="4" fillId="2" borderId="1" xfId="0" applyFont="1" applyFill="1" applyBorder="1" applyAlignment="1">
      <alignment horizontal="center" vertical="center"/>
    </xf>
    <xf numFmtId="0" fontId="11" fillId="2" borderId="1" xfId="0" applyFont="1" applyFill="1" applyBorder="1" applyAlignment="1">
      <alignment horizontal="center" vertical="center"/>
    </xf>
    <xf numFmtId="3" fontId="3" fillId="0" borderId="1" xfId="0" applyNumberFormat="1" applyFont="1" applyBorder="1"/>
    <xf numFmtId="3" fontId="4" fillId="2" borderId="1" xfId="0" applyNumberFormat="1" applyFont="1" applyFill="1" applyBorder="1" applyAlignment="1">
      <alignment horizontal="center" vertical="center"/>
    </xf>
    <xf numFmtId="2" fontId="3" fillId="0" borderId="1" xfId="1" applyNumberFormat="1" applyFont="1" applyBorder="1"/>
    <xf numFmtId="0" fontId="4" fillId="2" borderId="1" xfId="0" applyFont="1" applyFill="1" applyBorder="1" applyAlignment="1">
      <alignment horizontal="center" vertical="center" wrapText="1"/>
    </xf>
    <xf numFmtId="3" fontId="5" fillId="0" borderId="1" xfId="0" applyNumberFormat="1" applyFont="1" applyBorder="1" applyAlignment="1">
      <alignment horizontal="center" vertical="center"/>
    </xf>
    <xf numFmtId="0" fontId="1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3" fillId="3" borderId="2" xfId="0"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3" xfId="0" applyNumberFormat="1" applyFont="1" applyFill="1" applyBorder="1" applyAlignment="1">
      <alignment horizontal="center" vertical="center"/>
    </xf>
    <xf numFmtId="4" fontId="3" fillId="3" borderId="1" xfId="0" applyNumberFormat="1" applyFont="1" applyFill="1" applyBorder="1" applyAlignment="1">
      <alignment horizontal="center" vertical="center" wrapText="1"/>
    </xf>
    <xf numFmtId="4" fontId="6"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12" fillId="3" borderId="1" xfId="0" applyFont="1" applyFill="1" applyBorder="1" applyAlignment="1">
      <alignment horizontal="center" vertical="center"/>
    </xf>
    <xf numFmtId="3" fontId="12" fillId="3" borderId="1" xfId="0" applyNumberFormat="1" applyFont="1" applyFill="1" applyBorder="1" applyAlignment="1">
      <alignment horizontal="center" vertical="center"/>
    </xf>
    <xf numFmtId="1" fontId="6" fillId="3" borderId="1" xfId="0" applyNumberFormat="1" applyFont="1" applyFill="1" applyBorder="1" applyAlignment="1">
      <alignment horizontal="center" vertical="center"/>
    </xf>
    <xf numFmtId="0" fontId="22" fillId="0" borderId="1" xfId="0" applyFont="1" applyBorder="1" applyAlignment="1">
      <alignment horizontal="center" wrapText="1"/>
    </xf>
    <xf numFmtId="0" fontId="6" fillId="5" borderId="1" xfId="0" applyFont="1" applyFill="1" applyBorder="1" applyAlignment="1">
      <alignment wrapText="1"/>
    </xf>
    <xf numFmtId="0" fontId="6" fillId="5" borderId="1" xfId="0" applyFont="1" applyFill="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vertical="center" wrapText="1"/>
    </xf>
    <xf numFmtId="0" fontId="6" fillId="6"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6" fillId="0" borderId="1" xfId="0" applyFont="1" applyBorder="1"/>
    <xf numFmtId="0" fontId="24"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pplyProtection="1">
      <alignment horizontal="center" vertical="center" wrapText="1"/>
      <protection locked="0"/>
    </xf>
    <xf numFmtId="3" fontId="6" fillId="3" borderId="1" xfId="2" applyNumberFormat="1" applyFont="1" applyFill="1" applyBorder="1" applyAlignment="1">
      <alignment horizontal="center" vertical="center" wrapText="1"/>
    </xf>
    <xf numFmtId="0" fontId="6" fillId="0" borderId="1" xfId="0" applyFont="1" applyBorder="1" applyAlignment="1">
      <alignment horizontal="center" wrapText="1"/>
    </xf>
    <xf numFmtId="0" fontId="6"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6" fillId="6" borderId="1" xfId="0" applyFont="1" applyFill="1" applyBorder="1"/>
    <xf numFmtId="0" fontId="6" fillId="6" borderId="1" xfId="0" applyFont="1" applyFill="1" applyBorder="1" applyAlignment="1">
      <alignment wrapText="1"/>
    </xf>
    <xf numFmtId="1" fontId="6" fillId="3" borderId="1" xfId="0" applyNumberFormat="1" applyFont="1" applyFill="1" applyBorder="1" applyAlignment="1">
      <alignment horizontal="center" vertical="center" wrapText="1"/>
    </xf>
    <xf numFmtId="0" fontId="6" fillId="0" borderId="0" xfId="0" applyFont="1" applyAlignment="1">
      <alignment horizontal="center" vertical="center"/>
    </xf>
    <xf numFmtId="14" fontId="12" fillId="3" borderId="1" xfId="0" applyNumberFormat="1" applyFont="1" applyFill="1" applyBorder="1" applyAlignment="1">
      <alignment horizontal="center" vertical="center"/>
    </xf>
    <xf numFmtId="14" fontId="6" fillId="3" borderId="1"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0" fontId="6" fillId="0" borderId="0" xfId="0" applyFont="1"/>
    <xf numFmtId="2" fontId="6" fillId="0" borderId="0" xfId="0" applyNumberFormat="1" applyFont="1" applyAlignment="1">
      <alignment horizontal="center" vertical="center"/>
    </xf>
    <xf numFmtId="1" fontId="6" fillId="8" borderId="1" xfId="0" applyNumberFormat="1" applyFont="1" applyFill="1" applyBorder="1" applyAlignment="1">
      <alignment horizontal="center" vertical="center"/>
    </xf>
    <xf numFmtId="3" fontId="6" fillId="0" borderId="0" xfId="0" applyNumberFormat="1" applyFont="1" applyAlignment="1">
      <alignment horizontal="center" vertical="center"/>
    </xf>
    <xf numFmtId="1" fontId="6" fillId="0" borderId="0" xfId="0" applyNumberFormat="1" applyFont="1" applyAlignment="1">
      <alignment horizontal="center" vertical="center"/>
    </xf>
    <xf numFmtId="2" fontId="3" fillId="0" borderId="0" xfId="0" applyNumberFormat="1" applyFont="1" applyAlignment="1">
      <alignment horizontal="center" vertical="center" wrapText="1"/>
    </xf>
    <xf numFmtId="1" fontId="3" fillId="3" borderId="1" xfId="0" applyNumberFormat="1" applyFont="1" applyFill="1" applyBorder="1" applyAlignment="1">
      <alignment horizontal="center" vertical="center" wrapText="1"/>
    </xf>
    <xf numFmtId="4" fontId="12" fillId="3" borderId="1" xfId="0" applyNumberFormat="1" applyFont="1" applyFill="1" applyBorder="1" applyAlignment="1">
      <alignment horizontal="center" vertical="center"/>
    </xf>
    <xf numFmtId="4" fontId="6" fillId="0" borderId="0" xfId="0" applyNumberFormat="1" applyFont="1" applyAlignment="1">
      <alignment horizontal="center" vertical="center" wrapText="1"/>
    </xf>
    <xf numFmtId="0" fontId="12" fillId="0" borderId="0" xfId="0" applyFont="1" applyAlignment="1">
      <alignment horizontal="center" vertical="center"/>
    </xf>
    <xf numFmtId="4" fontId="12" fillId="0" borderId="0" xfId="0" applyNumberFormat="1" applyFont="1" applyAlignment="1">
      <alignment horizontal="center" vertical="center"/>
    </xf>
    <xf numFmtId="0" fontId="12" fillId="0" borderId="0" xfId="0" applyFont="1" applyAlignment="1">
      <alignment horizontal="center" vertical="center" wrapText="1"/>
    </xf>
    <xf numFmtId="165" fontId="6" fillId="3" borderId="1" xfId="0" applyNumberFormat="1" applyFont="1" applyFill="1" applyBorder="1" applyAlignment="1">
      <alignment horizontal="center" vertical="center"/>
    </xf>
    <xf numFmtId="9" fontId="6" fillId="3" borderId="1" xfId="1" applyFont="1" applyFill="1" applyBorder="1" applyAlignment="1">
      <alignment horizontal="center" vertical="center" wrapText="1"/>
    </xf>
    <xf numFmtId="0" fontId="6" fillId="0" borderId="0" xfId="0" applyFont="1" applyAlignment="1">
      <alignment horizontal="center" vertical="center" wrapText="1"/>
    </xf>
    <xf numFmtId="0" fontId="6" fillId="0" borderId="0" xfId="3" applyFont="1" applyAlignment="1">
      <alignment horizontal="center" vertical="center"/>
    </xf>
    <xf numFmtId="0" fontId="6" fillId="0" borderId="1" xfId="3" applyFont="1" applyBorder="1" applyAlignment="1">
      <alignment horizontal="center" vertical="center"/>
    </xf>
    <xf numFmtId="0" fontId="4" fillId="2" borderId="1" xfId="3" applyFont="1" applyFill="1" applyBorder="1" applyAlignment="1">
      <alignment horizontal="center" vertical="center" wrapText="1"/>
    </xf>
    <xf numFmtId="0" fontId="3" fillId="3" borderId="1" xfId="3" applyFont="1" applyFill="1" applyBorder="1" applyAlignment="1">
      <alignment horizontal="center" vertical="center" wrapText="1"/>
    </xf>
    <xf numFmtId="166" fontId="3" fillId="3" borderId="1" xfId="3" applyNumberFormat="1" applyFont="1" applyFill="1" applyBorder="1" applyAlignment="1">
      <alignment horizontal="center" vertical="center" wrapText="1"/>
    </xf>
    <xf numFmtId="2" fontId="5" fillId="3" borderId="1" xfId="3" applyNumberFormat="1" applyFont="1" applyFill="1" applyBorder="1" applyAlignment="1">
      <alignment horizontal="center" vertical="center" wrapText="1"/>
    </xf>
    <xf numFmtId="2" fontId="6" fillId="3" borderId="1" xfId="3" applyNumberFormat="1" applyFont="1" applyFill="1" applyBorder="1" applyAlignment="1">
      <alignment horizontal="center" vertical="center"/>
    </xf>
    <xf numFmtId="2" fontId="6" fillId="3" borderId="1" xfId="0" applyNumberFormat="1" applyFont="1" applyFill="1" applyBorder="1" applyAlignment="1">
      <alignment horizontal="center" vertical="center" wrapText="1"/>
    </xf>
    <xf numFmtId="3" fontId="6" fillId="3" borderId="1" xfId="3" applyNumberFormat="1" applyFont="1" applyFill="1" applyBorder="1" applyAlignment="1">
      <alignment horizontal="center" vertical="center"/>
    </xf>
    <xf numFmtId="2" fontId="4" fillId="2" borderId="1" xfId="3" applyNumberFormat="1" applyFont="1" applyFill="1" applyBorder="1" applyAlignment="1">
      <alignment horizontal="center" vertical="center"/>
    </xf>
    <xf numFmtId="9" fontId="6" fillId="3" borderId="1" xfId="3" applyNumberFormat="1" applyFont="1" applyFill="1" applyBorder="1" applyAlignment="1">
      <alignment horizontal="center" vertical="center"/>
    </xf>
    <xf numFmtId="2" fontId="6" fillId="0" borderId="0" xfId="3" applyNumberFormat="1" applyFont="1" applyAlignment="1">
      <alignment horizontal="center" vertical="center"/>
    </xf>
    <xf numFmtId="0" fontId="6" fillId="0" borderId="7" xfId="3" applyFont="1" applyBorder="1" applyAlignment="1">
      <alignment horizontal="center" vertical="center"/>
    </xf>
    <xf numFmtId="0" fontId="11" fillId="2" borderId="1" xfId="3"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4" xfId="3" applyFont="1" applyFill="1" applyBorder="1" applyAlignment="1">
      <alignment horizontal="center" vertical="center" wrapText="1"/>
    </xf>
    <xf numFmtId="14" fontId="15" fillId="3" borderId="1" xfId="0" applyNumberFormat="1" applyFont="1" applyFill="1" applyBorder="1" applyAlignment="1">
      <alignment horizontal="center" vertical="center"/>
    </xf>
    <xf numFmtId="20" fontId="6" fillId="3" borderId="6" xfId="3" applyNumberFormat="1" applyFont="1" applyFill="1" applyBorder="1" applyAlignment="1">
      <alignment horizontal="center" vertical="center"/>
    </xf>
    <xf numFmtId="20" fontId="6" fillId="3" borderId="1" xfId="3" applyNumberFormat="1" applyFont="1" applyFill="1" applyBorder="1" applyAlignment="1">
      <alignment horizontal="center" vertical="center"/>
    </xf>
    <xf numFmtId="164" fontId="6" fillId="3" borderId="1" xfId="0" applyNumberFormat="1" applyFont="1" applyFill="1" applyBorder="1" applyAlignment="1">
      <alignment horizontal="center" vertical="center" wrapText="1"/>
    </xf>
    <xf numFmtId="2" fontId="12" fillId="3" borderId="1" xfId="0" applyNumberFormat="1" applyFont="1" applyFill="1" applyBorder="1" applyAlignment="1">
      <alignment horizontal="center" vertical="center" wrapText="1"/>
    </xf>
    <xf numFmtId="0" fontId="6" fillId="3" borderId="4" xfId="3" applyFont="1" applyFill="1" applyBorder="1" applyAlignment="1">
      <alignment horizontal="center" vertical="center"/>
    </xf>
    <xf numFmtId="2" fontId="4" fillId="2"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xf>
    <xf numFmtId="0" fontId="2" fillId="0" borderId="0" xfId="5"/>
    <xf numFmtId="0" fontId="39" fillId="0" borderId="0" xfId="5" applyFont="1"/>
    <xf numFmtId="0" fontId="38" fillId="0" borderId="0" xfId="4" applyAlignment="1" applyProtection="1"/>
    <xf numFmtId="14" fontId="2" fillId="0" borderId="0" xfId="5" applyNumberFormat="1"/>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8" xfId="0" applyFill="1" applyBorder="1" applyAlignment="1">
      <alignment horizontal="center" vertical="center"/>
    </xf>
    <xf numFmtId="0" fontId="34" fillId="6" borderId="0" xfId="0" applyFont="1" applyFill="1"/>
    <xf numFmtId="0" fontId="0" fillId="6" borderId="0" xfId="0" applyFill="1"/>
    <xf numFmtId="0" fontId="34" fillId="11" borderId="12" xfId="0" applyFont="1" applyFill="1" applyBorder="1" applyAlignment="1">
      <alignment horizontal="center"/>
    </xf>
    <xf numFmtId="0" fontId="34" fillId="11" borderId="26" xfId="0" applyFont="1" applyFill="1" applyBorder="1" applyAlignment="1">
      <alignment horizontal="center"/>
    </xf>
    <xf numFmtId="0" fontId="34" fillId="12" borderId="0" xfId="0" applyFont="1" applyFill="1" applyAlignment="1">
      <alignment horizontal="center"/>
    </xf>
    <xf numFmtId="0" fontId="34" fillId="12" borderId="8" xfId="0" applyFont="1" applyFill="1" applyBorder="1" applyAlignment="1">
      <alignment horizontal="center"/>
    </xf>
    <xf numFmtId="165" fontId="34" fillId="6" borderId="8" xfId="0" applyNumberFormat="1" applyFont="1" applyFill="1" applyBorder="1" applyAlignment="1">
      <alignment horizontal="center" vertical="center"/>
    </xf>
    <xf numFmtId="0" fontId="34" fillId="11" borderId="27" xfId="0" applyFont="1" applyFill="1" applyBorder="1" applyAlignment="1">
      <alignment horizontal="center"/>
    </xf>
    <xf numFmtId="0" fontId="34" fillId="11" borderId="28" xfId="0" applyFont="1" applyFill="1" applyBorder="1" applyAlignment="1">
      <alignment horizontal="center"/>
    </xf>
    <xf numFmtId="165" fontId="34" fillId="0" borderId="29" xfId="0" applyNumberFormat="1" applyFont="1" applyBorder="1" applyAlignment="1">
      <alignment horizontal="right"/>
    </xf>
    <xf numFmtId="165" fontId="34" fillId="0" borderId="30" xfId="0" applyNumberFormat="1" applyFont="1" applyBorder="1" applyAlignment="1">
      <alignment horizontal="right"/>
    </xf>
    <xf numFmtId="165" fontId="0" fillId="6" borderId="8" xfId="0" applyNumberFormat="1" applyFill="1" applyBorder="1" applyAlignment="1">
      <alignment horizontal="center" vertical="center"/>
    </xf>
    <xf numFmtId="0" fontId="0" fillId="6" borderId="0" xfId="0" applyFill="1" applyAlignment="1">
      <alignment horizontal="center" vertical="center"/>
    </xf>
    <xf numFmtId="165" fontId="0" fillId="14" borderId="33" xfId="0" applyNumberFormat="1" applyFill="1" applyBorder="1" applyAlignment="1">
      <alignment horizontal="center" vertical="center"/>
    </xf>
    <xf numFmtId="0" fontId="0" fillId="6" borderId="27" xfId="0" applyFill="1" applyBorder="1" applyAlignment="1">
      <alignment horizontal="center" vertic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6" fillId="0" borderId="0" xfId="0" applyFont="1" applyAlignment="1">
      <alignment horizontal="center"/>
    </xf>
    <xf numFmtId="14" fontId="15" fillId="8" borderId="1" xfId="0" applyNumberFormat="1" applyFont="1" applyFill="1" applyBorder="1" applyAlignment="1">
      <alignment horizontal="center" vertical="center"/>
    </xf>
    <xf numFmtId="165" fontId="0" fillId="16" borderId="33" xfId="0" applyNumberFormat="1" applyFill="1" applyBorder="1" applyAlignment="1">
      <alignment horizontal="center" vertical="center"/>
    </xf>
    <xf numFmtId="167" fontId="6" fillId="3" borderId="1" xfId="0" applyNumberFormat="1" applyFont="1" applyFill="1" applyBorder="1" applyAlignment="1">
      <alignment horizontal="center" vertical="center"/>
    </xf>
    <xf numFmtId="167" fontId="6" fillId="3" borderId="1" xfId="0" applyNumberFormat="1" applyFont="1" applyFill="1" applyBorder="1" applyAlignment="1">
      <alignment horizontal="center"/>
    </xf>
    <xf numFmtId="0" fontId="6" fillId="6" borderId="0" xfId="0" applyFont="1" applyFill="1" applyAlignment="1">
      <alignment horizontal="center" vertical="center"/>
    </xf>
    <xf numFmtId="0" fontId="2" fillId="6" borderId="0" xfId="5" applyFill="1" applyAlignment="1">
      <alignment horizontal="center" vertical="center"/>
    </xf>
    <xf numFmtId="0" fontId="2" fillId="0" borderId="0" xfId="5" applyAlignment="1">
      <alignment horizontal="center" vertical="center"/>
    </xf>
    <xf numFmtId="3" fontId="6" fillId="3" borderId="1" xfId="0" applyNumberFormat="1" applyFont="1" applyFill="1" applyBorder="1" applyAlignment="1">
      <alignment horizontal="center"/>
    </xf>
    <xf numFmtId="3" fontId="6" fillId="0" borderId="1" xfId="0" applyNumberFormat="1" applyFont="1" applyBorder="1"/>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3" fontId="3" fillId="3"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3" fontId="4" fillId="2" borderId="1" xfId="0" applyNumberFormat="1" applyFont="1" applyFill="1" applyBorder="1" applyAlignment="1">
      <alignment horizontal="center"/>
    </xf>
    <xf numFmtId="3" fontId="3" fillId="3" borderId="2" xfId="0" applyNumberFormat="1" applyFont="1" applyFill="1" applyBorder="1" applyAlignment="1">
      <alignment horizontal="center" vertical="center"/>
    </xf>
    <xf numFmtId="3" fontId="3" fillId="3" borderId="3" xfId="0" applyNumberFormat="1" applyFont="1" applyFill="1" applyBorder="1" applyAlignment="1">
      <alignment horizontal="center" vertical="center"/>
    </xf>
    <xf numFmtId="4" fontId="6" fillId="3" borderId="2"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xf>
    <xf numFmtId="4" fontId="3" fillId="3" borderId="2" xfId="0" applyNumberFormat="1" applyFont="1" applyFill="1" applyBorder="1" applyAlignment="1">
      <alignment horizontal="center" vertical="center"/>
    </xf>
    <xf numFmtId="4" fontId="3" fillId="3" borderId="3"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4" fontId="6" fillId="3" borderId="1" xfId="0" applyNumberFormat="1" applyFont="1" applyFill="1" applyBorder="1" applyAlignment="1">
      <alignment horizontal="center" vertical="center" wrapText="1"/>
    </xf>
    <xf numFmtId="4" fontId="6" fillId="3" borderId="1" xfId="0" applyNumberFormat="1" applyFont="1" applyFill="1" applyBorder="1" applyAlignment="1">
      <alignment horizontal="center" vertical="center"/>
    </xf>
    <xf numFmtId="4" fontId="6" fillId="3" borderId="2" xfId="0" applyNumberFormat="1" applyFont="1" applyFill="1" applyBorder="1" applyAlignment="1">
      <alignment horizontal="center" vertical="center"/>
    </xf>
    <xf numFmtId="4" fontId="6" fillId="3" borderId="3" xfId="0"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3" xfId="0" applyNumberFormat="1" applyFont="1" applyFill="1" applyBorder="1" applyAlignment="1">
      <alignment horizontal="center" vertical="center"/>
    </xf>
    <xf numFmtId="3" fontId="3"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xf>
    <xf numFmtId="0" fontId="6" fillId="6"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4" fillId="2" borderId="1" xfId="3" applyFont="1" applyFill="1" applyBorder="1" applyAlignment="1">
      <alignment horizontal="center" vertical="center"/>
    </xf>
    <xf numFmtId="0" fontId="4" fillId="2" borderId="1" xfId="3" applyFont="1" applyFill="1" applyBorder="1" applyAlignment="1">
      <alignment horizontal="center" vertical="center" wrapText="1"/>
    </xf>
    <xf numFmtId="0" fontId="3" fillId="3" borderId="1" xfId="3" applyFont="1" applyFill="1" applyBorder="1" applyAlignment="1">
      <alignment horizontal="center" vertical="center" wrapText="1"/>
    </xf>
    <xf numFmtId="0" fontId="11" fillId="2" borderId="1" xfId="3" applyFont="1" applyFill="1" applyBorder="1" applyAlignment="1">
      <alignment horizontal="center" vertical="center" wrapText="1"/>
    </xf>
    <xf numFmtId="0" fontId="0" fillId="0" borderId="8" xfId="0" applyBorder="1" applyAlignment="1">
      <alignment horizontal="center" vertical="center"/>
    </xf>
    <xf numFmtId="0" fontId="40" fillId="9" borderId="0" xfId="0" applyFont="1" applyFill="1" applyAlignment="1">
      <alignment horizontal="center" wrapText="1"/>
    </xf>
    <xf numFmtId="0" fontId="40" fillId="9" borderId="0" xfId="0" applyFont="1" applyFill="1" applyAlignment="1">
      <alignment horizontal="center"/>
    </xf>
    <xf numFmtId="0" fontId="34" fillId="6" borderId="13" xfId="0" applyFont="1" applyFill="1" applyBorder="1" applyAlignment="1">
      <alignment horizontal="center"/>
    </xf>
    <xf numFmtId="0" fontId="34" fillId="6" borderId="14" xfId="0" applyFont="1" applyFill="1" applyBorder="1" applyAlignment="1">
      <alignment horizontal="center"/>
    </xf>
    <xf numFmtId="0" fontId="34" fillId="6" borderId="15" xfId="0" applyFont="1" applyFill="1" applyBorder="1" applyAlignment="1">
      <alignment horizontal="center"/>
    </xf>
    <xf numFmtId="0" fontId="34" fillId="10" borderId="16" xfId="0" applyFont="1" applyFill="1" applyBorder="1" applyAlignment="1">
      <alignment horizontal="center"/>
    </xf>
    <xf numFmtId="0" fontId="34" fillId="10" borderId="17" xfId="0" applyFont="1" applyFill="1" applyBorder="1" applyAlignment="1">
      <alignment horizontal="center"/>
    </xf>
    <xf numFmtId="165" fontId="34" fillId="6" borderId="18" xfId="0" applyNumberFormat="1" applyFont="1" applyFill="1" applyBorder="1" applyAlignment="1">
      <alignment horizontal="center"/>
    </xf>
    <xf numFmtId="165" fontId="34" fillId="6" borderId="19" xfId="0" applyNumberFormat="1" applyFont="1" applyFill="1" applyBorder="1" applyAlignment="1">
      <alignment horizontal="center"/>
    </xf>
    <xf numFmtId="165" fontId="34" fillId="6" borderId="20" xfId="0" applyNumberFormat="1" applyFont="1" applyFill="1" applyBorder="1" applyAlignment="1">
      <alignment horizontal="center"/>
    </xf>
    <xf numFmtId="0" fontId="34" fillId="10" borderId="21" xfId="0" applyFont="1" applyFill="1" applyBorder="1" applyAlignment="1">
      <alignment horizontal="center"/>
    </xf>
    <xf numFmtId="0" fontId="34" fillId="10" borderId="22" xfId="0" applyFont="1" applyFill="1" applyBorder="1" applyAlignment="1">
      <alignment horizontal="center"/>
    </xf>
    <xf numFmtId="0" fontId="34" fillId="6" borderId="23" xfId="0" applyFont="1" applyFill="1" applyBorder="1" applyAlignment="1">
      <alignment horizontal="center"/>
    </xf>
    <xf numFmtId="0" fontId="34" fillId="6" borderId="24" xfId="0" applyFont="1" applyFill="1" applyBorder="1" applyAlignment="1">
      <alignment horizontal="center"/>
    </xf>
    <xf numFmtId="0" fontId="34" fillId="6" borderId="25" xfId="0" applyFont="1" applyFill="1" applyBorder="1" applyAlignment="1">
      <alignment horizontal="center"/>
    </xf>
    <xf numFmtId="0" fontId="34" fillId="13" borderId="31" xfId="0" applyFont="1" applyFill="1" applyBorder="1" applyAlignment="1">
      <alignment horizontal="center" vertical="center"/>
    </xf>
    <xf numFmtId="0" fontId="0" fillId="13" borderId="32" xfId="0" applyFill="1" applyBorder="1" applyAlignment="1">
      <alignment horizontal="center" vertical="center"/>
    </xf>
    <xf numFmtId="165" fontId="34" fillId="0" borderId="18" xfId="0" applyNumberFormat="1" applyFont="1" applyBorder="1" applyAlignment="1">
      <alignment horizontal="center"/>
    </xf>
    <xf numFmtId="165" fontId="34" fillId="0" borderId="19" xfId="0" applyNumberFormat="1" applyFont="1" applyBorder="1" applyAlignment="1">
      <alignment horizontal="center"/>
    </xf>
    <xf numFmtId="165" fontId="34" fillId="0" borderId="20" xfId="0" applyNumberFormat="1" applyFont="1" applyBorder="1" applyAlignment="1">
      <alignment horizontal="center"/>
    </xf>
    <xf numFmtId="0" fontId="40" fillId="15" borderId="0" xfId="0" applyFont="1" applyFill="1" applyAlignment="1">
      <alignment horizontal="center"/>
    </xf>
    <xf numFmtId="0" fontId="34" fillId="10" borderId="34" xfId="0" applyFont="1" applyFill="1" applyBorder="1" applyAlignment="1">
      <alignment horizontal="center"/>
    </xf>
    <xf numFmtId="0" fontId="0" fillId="13" borderId="31" xfId="0" applyFill="1" applyBorder="1" applyAlignment="1">
      <alignment horizontal="center" vertical="center"/>
    </xf>
    <xf numFmtId="0" fontId="4" fillId="2" borderId="2"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8" xfId="5" applyBorder="1" applyAlignment="1">
      <alignment horizontal="center" vertical="center"/>
    </xf>
    <xf numFmtId="0" fontId="34" fillId="14" borderId="31" xfId="0" applyFont="1" applyFill="1" applyBorder="1" applyAlignment="1">
      <alignment horizontal="center" vertical="center"/>
    </xf>
    <xf numFmtId="0" fontId="0" fillId="14" borderId="32" xfId="0" applyFill="1" applyBorder="1" applyAlignment="1">
      <alignment horizontal="center" vertical="center"/>
    </xf>
    <xf numFmtId="4" fontId="6" fillId="7" borderId="1" xfId="0" applyNumberFormat="1" applyFont="1" applyFill="1" applyBorder="1" applyAlignment="1">
      <alignment horizontal="center" vertical="center"/>
    </xf>
  </cellXfs>
  <cellStyles count="6">
    <cellStyle name="Hiperlink" xfId="4" builtinId="8"/>
    <cellStyle name="Normal" xfId="0" builtinId="0"/>
    <cellStyle name="Normal 2" xfId="3" xr:uid="{0398D531-BA1C-48A0-B521-C9DD5F679B97}"/>
    <cellStyle name="Normal 3" xfId="5" xr:uid="{3AB37425-471B-41D5-912D-2535D50D550C}"/>
    <cellStyle name="Porcentagem" xfId="1" builtinId="5"/>
    <cellStyle name="Vírgula" xfId="2" builtinId="3"/>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2D7E0"/>
      <color rgb="FFF2F2F2"/>
      <color rgb="FF2B39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249766</xdr:colOff>
      <xdr:row>2</xdr:row>
      <xdr:rowOff>82550</xdr:rowOff>
    </xdr:from>
    <xdr:to>
      <xdr:col>7</xdr:col>
      <xdr:colOff>709083</xdr:colOff>
      <xdr:row>3</xdr:row>
      <xdr:rowOff>109008</xdr:rowOff>
    </xdr:to>
    <xdr:pic>
      <xdr:nvPicPr>
        <xdr:cNvPr id="2" name="Imagem 3">
          <a:extLst>
            <a:ext uri="{FF2B5EF4-FFF2-40B4-BE49-F238E27FC236}">
              <a16:creationId xmlns:a16="http://schemas.microsoft.com/office/drawing/2014/main" id="{1F08AD37-9D54-48AB-9AAE-7B4D35FBA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099" y="357717"/>
          <a:ext cx="5010151" cy="312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814916</xdr:colOff>
      <xdr:row>20</xdr:row>
      <xdr:rowOff>49743</xdr:rowOff>
    </xdr:from>
    <xdr:to>
      <xdr:col>11</xdr:col>
      <xdr:colOff>766432</xdr:colOff>
      <xdr:row>20</xdr:row>
      <xdr:rowOff>486833</xdr:rowOff>
    </xdr:to>
    <xdr:pic>
      <xdr:nvPicPr>
        <xdr:cNvPr id="2" name="Imagem 3">
          <a:extLst>
            <a:ext uri="{FF2B5EF4-FFF2-40B4-BE49-F238E27FC236}">
              <a16:creationId xmlns:a16="http://schemas.microsoft.com/office/drawing/2014/main" id="{EFE3907B-A95D-49B5-94FB-571744364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083" y="5150910"/>
          <a:ext cx="4036682" cy="437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698499</xdr:colOff>
      <xdr:row>9</xdr:row>
      <xdr:rowOff>128059</xdr:rowOff>
    </xdr:from>
    <xdr:to>
      <xdr:col>17</xdr:col>
      <xdr:colOff>402167</xdr:colOff>
      <xdr:row>11</xdr:row>
      <xdr:rowOff>99484</xdr:rowOff>
    </xdr:to>
    <xdr:pic>
      <xdr:nvPicPr>
        <xdr:cNvPr id="3" name="Imagem 5">
          <a:extLst>
            <a:ext uri="{FF2B5EF4-FFF2-40B4-BE49-F238E27FC236}">
              <a16:creationId xmlns:a16="http://schemas.microsoft.com/office/drawing/2014/main" id="{3AF907AC-E0D2-4E5A-B8BE-722CE4C4C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38916" y="2742142"/>
          <a:ext cx="2984501" cy="331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xdr:row>
      <xdr:rowOff>76201</xdr:rowOff>
    </xdr:from>
    <xdr:to>
      <xdr:col>8</xdr:col>
      <xdr:colOff>38570</xdr:colOff>
      <xdr:row>3</xdr:row>
      <xdr:rowOff>247650</xdr:rowOff>
    </xdr:to>
    <xdr:pic>
      <xdr:nvPicPr>
        <xdr:cNvPr id="4" name="Imagem 7">
          <a:extLst>
            <a:ext uri="{FF2B5EF4-FFF2-40B4-BE49-F238E27FC236}">
              <a16:creationId xmlns:a16="http://schemas.microsoft.com/office/drawing/2014/main" id="{FAC2ADD3-1E85-4118-A54A-B7E3EAA0B7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647701"/>
          <a:ext cx="5296370" cy="504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402167</xdr:colOff>
      <xdr:row>3</xdr:row>
      <xdr:rowOff>161925</xdr:rowOff>
    </xdr:to>
    <xdr:pic>
      <xdr:nvPicPr>
        <xdr:cNvPr id="2" name="Imagem 3">
          <a:extLst>
            <a:ext uri="{FF2B5EF4-FFF2-40B4-BE49-F238E27FC236}">
              <a16:creationId xmlns:a16="http://schemas.microsoft.com/office/drawing/2014/main" id="{1DAE43A3-5BAD-46B7-A85E-52940BC8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0183" y="294217"/>
          <a:ext cx="5158317" cy="312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908957</xdr:colOff>
      <xdr:row>20</xdr:row>
      <xdr:rowOff>69397</xdr:rowOff>
    </xdr:from>
    <xdr:to>
      <xdr:col>11</xdr:col>
      <xdr:colOff>231321</xdr:colOff>
      <xdr:row>20</xdr:row>
      <xdr:rowOff>408215</xdr:rowOff>
    </xdr:to>
    <xdr:pic>
      <xdr:nvPicPr>
        <xdr:cNvPr id="2" name="Imagem 3">
          <a:extLst>
            <a:ext uri="{FF2B5EF4-FFF2-40B4-BE49-F238E27FC236}">
              <a16:creationId xmlns:a16="http://schemas.microsoft.com/office/drawing/2014/main" id="{8647ADBB-13C7-49CC-9DC2-34A78A6DD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04957" y="5335361"/>
          <a:ext cx="3404507" cy="338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340864</xdr:colOff>
      <xdr:row>9</xdr:row>
      <xdr:rowOff>85726</xdr:rowOff>
    </xdr:from>
    <xdr:to>
      <xdr:col>17</xdr:col>
      <xdr:colOff>421822</xdr:colOff>
      <xdr:row>11</xdr:row>
      <xdr:rowOff>110210</xdr:rowOff>
    </xdr:to>
    <xdr:pic>
      <xdr:nvPicPr>
        <xdr:cNvPr id="3" name="Imagem 5">
          <a:extLst>
            <a:ext uri="{FF2B5EF4-FFF2-40B4-BE49-F238E27FC236}">
              <a16:creationId xmlns:a16="http://schemas.microsoft.com/office/drawing/2014/main" id="{91BDAE08-2371-4150-B373-31D8DB48D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9185" y="2861583"/>
          <a:ext cx="3360280" cy="378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2</xdr:row>
      <xdr:rowOff>114301</xdr:rowOff>
    </xdr:from>
    <xdr:to>
      <xdr:col>7</xdr:col>
      <xdr:colOff>476250</xdr:colOff>
      <xdr:row>3</xdr:row>
      <xdr:rowOff>329574</xdr:rowOff>
    </xdr:to>
    <xdr:pic>
      <xdr:nvPicPr>
        <xdr:cNvPr id="4" name="Imagem 7">
          <a:extLst>
            <a:ext uri="{FF2B5EF4-FFF2-40B4-BE49-F238E27FC236}">
              <a16:creationId xmlns:a16="http://schemas.microsoft.com/office/drawing/2014/main" id="{DC841937-3DA6-48F5-AB21-456376F5FA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0" y="723901"/>
          <a:ext cx="4705350" cy="548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345281</xdr:colOff>
      <xdr:row>2</xdr:row>
      <xdr:rowOff>30956</xdr:rowOff>
    </xdr:from>
    <xdr:to>
      <xdr:col>8</xdr:col>
      <xdr:colOff>188119</xdr:colOff>
      <xdr:row>3</xdr:row>
      <xdr:rowOff>183356</xdr:rowOff>
    </xdr:to>
    <xdr:pic>
      <xdr:nvPicPr>
        <xdr:cNvPr id="3" name="Imagem 3">
          <a:extLst>
            <a:ext uri="{FF2B5EF4-FFF2-40B4-BE49-F238E27FC236}">
              <a16:creationId xmlns:a16="http://schemas.microsoft.com/office/drawing/2014/main" id="{1DAC9C1A-385C-4090-8DF7-7B15EE414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304800"/>
          <a:ext cx="5272088" cy="319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979715</xdr:colOff>
      <xdr:row>20</xdr:row>
      <xdr:rowOff>110219</xdr:rowOff>
    </xdr:from>
    <xdr:to>
      <xdr:col>11</xdr:col>
      <xdr:colOff>265340</xdr:colOff>
      <xdr:row>20</xdr:row>
      <xdr:rowOff>519794</xdr:rowOff>
    </xdr:to>
    <xdr:pic>
      <xdr:nvPicPr>
        <xdr:cNvPr id="5" name="Imagem 3">
          <a:extLst>
            <a:ext uri="{FF2B5EF4-FFF2-40B4-BE49-F238E27FC236}">
              <a16:creationId xmlns:a16="http://schemas.microsoft.com/office/drawing/2014/main" id="{8355C275-9CC9-4610-BBB8-01CEC8885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15" y="4859112"/>
          <a:ext cx="3367768"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604159</xdr:colOff>
      <xdr:row>9</xdr:row>
      <xdr:rowOff>126546</xdr:rowOff>
    </xdr:from>
    <xdr:to>
      <xdr:col>17</xdr:col>
      <xdr:colOff>816429</xdr:colOff>
      <xdr:row>11</xdr:row>
      <xdr:rowOff>107496</xdr:rowOff>
    </xdr:to>
    <xdr:pic>
      <xdr:nvPicPr>
        <xdr:cNvPr id="6" name="Imagem 5">
          <a:extLst>
            <a:ext uri="{FF2B5EF4-FFF2-40B4-BE49-F238E27FC236}">
              <a16:creationId xmlns:a16="http://schemas.microsoft.com/office/drawing/2014/main" id="{8C1D7FD8-6FE2-4277-8223-E514EFA75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50838" y="2385332"/>
          <a:ext cx="3491591" cy="334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204107</xdr:colOff>
      <xdr:row>2</xdr:row>
      <xdr:rowOff>17690</xdr:rowOff>
    </xdr:from>
    <xdr:to>
      <xdr:col>7</xdr:col>
      <xdr:colOff>326571</xdr:colOff>
      <xdr:row>3</xdr:row>
      <xdr:rowOff>340179</xdr:rowOff>
    </xdr:to>
    <xdr:pic>
      <xdr:nvPicPr>
        <xdr:cNvPr id="7" name="Imagem 7">
          <a:extLst>
            <a:ext uri="{FF2B5EF4-FFF2-40B4-BE49-F238E27FC236}">
              <a16:creationId xmlns:a16="http://schemas.microsoft.com/office/drawing/2014/main" id="{47B5515E-A0D2-4286-BC4E-3A15C85759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4607" y="371476"/>
          <a:ext cx="4612821" cy="499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11</xdr:col>
      <xdr:colOff>9525</xdr:colOff>
      <xdr:row>3</xdr:row>
      <xdr:rowOff>161925</xdr:rowOff>
    </xdr:to>
    <xdr:pic>
      <xdr:nvPicPr>
        <xdr:cNvPr id="2" name="Imagem 3">
          <a:extLst>
            <a:ext uri="{FF2B5EF4-FFF2-40B4-BE49-F238E27FC236}">
              <a16:creationId xmlns:a16="http://schemas.microsoft.com/office/drawing/2014/main" id="{47FA0B0F-CE31-4AAF-A05A-B63588229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29527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866774</xdr:colOff>
      <xdr:row>20</xdr:row>
      <xdr:rowOff>38101</xdr:rowOff>
    </xdr:from>
    <xdr:to>
      <xdr:col>10</xdr:col>
      <xdr:colOff>1123950</xdr:colOff>
      <xdr:row>20</xdr:row>
      <xdr:rowOff>400051</xdr:rowOff>
    </xdr:to>
    <xdr:pic>
      <xdr:nvPicPr>
        <xdr:cNvPr id="2" name="Imagem 3">
          <a:extLst>
            <a:ext uri="{FF2B5EF4-FFF2-40B4-BE49-F238E27FC236}">
              <a16:creationId xmlns:a16="http://schemas.microsoft.com/office/drawing/2014/main" id="{6F2A6558-C84F-4D68-BCBD-E9AF62B2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1349" y="5200651"/>
          <a:ext cx="31813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333375</xdr:colOff>
      <xdr:row>9</xdr:row>
      <xdr:rowOff>38100</xdr:rowOff>
    </xdr:from>
    <xdr:to>
      <xdr:col>17</xdr:col>
      <xdr:colOff>361950</xdr:colOff>
      <xdr:row>11</xdr:row>
      <xdr:rowOff>114300</xdr:rowOff>
    </xdr:to>
    <xdr:pic>
      <xdr:nvPicPr>
        <xdr:cNvPr id="3" name="Imagem 5">
          <a:extLst>
            <a:ext uri="{FF2B5EF4-FFF2-40B4-BE49-F238E27FC236}">
              <a16:creationId xmlns:a16="http://schemas.microsoft.com/office/drawing/2014/main" id="{D1B8847B-4639-4045-BB1A-B14364C74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87550" y="2714625"/>
          <a:ext cx="33051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2</xdr:row>
      <xdr:rowOff>123826</xdr:rowOff>
    </xdr:from>
    <xdr:to>
      <xdr:col>7</xdr:col>
      <xdr:colOff>504825</xdr:colOff>
      <xdr:row>3</xdr:row>
      <xdr:rowOff>209551</xdr:rowOff>
    </xdr:to>
    <xdr:pic>
      <xdr:nvPicPr>
        <xdr:cNvPr id="4" name="Imagem 7">
          <a:extLst>
            <a:ext uri="{FF2B5EF4-FFF2-40B4-BE49-F238E27FC236}">
              <a16:creationId xmlns:a16="http://schemas.microsoft.com/office/drawing/2014/main" id="{10B037A2-1134-48C0-A1C6-BC748CAD07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666751"/>
          <a:ext cx="47720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gov.br/mcti/pt-br/acompanhe-o-mcti/sirene/dados-e-ferramentas/fatores-de-emissao" TargetMode="External"/></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www.gov.br/mcti/pt-br/acompanhe-o-mcti/sirene/dados-e-ferramentas/fatores-de-emissao" TargetMode="External"/></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7.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8.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1" Type="http://schemas.openxmlformats.org/officeDocument/2006/relationships/hyperlink" Target="https://www.gov.br/mcti/pt-br/acompanhe-o-mcti/sirene/dados-e-ferramentas/fatores-de-emissao"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hyperlink" Target="https://www.gov.br/mcti/pt-br/acompanhe-o-mcti/sirene/dados-e-ferramentas/fatores-de-emissa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B3957"/>
  </sheetPr>
  <dimension ref="A2:M42"/>
  <sheetViews>
    <sheetView showGridLines="0" tabSelected="1" zoomScaleNormal="100" workbookViewId="0">
      <selection activeCell="B2" sqref="B2:G2"/>
    </sheetView>
  </sheetViews>
  <sheetFormatPr defaultRowHeight="14.25" x14ac:dyDescent="0.25"/>
  <cols>
    <col min="1" max="1" width="3.140625" style="20" bestFit="1" customWidth="1"/>
    <col min="2" max="2" width="28.7109375" style="1" customWidth="1"/>
    <col min="3" max="3" width="24" style="1" customWidth="1"/>
    <col min="4" max="4" width="23.140625" style="1" customWidth="1"/>
    <col min="5" max="5" width="24.85546875" style="1" customWidth="1"/>
    <col min="6" max="6" width="25.42578125" style="1" customWidth="1"/>
    <col min="7" max="7" width="26.7109375" style="1" customWidth="1"/>
    <col min="8" max="11" width="23.85546875" style="1" customWidth="1"/>
    <col min="12" max="12" width="27.42578125" style="1" customWidth="1"/>
    <col min="13" max="16384" width="9.140625" style="1"/>
  </cols>
  <sheetData>
    <row r="2" spans="1:13" ht="15.75" customHeight="1" x14ac:dyDescent="0.25">
      <c r="B2" s="146" t="s">
        <v>31</v>
      </c>
      <c r="C2" s="147"/>
      <c r="D2" s="147"/>
      <c r="E2" s="147"/>
      <c r="F2" s="147"/>
      <c r="G2" s="147"/>
    </row>
    <row r="3" spans="1:13" ht="15" customHeight="1" x14ac:dyDescent="0.25">
      <c r="B3" s="148" t="s">
        <v>17</v>
      </c>
      <c r="C3" s="148" t="s">
        <v>20</v>
      </c>
      <c r="D3" s="21" t="s">
        <v>44</v>
      </c>
      <c r="E3" s="21" t="s">
        <v>45</v>
      </c>
      <c r="F3" s="21" t="s">
        <v>2</v>
      </c>
      <c r="G3" s="21" t="s">
        <v>46</v>
      </c>
    </row>
    <row r="4" spans="1:13" ht="15.75" x14ac:dyDescent="0.25">
      <c r="B4" s="148"/>
      <c r="C4" s="148"/>
      <c r="D4" s="22" t="s">
        <v>47</v>
      </c>
      <c r="E4" s="22" t="s">
        <v>47</v>
      </c>
      <c r="F4" s="22" t="s">
        <v>47</v>
      </c>
      <c r="G4" s="22" t="s">
        <v>47</v>
      </c>
    </row>
    <row r="5" spans="1:13" ht="15.75" customHeight="1" x14ac:dyDescent="0.25">
      <c r="A5" s="1"/>
      <c r="B5" s="28" t="s">
        <v>12</v>
      </c>
      <c r="C5" s="29" t="s">
        <v>5</v>
      </c>
      <c r="D5" s="10">
        <f>'ER - Altenor '!$C$5</f>
        <v>915</v>
      </c>
      <c r="E5" s="10">
        <f>'ER - Altenor '!$C$10</f>
        <v>165</v>
      </c>
      <c r="F5" s="10">
        <v>0</v>
      </c>
      <c r="G5" s="10">
        <f>D5-E5</f>
        <v>750</v>
      </c>
      <c r="I5" s="23"/>
      <c r="M5" s="23"/>
    </row>
    <row r="6" spans="1:13" ht="15.75" customHeight="1" x14ac:dyDescent="0.25">
      <c r="A6" s="1"/>
      <c r="B6" s="28" t="s">
        <v>14</v>
      </c>
      <c r="C6" s="29" t="s">
        <v>7</v>
      </c>
      <c r="D6" s="10">
        <f>'ER - Granja Silva'!$C$5</f>
        <v>91</v>
      </c>
      <c r="E6" s="10">
        <f>'ER - Granja Silva'!$C$10</f>
        <v>102</v>
      </c>
      <c r="F6" s="10">
        <v>0</v>
      </c>
      <c r="G6" s="10">
        <v>0</v>
      </c>
      <c r="I6" s="23"/>
      <c r="M6" s="23"/>
    </row>
    <row r="7" spans="1:13" ht="15.75" customHeight="1" x14ac:dyDescent="0.25">
      <c r="A7" s="1"/>
      <c r="B7" s="28" t="s">
        <v>18</v>
      </c>
      <c r="C7" s="30" t="s">
        <v>57</v>
      </c>
      <c r="D7" s="10">
        <f>'ER - Ramella'!$C$5</f>
        <v>480</v>
      </c>
      <c r="E7" s="10">
        <f>'ER - Ramella'!$C$10</f>
        <v>93</v>
      </c>
      <c r="F7" s="10">
        <v>0</v>
      </c>
      <c r="G7" s="10">
        <f>D7-E7</f>
        <v>387</v>
      </c>
      <c r="I7" s="23"/>
      <c r="M7" s="23"/>
    </row>
    <row r="8" spans="1:13" ht="15.75" customHeight="1" x14ac:dyDescent="0.25">
      <c r="A8" s="1"/>
      <c r="B8" s="28" t="s">
        <v>19</v>
      </c>
      <c r="C8" s="30" t="s">
        <v>6</v>
      </c>
      <c r="D8" s="10">
        <f>'ER - Santa Lúcia'!$C$5</f>
        <v>452</v>
      </c>
      <c r="E8" s="10">
        <f>'ER - Santa Lúcia'!$C$10</f>
        <v>416</v>
      </c>
      <c r="F8" s="10">
        <v>0</v>
      </c>
      <c r="G8" s="10">
        <f>D8-E8</f>
        <v>36</v>
      </c>
      <c r="I8" s="23"/>
      <c r="M8" s="23"/>
    </row>
    <row r="9" spans="1:13" ht="15.75" customHeight="1" x14ac:dyDescent="0.25">
      <c r="A9" s="1"/>
      <c r="B9" s="148" t="s">
        <v>4</v>
      </c>
      <c r="C9" s="148"/>
      <c r="D9" s="24">
        <f>SUM(D5:D8)</f>
        <v>1938</v>
      </c>
      <c r="E9" s="24">
        <f>SUM(E5:E8)</f>
        <v>776</v>
      </c>
      <c r="F9" s="24">
        <f>SUM(F5:F8)</f>
        <v>0</v>
      </c>
      <c r="G9" s="24">
        <f>ROUNDDOWN(SUM(G5:G8),)</f>
        <v>1173</v>
      </c>
      <c r="I9" s="23"/>
      <c r="M9" s="23"/>
    </row>
    <row r="10" spans="1:13" ht="15.75" customHeight="1" x14ac:dyDescent="0.25">
      <c r="A10" s="1"/>
      <c r="I10" s="23"/>
      <c r="M10" s="23"/>
    </row>
    <row r="11" spans="1:13" ht="15.75" customHeight="1" x14ac:dyDescent="0.25">
      <c r="A11" s="1"/>
      <c r="I11" s="23"/>
      <c r="M11" s="23"/>
    </row>
    <row r="12" spans="1:13" ht="15.75" customHeight="1" x14ac:dyDescent="0.25">
      <c r="A12" s="1"/>
      <c r="B12" s="146" t="s">
        <v>52</v>
      </c>
      <c r="C12" s="147"/>
      <c r="D12" s="147"/>
      <c r="E12" s="147"/>
      <c r="F12" s="147"/>
      <c r="G12" s="147"/>
      <c r="I12" s="23"/>
      <c r="M12" s="23"/>
    </row>
    <row r="13" spans="1:13" ht="15.75" customHeight="1" x14ac:dyDescent="0.25">
      <c r="A13" s="1"/>
      <c r="B13" s="148" t="s">
        <v>17</v>
      </c>
      <c r="C13" s="148" t="s">
        <v>20</v>
      </c>
      <c r="D13" s="21" t="s">
        <v>44</v>
      </c>
      <c r="E13" s="21" t="s">
        <v>45</v>
      </c>
      <c r="F13" s="21" t="s">
        <v>2</v>
      </c>
      <c r="G13" s="21" t="s">
        <v>46</v>
      </c>
      <c r="I13" s="23"/>
      <c r="M13" s="23"/>
    </row>
    <row r="14" spans="1:13" ht="15.75" customHeight="1" x14ac:dyDescent="0.25">
      <c r="A14" s="1"/>
      <c r="B14" s="148"/>
      <c r="C14" s="148"/>
      <c r="D14" s="22" t="s">
        <v>47</v>
      </c>
      <c r="E14" s="22" t="s">
        <v>47</v>
      </c>
      <c r="F14" s="22" t="s">
        <v>47</v>
      </c>
      <c r="G14" s="22" t="s">
        <v>47</v>
      </c>
      <c r="I14" s="23"/>
      <c r="M14" s="23"/>
    </row>
    <row r="15" spans="1:13" ht="15.75" customHeight="1" x14ac:dyDescent="0.25">
      <c r="A15" s="1"/>
      <c r="B15" s="28" t="s">
        <v>12</v>
      </c>
      <c r="C15" s="29" t="s">
        <v>5</v>
      </c>
      <c r="D15" s="10">
        <f>'ER - Altenor '!$C$6</f>
        <v>824</v>
      </c>
      <c r="E15" s="10">
        <f>'ER - Altenor '!$C$11</f>
        <v>143</v>
      </c>
      <c r="F15" s="10">
        <f>0</f>
        <v>0</v>
      </c>
      <c r="G15" s="10">
        <f>D15-E15</f>
        <v>681</v>
      </c>
      <c r="I15" s="23"/>
      <c r="M15" s="23"/>
    </row>
    <row r="16" spans="1:13" ht="15.75" customHeight="1" x14ac:dyDescent="0.25">
      <c r="A16" s="1"/>
      <c r="B16" s="28" t="s">
        <v>14</v>
      </c>
      <c r="C16" s="29" t="s">
        <v>7</v>
      </c>
      <c r="D16" s="10">
        <f>'ER - Granja Silva'!$C$6</f>
        <v>209</v>
      </c>
      <c r="E16" s="10">
        <f>'ER - Granja Silva'!$C$11</f>
        <v>166</v>
      </c>
      <c r="F16" s="10">
        <f>0</f>
        <v>0</v>
      </c>
      <c r="G16" s="10">
        <f>D16-E16</f>
        <v>43</v>
      </c>
      <c r="I16" s="23"/>
      <c r="M16" s="23"/>
    </row>
    <row r="17" spans="1:13" ht="15.75" customHeight="1" x14ac:dyDescent="0.25">
      <c r="A17" s="1"/>
      <c r="B17" s="28" t="s">
        <v>18</v>
      </c>
      <c r="C17" s="30" t="s">
        <v>57</v>
      </c>
      <c r="D17" s="10">
        <f>'ER - Ramella'!$C$6</f>
        <v>1138</v>
      </c>
      <c r="E17" s="10">
        <f>'ER - Ramella'!$C$11</f>
        <v>173</v>
      </c>
      <c r="F17" s="10">
        <f>0</f>
        <v>0</v>
      </c>
      <c r="G17" s="10">
        <f>D17-E17</f>
        <v>965</v>
      </c>
      <c r="I17" s="23"/>
      <c r="M17" s="23"/>
    </row>
    <row r="18" spans="1:13" ht="15.75" customHeight="1" x14ac:dyDescent="0.25">
      <c r="A18" s="1"/>
      <c r="B18" s="28" t="s">
        <v>19</v>
      </c>
      <c r="C18" s="30" t="s">
        <v>6</v>
      </c>
      <c r="D18" s="10">
        <f>'ER - Santa Lúcia'!$C$6</f>
        <v>1728</v>
      </c>
      <c r="E18" s="10">
        <f>'ER - Santa Lúcia'!$C$11</f>
        <v>479</v>
      </c>
      <c r="F18" s="10">
        <f>0</f>
        <v>0</v>
      </c>
      <c r="G18" s="10">
        <f>D18-E18</f>
        <v>1249</v>
      </c>
      <c r="I18" s="23"/>
      <c r="M18" s="23"/>
    </row>
    <row r="19" spans="1:13" ht="15.75" customHeight="1" x14ac:dyDescent="0.25">
      <c r="A19" s="1"/>
      <c r="B19" s="148" t="s">
        <v>4</v>
      </c>
      <c r="C19" s="148"/>
      <c r="D19" s="24">
        <f>SUM(D15:D18)</f>
        <v>3899</v>
      </c>
      <c r="E19" s="24">
        <f t="shared" ref="E19:F19" si="0">SUM(E15:E18)</f>
        <v>961</v>
      </c>
      <c r="F19" s="24">
        <f t="shared" si="0"/>
        <v>0</v>
      </c>
      <c r="G19" s="24">
        <f>ROUNDDOWN(SUM(G15:G18),)</f>
        <v>2938</v>
      </c>
      <c r="I19" s="23"/>
      <c r="M19" s="23"/>
    </row>
    <row r="20" spans="1:13" ht="15.75" customHeight="1" x14ac:dyDescent="0.25">
      <c r="A20" s="1"/>
      <c r="I20" s="23"/>
      <c r="M20" s="23"/>
    </row>
    <row r="21" spans="1:13" ht="16.5" customHeight="1" x14ac:dyDescent="0.25"/>
    <row r="22" spans="1:13" ht="16.5" customHeight="1" x14ac:dyDescent="0.25">
      <c r="B22" s="146" t="s">
        <v>22</v>
      </c>
      <c r="C22" s="147"/>
      <c r="D22" s="147"/>
      <c r="E22" s="147"/>
      <c r="F22" s="147"/>
      <c r="G22" s="147"/>
    </row>
    <row r="23" spans="1:13" ht="16.5" customHeight="1" x14ac:dyDescent="0.25">
      <c r="B23" s="148" t="s">
        <v>17</v>
      </c>
      <c r="C23" s="148" t="s">
        <v>20</v>
      </c>
      <c r="D23" s="21" t="s">
        <v>44</v>
      </c>
      <c r="E23" s="21" t="s">
        <v>45</v>
      </c>
      <c r="F23" s="21" t="s">
        <v>2</v>
      </c>
      <c r="G23" s="21" t="s">
        <v>46</v>
      </c>
    </row>
    <row r="24" spans="1:13" ht="16.5" customHeight="1" x14ac:dyDescent="0.25">
      <c r="B24" s="148"/>
      <c r="C24" s="148"/>
      <c r="D24" s="22" t="s">
        <v>47</v>
      </c>
      <c r="E24" s="22" t="s">
        <v>47</v>
      </c>
      <c r="F24" s="22" t="s">
        <v>47</v>
      </c>
      <c r="G24" s="22" t="s">
        <v>47</v>
      </c>
    </row>
    <row r="25" spans="1:13" ht="16.5" customHeight="1" x14ac:dyDescent="0.25">
      <c r="A25" s="1"/>
      <c r="B25" s="28" t="s">
        <v>12</v>
      </c>
      <c r="C25" s="29" t="s">
        <v>5</v>
      </c>
      <c r="D25" s="10">
        <f>SUM(D5,D15)</f>
        <v>1739</v>
      </c>
      <c r="E25" s="10">
        <f>SUM(E5,E15)</f>
        <v>308</v>
      </c>
      <c r="F25" s="10">
        <f>SUM(F5,F15)</f>
        <v>0</v>
      </c>
      <c r="G25" s="10">
        <f>D25-E25</f>
        <v>1431</v>
      </c>
      <c r="H25" s="25"/>
    </row>
    <row r="26" spans="1:13" ht="16.5" customHeight="1" x14ac:dyDescent="0.25">
      <c r="A26" s="1"/>
      <c r="B26" s="28" t="s">
        <v>14</v>
      </c>
      <c r="C26" s="29" t="s">
        <v>7</v>
      </c>
      <c r="D26" s="10">
        <f>SUM(D6,D16)</f>
        <v>300</v>
      </c>
      <c r="E26" s="10">
        <f>SUM(E6,E16)</f>
        <v>268</v>
      </c>
      <c r="F26" s="10">
        <f t="shared" ref="F26:F28" si="1">SUM(F6,F16)</f>
        <v>0</v>
      </c>
      <c r="G26" s="10">
        <f>D26-E26</f>
        <v>32</v>
      </c>
      <c r="H26" s="25"/>
    </row>
    <row r="27" spans="1:13" ht="16.5" customHeight="1" x14ac:dyDescent="0.25">
      <c r="A27" s="1"/>
      <c r="B27" s="28" t="s">
        <v>18</v>
      </c>
      <c r="C27" s="30" t="s">
        <v>57</v>
      </c>
      <c r="D27" s="10">
        <f t="shared" ref="D26:E28" si="2">SUM(D7,D17)</f>
        <v>1618</v>
      </c>
      <c r="E27" s="10">
        <f t="shared" si="2"/>
        <v>266</v>
      </c>
      <c r="F27" s="10">
        <f t="shared" si="1"/>
        <v>0</v>
      </c>
      <c r="G27" s="10">
        <f>D27-E27</f>
        <v>1352</v>
      </c>
      <c r="H27" s="25"/>
    </row>
    <row r="28" spans="1:13" ht="16.5" customHeight="1" x14ac:dyDescent="0.25">
      <c r="A28" s="1"/>
      <c r="B28" s="28" t="s">
        <v>19</v>
      </c>
      <c r="C28" s="30" t="s">
        <v>6</v>
      </c>
      <c r="D28" s="10">
        <f t="shared" si="2"/>
        <v>2180</v>
      </c>
      <c r="E28" s="10">
        <f t="shared" si="2"/>
        <v>895</v>
      </c>
      <c r="F28" s="10">
        <f t="shared" si="1"/>
        <v>0</v>
      </c>
      <c r="G28" s="10">
        <f>D28-E28</f>
        <v>1285</v>
      </c>
      <c r="H28" s="25"/>
    </row>
    <row r="29" spans="1:13" ht="16.5" customHeight="1" x14ac:dyDescent="0.25">
      <c r="A29" s="1"/>
      <c r="B29" s="151" t="s">
        <v>10</v>
      </c>
      <c r="C29" s="151"/>
      <c r="D29" s="24">
        <f>SUM(D25:D28)</f>
        <v>5837</v>
      </c>
      <c r="E29" s="24">
        <f>SUM(E25:E28)</f>
        <v>1737</v>
      </c>
      <c r="F29" s="24">
        <f t="shared" ref="F29" si="3">SUM(F25:F28)</f>
        <v>0</v>
      </c>
      <c r="G29" s="24">
        <f>SUM(G25:G28)</f>
        <v>4100</v>
      </c>
      <c r="H29" s="25"/>
    </row>
    <row r="30" spans="1:13" ht="16.5" customHeight="1" x14ac:dyDescent="0.25"/>
    <row r="31" spans="1:13" ht="22.5" customHeight="1" x14ac:dyDescent="0.25">
      <c r="B31" s="150" t="s">
        <v>21</v>
      </c>
      <c r="C31" s="150"/>
      <c r="D31" s="150"/>
      <c r="E31" s="150"/>
      <c r="F31" s="150"/>
    </row>
    <row r="32" spans="1:13" ht="54" customHeight="1" x14ac:dyDescent="0.25">
      <c r="B32" s="26" t="s">
        <v>15</v>
      </c>
      <c r="C32" s="26" t="s">
        <v>48</v>
      </c>
      <c r="D32" s="26" t="s">
        <v>49</v>
      </c>
      <c r="E32" s="26" t="s">
        <v>50</v>
      </c>
      <c r="F32" s="26" t="s">
        <v>51</v>
      </c>
    </row>
    <row r="33" spans="2:8" ht="16.5" customHeight="1" x14ac:dyDescent="0.25">
      <c r="B33" s="28">
        <v>2019</v>
      </c>
      <c r="C33" s="149">
        <f>D9</f>
        <v>1938</v>
      </c>
      <c r="D33" s="149">
        <f>E9</f>
        <v>776</v>
      </c>
      <c r="E33" s="149">
        <f>F9</f>
        <v>0</v>
      </c>
      <c r="F33" s="149">
        <f>C33-D33</f>
        <v>1162</v>
      </c>
    </row>
    <row r="34" spans="2:8" ht="28.5" x14ac:dyDescent="0.25">
      <c r="B34" s="28" t="s">
        <v>53</v>
      </c>
      <c r="C34" s="149"/>
      <c r="D34" s="149"/>
      <c r="E34" s="149"/>
      <c r="F34" s="149"/>
    </row>
    <row r="35" spans="2:8" ht="17.25" customHeight="1" x14ac:dyDescent="0.25">
      <c r="B35" s="28">
        <v>2020</v>
      </c>
      <c r="C35" s="149">
        <f>D19</f>
        <v>3899</v>
      </c>
      <c r="D35" s="149">
        <f>E19</f>
        <v>961</v>
      </c>
      <c r="E35" s="149">
        <f>F19</f>
        <v>0</v>
      </c>
      <c r="F35" s="149">
        <f>C35-D35</f>
        <v>2938</v>
      </c>
      <c r="G35" s="27"/>
    </row>
    <row r="36" spans="2:8" ht="28.5" customHeight="1" x14ac:dyDescent="0.25">
      <c r="B36" s="28" t="s">
        <v>54</v>
      </c>
      <c r="C36" s="149"/>
      <c r="D36" s="149"/>
      <c r="E36" s="149"/>
      <c r="F36" s="149"/>
      <c r="G36" s="27"/>
    </row>
    <row r="37" spans="2:8" ht="16.5" customHeight="1" x14ac:dyDescent="0.25">
      <c r="B37" s="31" t="s">
        <v>16</v>
      </c>
      <c r="C37" s="32">
        <f>ROUNDDOWN(SUM(C33:C36),)</f>
        <v>5837</v>
      </c>
      <c r="D37" s="32">
        <f>ROUNDDOWN(SUM(D33:D36),)</f>
        <v>1737</v>
      </c>
      <c r="E37" s="32">
        <f>SUM(E33:E36)</f>
        <v>0</v>
      </c>
      <c r="F37" s="32">
        <f>ROUNDDOWN(SUM(F33:F36),)</f>
        <v>4100</v>
      </c>
    </row>
    <row r="38" spans="2:8" x14ac:dyDescent="0.25">
      <c r="G38" s="2"/>
    </row>
    <row r="39" spans="2:8" ht="29.25" customHeight="1" x14ac:dyDescent="0.25">
      <c r="G39" s="23"/>
    </row>
    <row r="40" spans="2:8" ht="15.75" customHeight="1" x14ac:dyDescent="0.25">
      <c r="F40" s="23"/>
    </row>
    <row r="41" spans="2:8" x14ac:dyDescent="0.25">
      <c r="H41" s="23"/>
    </row>
    <row r="42" spans="2:8" x14ac:dyDescent="0.25">
      <c r="H42" s="23"/>
    </row>
  </sheetData>
  <mergeCells count="21">
    <mergeCell ref="E33:E34"/>
    <mergeCell ref="F33:F34"/>
    <mergeCell ref="B3:B4"/>
    <mergeCell ref="B13:B14"/>
    <mergeCell ref="C13:C14"/>
    <mergeCell ref="B2:G2"/>
    <mergeCell ref="B12:G12"/>
    <mergeCell ref="B22:G22"/>
    <mergeCell ref="B19:C19"/>
    <mergeCell ref="F35:F36"/>
    <mergeCell ref="C35:C36"/>
    <mergeCell ref="D35:D36"/>
    <mergeCell ref="E35:E36"/>
    <mergeCell ref="C3:C4"/>
    <mergeCell ref="B9:C9"/>
    <mergeCell ref="B31:F31"/>
    <mergeCell ref="C33:C34"/>
    <mergeCell ref="B23:B24"/>
    <mergeCell ref="C23:C24"/>
    <mergeCell ref="B29:C29"/>
    <mergeCell ref="D33:D34"/>
  </mergeCells>
  <pageMargins left="0.511811024" right="0.511811024" top="0.78740157499999996" bottom="0.78740157499999996" header="0.31496062000000002" footer="0.31496062000000002"/>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2A8B-1FD5-4065-8E48-D097C24966CE}">
  <sheetPr>
    <tabColor theme="0" tint="-0.249977111117893"/>
  </sheetPr>
  <dimension ref="A1:Y75"/>
  <sheetViews>
    <sheetView zoomScale="80" zoomScaleNormal="80" workbookViewId="0">
      <selection activeCell="B2" sqref="B2:J2"/>
    </sheetView>
  </sheetViews>
  <sheetFormatPr defaultRowHeight="14.25" x14ac:dyDescent="0.25"/>
  <cols>
    <col min="1" max="1" width="4.140625" style="46" customWidth="1"/>
    <col min="2" max="10" width="13.5703125" style="46" customWidth="1"/>
    <col min="11" max="11" width="4.140625" style="46" customWidth="1"/>
    <col min="12" max="12" width="46.7109375" style="49" customWidth="1"/>
    <col min="13" max="13" width="25.85546875" style="49" customWidth="1"/>
    <col min="14" max="14" width="23.7109375" style="58" customWidth="1"/>
    <col min="15" max="15" width="11.85546875" style="49" customWidth="1"/>
    <col min="16" max="16" width="39.140625" style="50" customWidth="1"/>
    <col min="17" max="17" width="16.140625" style="50" customWidth="1"/>
    <col min="18" max="18" width="15.85546875" style="50" customWidth="1"/>
    <col min="19" max="19" width="19.42578125" style="49" customWidth="1"/>
    <col min="20" max="20" width="9.140625" style="49"/>
    <col min="21" max="21" width="11.5703125" style="49" bestFit="1" customWidth="1"/>
    <col min="22" max="22" width="9.140625" style="49"/>
    <col min="23" max="23" width="11.5703125" style="49" bestFit="1" customWidth="1"/>
    <col min="24" max="256" width="9.140625" style="49"/>
    <col min="257" max="257" width="4.140625" style="49" customWidth="1"/>
    <col min="258" max="266" width="13.5703125" style="49" customWidth="1"/>
    <col min="267" max="267" width="4.140625" style="49" customWidth="1"/>
    <col min="268" max="268" width="46.7109375" style="49" customWidth="1"/>
    <col min="269" max="269" width="25.85546875" style="49" customWidth="1"/>
    <col min="270" max="270" width="23.7109375" style="49" customWidth="1"/>
    <col min="271" max="271" width="11.85546875" style="49" customWidth="1"/>
    <col min="272" max="272" width="39.140625" style="49" customWidth="1"/>
    <col min="273" max="273" width="16.140625" style="49" customWidth="1"/>
    <col min="274" max="274" width="15.85546875" style="49" customWidth="1"/>
    <col min="275" max="275" width="19.42578125" style="49" customWidth="1"/>
    <col min="276" max="276" width="9.140625" style="49"/>
    <col min="277" max="277" width="11.5703125" style="49" bestFit="1" customWidth="1"/>
    <col min="278" max="278" width="9.140625" style="49"/>
    <col min="279" max="279" width="11.5703125" style="49" bestFit="1" customWidth="1"/>
    <col min="280" max="512" width="9.140625" style="49"/>
    <col min="513" max="513" width="4.140625" style="49" customWidth="1"/>
    <col min="514" max="522" width="13.5703125" style="49" customWidth="1"/>
    <col min="523" max="523" width="4.140625" style="49" customWidth="1"/>
    <col min="524" max="524" width="46.7109375" style="49" customWidth="1"/>
    <col min="525" max="525" width="25.85546875" style="49" customWidth="1"/>
    <col min="526" max="526" width="23.7109375" style="49" customWidth="1"/>
    <col min="527" max="527" width="11.85546875" style="49" customWidth="1"/>
    <col min="528" max="528" width="39.140625" style="49" customWidth="1"/>
    <col min="529" max="529" width="16.140625" style="49" customWidth="1"/>
    <col min="530" max="530" width="15.85546875" style="49" customWidth="1"/>
    <col min="531" max="531" width="19.42578125" style="49" customWidth="1"/>
    <col min="532" max="532" width="9.140625" style="49"/>
    <col min="533" max="533" width="11.5703125" style="49" bestFit="1" customWidth="1"/>
    <col min="534" max="534" width="9.140625" style="49"/>
    <col min="535" max="535" width="11.5703125" style="49" bestFit="1" customWidth="1"/>
    <col min="536" max="768" width="9.140625" style="49"/>
    <col min="769" max="769" width="4.140625" style="49" customWidth="1"/>
    <col min="770" max="778" width="13.5703125" style="49" customWidth="1"/>
    <col min="779" max="779" width="4.140625" style="49" customWidth="1"/>
    <col min="780" max="780" width="46.7109375" style="49" customWidth="1"/>
    <col min="781" max="781" width="25.85546875" style="49" customWidth="1"/>
    <col min="782" max="782" width="23.7109375" style="49" customWidth="1"/>
    <col min="783" max="783" width="11.85546875" style="49" customWidth="1"/>
    <col min="784" max="784" width="39.140625" style="49" customWidth="1"/>
    <col min="785" max="785" width="16.140625" style="49" customWidth="1"/>
    <col min="786" max="786" width="15.85546875" style="49" customWidth="1"/>
    <col min="787" max="787" width="19.42578125" style="49" customWidth="1"/>
    <col min="788" max="788" width="9.140625" style="49"/>
    <col min="789" max="789" width="11.5703125" style="49" bestFit="1" customWidth="1"/>
    <col min="790" max="790" width="9.140625" style="49"/>
    <col min="791" max="791" width="11.5703125" style="49" bestFit="1" customWidth="1"/>
    <col min="792" max="1024" width="9.140625" style="49"/>
    <col min="1025" max="1025" width="4.140625" style="49" customWidth="1"/>
    <col min="1026" max="1034" width="13.5703125" style="49" customWidth="1"/>
    <col min="1035" max="1035" width="4.140625" style="49" customWidth="1"/>
    <col min="1036" max="1036" width="46.7109375" style="49" customWidth="1"/>
    <col min="1037" max="1037" width="25.85546875" style="49" customWidth="1"/>
    <col min="1038" max="1038" width="23.7109375" style="49" customWidth="1"/>
    <col min="1039" max="1039" width="11.85546875" style="49" customWidth="1"/>
    <col min="1040" max="1040" width="39.140625" style="49" customWidth="1"/>
    <col min="1041" max="1041" width="16.140625" style="49" customWidth="1"/>
    <col min="1042" max="1042" width="15.85546875" style="49" customWidth="1"/>
    <col min="1043" max="1043" width="19.42578125" style="49" customWidth="1"/>
    <col min="1044" max="1044" width="9.140625" style="49"/>
    <col min="1045" max="1045" width="11.5703125" style="49" bestFit="1" customWidth="1"/>
    <col min="1046" max="1046" width="9.140625" style="49"/>
    <col min="1047" max="1047" width="11.5703125" style="49" bestFit="1" customWidth="1"/>
    <col min="1048" max="1280" width="9.140625" style="49"/>
    <col min="1281" max="1281" width="4.140625" style="49" customWidth="1"/>
    <col min="1282" max="1290" width="13.5703125" style="49" customWidth="1"/>
    <col min="1291" max="1291" width="4.140625" style="49" customWidth="1"/>
    <col min="1292" max="1292" width="46.7109375" style="49" customWidth="1"/>
    <col min="1293" max="1293" width="25.85546875" style="49" customWidth="1"/>
    <col min="1294" max="1294" width="23.7109375" style="49" customWidth="1"/>
    <col min="1295" max="1295" width="11.85546875" style="49" customWidth="1"/>
    <col min="1296" max="1296" width="39.140625" style="49" customWidth="1"/>
    <col min="1297" max="1297" width="16.140625" style="49" customWidth="1"/>
    <col min="1298" max="1298" width="15.85546875" style="49" customWidth="1"/>
    <col min="1299" max="1299" width="19.42578125" style="49" customWidth="1"/>
    <col min="1300" max="1300" width="9.140625" style="49"/>
    <col min="1301" max="1301" width="11.5703125" style="49" bestFit="1" customWidth="1"/>
    <col min="1302" max="1302" width="9.140625" style="49"/>
    <col min="1303" max="1303" width="11.5703125" style="49" bestFit="1" customWidth="1"/>
    <col min="1304" max="1536" width="9.140625" style="49"/>
    <col min="1537" max="1537" width="4.140625" style="49" customWidth="1"/>
    <col min="1538" max="1546" width="13.5703125" style="49" customWidth="1"/>
    <col min="1547" max="1547" width="4.140625" style="49" customWidth="1"/>
    <col min="1548" max="1548" width="46.7109375" style="49" customWidth="1"/>
    <col min="1549" max="1549" width="25.85546875" style="49" customWidth="1"/>
    <col min="1550" max="1550" width="23.7109375" style="49" customWidth="1"/>
    <col min="1551" max="1551" width="11.85546875" style="49" customWidth="1"/>
    <col min="1552" max="1552" width="39.140625" style="49" customWidth="1"/>
    <col min="1553" max="1553" width="16.140625" style="49" customWidth="1"/>
    <col min="1554" max="1554" width="15.85546875" style="49" customWidth="1"/>
    <col min="1555" max="1555" width="19.42578125" style="49" customWidth="1"/>
    <col min="1556" max="1556" width="9.140625" style="49"/>
    <col min="1557" max="1557" width="11.5703125" style="49" bestFit="1" customWidth="1"/>
    <col min="1558" max="1558" width="9.140625" style="49"/>
    <col min="1559" max="1559" width="11.5703125" style="49" bestFit="1" customWidth="1"/>
    <col min="1560" max="1792" width="9.140625" style="49"/>
    <col min="1793" max="1793" width="4.140625" style="49" customWidth="1"/>
    <col min="1794" max="1802" width="13.5703125" style="49" customWidth="1"/>
    <col min="1803" max="1803" width="4.140625" style="49" customWidth="1"/>
    <col min="1804" max="1804" width="46.7109375" style="49" customWidth="1"/>
    <col min="1805" max="1805" width="25.85546875" style="49" customWidth="1"/>
    <col min="1806" max="1806" width="23.7109375" style="49" customWidth="1"/>
    <col min="1807" max="1807" width="11.85546875" style="49" customWidth="1"/>
    <col min="1808" max="1808" width="39.140625" style="49" customWidth="1"/>
    <col min="1809" max="1809" width="16.140625" style="49" customWidth="1"/>
    <col min="1810" max="1810" width="15.85546875" style="49" customWidth="1"/>
    <col min="1811" max="1811" width="19.42578125" style="49" customWidth="1"/>
    <col min="1812" max="1812" width="9.140625" style="49"/>
    <col min="1813" max="1813" width="11.5703125" style="49" bestFit="1" customWidth="1"/>
    <col min="1814" max="1814" width="9.140625" style="49"/>
    <col min="1815" max="1815" width="11.5703125" style="49" bestFit="1" customWidth="1"/>
    <col min="1816" max="2048" width="9.140625" style="49"/>
    <col min="2049" max="2049" width="4.140625" style="49" customWidth="1"/>
    <col min="2050" max="2058" width="13.5703125" style="49" customWidth="1"/>
    <col min="2059" max="2059" width="4.140625" style="49" customWidth="1"/>
    <col min="2060" max="2060" width="46.7109375" style="49" customWidth="1"/>
    <col min="2061" max="2061" width="25.85546875" style="49" customWidth="1"/>
    <col min="2062" max="2062" width="23.7109375" style="49" customWidth="1"/>
    <col min="2063" max="2063" width="11.85546875" style="49" customWidth="1"/>
    <col min="2064" max="2064" width="39.140625" style="49" customWidth="1"/>
    <col min="2065" max="2065" width="16.140625" style="49" customWidth="1"/>
    <col min="2066" max="2066" width="15.85546875" style="49" customWidth="1"/>
    <col min="2067" max="2067" width="19.42578125" style="49" customWidth="1"/>
    <col min="2068" max="2068" width="9.140625" style="49"/>
    <col min="2069" max="2069" width="11.5703125" style="49" bestFit="1" customWidth="1"/>
    <col min="2070" max="2070" width="9.140625" style="49"/>
    <col min="2071" max="2071" width="11.5703125" style="49" bestFit="1" customWidth="1"/>
    <col min="2072" max="2304" width="9.140625" style="49"/>
    <col min="2305" max="2305" width="4.140625" style="49" customWidth="1"/>
    <col min="2306" max="2314" width="13.5703125" style="49" customWidth="1"/>
    <col min="2315" max="2315" width="4.140625" style="49" customWidth="1"/>
    <col min="2316" max="2316" width="46.7109375" style="49" customWidth="1"/>
    <col min="2317" max="2317" width="25.85546875" style="49" customWidth="1"/>
    <col min="2318" max="2318" width="23.7109375" style="49" customWidth="1"/>
    <col min="2319" max="2319" width="11.85546875" style="49" customWidth="1"/>
    <col min="2320" max="2320" width="39.140625" style="49" customWidth="1"/>
    <col min="2321" max="2321" width="16.140625" style="49" customWidth="1"/>
    <col min="2322" max="2322" width="15.85546875" style="49" customWidth="1"/>
    <col min="2323" max="2323" width="19.42578125" style="49" customWidth="1"/>
    <col min="2324" max="2324" width="9.140625" style="49"/>
    <col min="2325" max="2325" width="11.5703125" style="49" bestFit="1" customWidth="1"/>
    <col min="2326" max="2326" width="9.140625" style="49"/>
    <col min="2327" max="2327" width="11.5703125" style="49" bestFit="1" customWidth="1"/>
    <col min="2328" max="2560" width="9.140625" style="49"/>
    <col min="2561" max="2561" width="4.140625" style="49" customWidth="1"/>
    <col min="2562" max="2570" width="13.5703125" style="49" customWidth="1"/>
    <col min="2571" max="2571" width="4.140625" style="49" customWidth="1"/>
    <col min="2572" max="2572" width="46.7109375" style="49" customWidth="1"/>
    <col min="2573" max="2573" width="25.85546875" style="49" customWidth="1"/>
    <col min="2574" max="2574" width="23.7109375" style="49" customWidth="1"/>
    <col min="2575" max="2575" width="11.85546875" style="49" customWidth="1"/>
    <col min="2576" max="2576" width="39.140625" style="49" customWidth="1"/>
    <col min="2577" max="2577" width="16.140625" style="49" customWidth="1"/>
    <col min="2578" max="2578" width="15.85546875" style="49" customWidth="1"/>
    <col min="2579" max="2579" width="19.42578125" style="49" customWidth="1"/>
    <col min="2580" max="2580" width="9.140625" style="49"/>
    <col min="2581" max="2581" width="11.5703125" style="49" bestFit="1" customWidth="1"/>
    <col min="2582" max="2582" width="9.140625" style="49"/>
    <col min="2583" max="2583" width="11.5703125" style="49" bestFit="1" customWidth="1"/>
    <col min="2584" max="2816" width="9.140625" style="49"/>
    <col min="2817" max="2817" width="4.140625" style="49" customWidth="1"/>
    <col min="2818" max="2826" width="13.5703125" style="49" customWidth="1"/>
    <col min="2827" max="2827" width="4.140625" style="49" customWidth="1"/>
    <col min="2828" max="2828" width="46.7109375" style="49" customWidth="1"/>
    <col min="2829" max="2829" width="25.85546875" style="49" customWidth="1"/>
    <col min="2830" max="2830" width="23.7109375" style="49" customWidth="1"/>
    <col min="2831" max="2831" width="11.85546875" style="49" customWidth="1"/>
    <col min="2832" max="2832" width="39.140625" style="49" customWidth="1"/>
    <col min="2833" max="2833" width="16.140625" style="49" customWidth="1"/>
    <col min="2834" max="2834" width="15.85546875" style="49" customWidth="1"/>
    <col min="2835" max="2835" width="19.42578125" style="49" customWidth="1"/>
    <col min="2836" max="2836" width="9.140625" style="49"/>
    <col min="2837" max="2837" width="11.5703125" style="49" bestFit="1" customWidth="1"/>
    <col min="2838" max="2838" width="9.140625" style="49"/>
    <col min="2839" max="2839" width="11.5703125" style="49" bestFit="1" customWidth="1"/>
    <col min="2840" max="3072" width="9.140625" style="49"/>
    <col min="3073" max="3073" width="4.140625" style="49" customWidth="1"/>
    <col min="3074" max="3082" width="13.5703125" style="49" customWidth="1"/>
    <col min="3083" max="3083" width="4.140625" style="49" customWidth="1"/>
    <col min="3084" max="3084" width="46.7109375" style="49" customWidth="1"/>
    <col min="3085" max="3085" width="25.85546875" style="49" customWidth="1"/>
    <col min="3086" max="3086" width="23.7109375" style="49" customWidth="1"/>
    <col min="3087" max="3087" width="11.85546875" style="49" customWidth="1"/>
    <col min="3088" max="3088" width="39.140625" style="49" customWidth="1"/>
    <col min="3089" max="3089" width="16.140625" style="49" customWidth="1"/>
    <col min="3090" max="3090" width="15.85546875" style="49" customWidth="1"/>
    <col min="3091" max="3091" width="19.42578125" style="49" customWidth="1"/>
    <col min="3092" max="3092" width="9.140625" style="49"/>
    <col min="3093" max="3093" width="11.5703125" style="49" bestFit="1" customWidth="1"/>
    <col min="3094" max="3094" width="9.140625" style="49"/>
    <col min="3095" max="3095" width="11.5703125" style="49" bestFit="1" customWidth="1"/>
    <col min="3096" max="3328" width="9.140625" style="49"/>
    <col min="3329" max="3329" width="4.140625" style="49" customWidth="1"/>
    <col min="3330" max="3338" width="13.5703125" style="49" customWidth="1"/>
    <col min="3339" max="3339" width="4.140625" style="49" customWidth="1"/>
    <col min="3340" max="3340" width="46.7109375" style="49" customWidth="1"/>
    <col min="3341" max="3341" width="25.85546875" style="49" customWidth="1"/>
    <col min="3342" max="3342" width="23.7109375" style="49" customWidth="1"/>
    <col min="3343" max="3343" width="11.85546875" style="49" customWidth="1"/>
    <col min="3344" max="3344" width="39.140625" style="49" customWidth="1"/>
    <col min="3345" max="3345" width="16.140625" style="49" customWidth="1"/>
    <col min="3346" max="3346" width="15.85546875" style="49" customWidth="1"/>
    <col min="3347" max="3347" width="19.42578125" style="49" customWidth="1"/>
    <col min="3348" max="3348" width="9.140625" style="49"/>
    <col min="3349" max="3349" width="11.5703125" style="49" bestFit="1" customWidth="1"/>
    <col min="3350" max="3350" width="9.140625" style="49"/>
    <col min="3351" max="3351" width="11.5703125" style="49" bestFit="1" customWidth="1"/>
    <col min="3352" max="3584" width="9.140625" style="49"/>
    <col min="3585" max="3585" width="4.140625" style="49" customWidth="1"/>
    <col min="3586" max="3594" width="13.5703125" style="49" customWidth="1"/>
    <col min="3595" max="3595" width="4.140625" style="49" customWidth="1"/>
    <col min="3596" max="3596" width="46.7109375" style="49" customWidth="1"/>
    <col min="3597" max="3597" width="25.85546875" style="49" customWidth="1"/>
    <col min="3598" max="3598" width="23.7109375" style="49" customWidth="1"/>
    <col min="3599" max="3599" width="11.85546875" style="49" customWidth="1"/>
    <col min="3600" max="3600" width="39.140625" style="49" customWidth="1"/>
    <col min="3601" max="3601" width="16.140625" style="49" customWidth="1"/>
    <col min="3602" max="3602" width="15.85546875" style="49" customWidth="1"/>
    <col min="3603" max="3603" width="19.42578125" style="49" customWidth="1"/>
    <col min="3604" max="3604" width="9.140625" style="49"/>
    <col min="3605" max="3605" width="11.5703125" style="49" bestFit="1" customWidth="1"/>
    <col min="3606" max="3606" width="9.140625" style="49"/>
    <col min="3607" max="3607" width="11.5703125" style="49" bestFit="1" customWidth="1"/>
    <col min="3608" max="3840" width="9.140625" style="49"/>
    <col min="3841" max="3841" width="4.140625" style="49" customWidth="1"/>
    <col min="3842" max="3850" width="13.5703125" style="49" customWidth="1"/>
    <col min="3851" max="3851" width="4.140625" style="49" customWidth="1"/>
    <col min="3852" max="3852" width="46.7109375" style="49" customWidth="1"/>
    <col min="3853" max="3853" width="25.85546875" style="49" customWidth="1"/>
    <col min="3854" max="3854" width="23.7109375" style="49" customWidth="1"/>
    <col min="3855" max="3855" width="11.85546875" style="49" customWidth="1"/>
    <col min="3856" max="3856" width="39.140625" style="49" customWidth="1"/>
    <col min="3857" max="3857" width="16.140625" style="49" customWidth="1"/>
    <col min="3858" max="3858" width="15.85546875" style="49" customWidth="1"/>
    <col min="3859" max="3859" width="19.42578125" style="49" customWidth="1"/>
    <col min="3860" max="3860" width="9.140625" style="49"/>
    <col min="3861" max="3861" width="11.5703125" style="49" bestFit="1" customWidth="1"/>
    <col min="3862" max="3862" width="9.140625" style="49"/>
    <col min="3863" max="3863" width="11.5703125" style="49" bestFit="1" customWidth="1"/>
    <col min="3864" max="4096" width="9.140625" style="49"/>
    <col min="4097" max="4097" width="4.140625" style="49" customWidth="1"/>
    <col min="4098" max="4106" width="13.5703125" style="49" customWidth="1"/>
    <col min="4107" max="4107" width="4.140625" style="49" customWidth="1"/>
    <col min="4108" max="4108" width="46.7109375" style="49" customWidth="1"/>
    <col min="4109" max="4109" width="25.85546875" style="49" customWidth="1"/>
    <col min="4110" max="4110" width="23.7109375" style="49" customWidth="1"/>
    <col min="4111" max="4111" width="11.85546875" style="49" customWidth="1"/>
    <col min="4112" max="4112" width="39.140625" style="49" customWidth="1"/>
    <col min="4113" max="4113" width="16.140625" style="49" customWidth="1"/>
    <col min="4114" max="4114" width="15.85546875" style="49" customWidth="1"/>
    <col min="4115" max="4115" width="19.42578125" style="49" customWidth="1"/>
    <col min="4116" max="4116" width="9.140625" style="49"/>
    <col min="4117" max="4117" width="11.5703125" style="49" bestFit="1" customWidth="1"/>
    <col min="4118" max="4118" width="9.140625" style="49"/>
    <col min="4119" max="4119" width="11.5703125" style="49" bestFit="1" customWidth="1"/>
    <col min="4120" max="4352" width="9.140625" style="49"/>
    <col min="4353" max="4353" width="4.140625" style="49" customWidth="1"/>
    <col min="4354" max="4362" width="13.5703125" style="49" customWidth="1"/>
    <col min="4363" max="4363" width="4.140625" style="49" customWidth="1"/>
    <col min="4364" max="4364" width="46.7109375" style="49" customWidth="1"/>
    <col min="4365" max="4365" width="25.85546875" style="49" customWidth="1"/>
    <col min="4366" max="4366" width="23.7109375" style="49" customWidth="1"/>
    <col min="4367" max="4367" width="11.85546875" style="49" customWidth="1"/>
    <col min="4368" max="4368" width="39.140625" style="49" customWidth="1"/>
    <col min="4369" max="4369" width="16.140625" style="49" customWidth="1"/>
    <col min="4370" max="4370" width="15.85546875" style="49" customWidth="1"/>
    <col min="4371" max="4371" width="19.42578125" style="49" customWidth="1"/>
    <col min="4372" max="4372" width="9.140625" style="49"/>
    <col min="4373" max="4373" width="11.5703125" style="49" bestFit="1" customWidth="1"/>
    <col min="4374" max="4374" width="9.140625" style="49"/>
    <col min="4375" max="4375" width="11.5703125" style="49" bestFit="1" customWidth="1"/>
    <col min="4376" max="4608" width="9.140625" style="49"/>
    <col min="4609" max="4609" width="4.140625" style="49" customWidth="1"/>
    <col min="4610" max="4618" width="13.5703125" style="49" customWidth="1"/>
    <col min="4619" max="4619" width="4.140625" style="49" customWidth="1"/>
    <col min="4620" max="4620" width="46.7109375" style="49" customWidth="1"/>
    <col min="4621" max="4621" width="25.85546875" style="49" customWidth="1"/>
    <col min="4622" max="4622" width="23.7109375" style="49" customWidth="1"/>
    <col min="4623" max="4623" width="11.85546875" style="49" customWidth="1"/>
    <col min="4624" max="4624" width="39.140625" style="49" customWidth="1"/>
    <col min="4625" max="4625" width="16.140625" style="49" customWidth="1"/>
    <col min="4626" max="4626" width="15.85546875" style="49" customWidth="1"/>
    <col min="4627" max="4627" width="19.42578125" style="49" customWidth="1"/>
    <col min="4628" max="4628" width="9.140625" style="49"/>
    <col min="4629" max="4629" width="11.5703125" style="49" bestFit="1" customWidth="1"/>
    <col min="4630" max="4630" width="9.140625" style="49"/>
    <col min="4631" max="4631" width="11.5703125" style="49" bestFit="1" customWidth="1"/>
    <col min="4632" max="4864" width="9.140625" style="49"/>
    <col min="4865" max="4865" width="4.140625" style="49" customWidth="1"/>
    <col min="4866" max="4874" width="13.5703125" style="49" customWidth="1"/>
    <col min="4875" max="4875" width="4.140625" style="49" customWidth="1"/>
    <col min="4876" max="4876" width="46.7109375" style="49" customWidth="1"/>
    <col min="4877" max="4877" width="25.85546875" style="49" customWidth="1"/>
    <col min="4878" max="4878" width="23.7109375" style="49" customWidth="1"/>
    <col min="4879" max="4879" width="11.85546875" style="49" customWidth="1"/>
    <col min="4880" max="4880" width="39.140625" style="49" customWidth="1"/>
    <col min="4881" max="4881" width="16.140625" style="49" customWidth="1"/>
    <col min="4882" max="4882" width="15.85546875" style="49" customWidth="1"/>
    <col min="4883" max="4883" width="19.42578125" style="49" customWidth="1"/>
    <col min="4884" max="4884" width="9.140625" style="49"/>
    <col min="4885" max="4885" width="11.5703125" style="49" bestFit="1" customWidth="1"/>
    <col min="4886" max="4886" width="9.140625" style="49"/>
    <col min="4887" max="4887" width="11.5703125" style="49" bestFit="1" customWidth="1"/>
    <col min="4888" max="5120" width="9.140625" style="49"/>
    <col min="5121" max="5121" width="4.140625" style="49" customWidth="1"/>
    <col min="5122" max="5130" width="13.5703125" style="49" customWidth="1"/>
    <col min="5131" max="5131" width="4.140625" style="49" customWidth="1"/>
    <col min="5132" max="5132" width="46.7109375" style="49" customWidth="1"/>
    <col min="5133" max="5133" width="25.85546875" style="49" customWidth="1"/>
    <col min="5134" max="5134" width="23.7109375" style="49" customWidth="1"/>
    <col min="5135" max="5135" width="11.85546875" style="49" customWidth="1"/>
    <col min="5136" max="5136" width="39.140625" style="49" customWidth="1"/>
    <col min="5137" max="5137" width="16.140625" style="49" customWidth="1"/>
    <col min="5138" max="5138" width="15.85546875" style="49" customWidth="1"/>
    <col min="5139" max="5139" width="19.42578125" style="49" customWidth="1"/>
    <col min="5140" max="5140" width="9.140625" style="49"/>
    <col min="5141" max="5141" width="11.5703125" style="49" bestFit="1" customWidth="1"/>
    <col min="5142" max="5142" width="9.140625" style="49"/>
    <col min="5143" max="5143" width="11.5703125" style="49" bestFit="1" customWidth="1"/>
    <col min="5144" max="5376" width="9.140625" style="49"/>
    <col min="5377" max="5377" width="4.140625" style="49" customWidth="1"/>
    <col min="5378" max="5386" width="13.5703125" style="49" customWidth="1"/>
    <col min="5387" max="5387" width="4.140625" style="49" customWidth="1"/>
    <col min="5388" max="5388" width="46.7109375" style="49" customWidth="1"/>
    <col min="5389" max="5389" width="25.85546875" style="49" customWidth="1"/>
    <col min="5390" max="5390" width="23.7109375" style="49" customWidth="1"/>
    <col min="5391" max="5391" width="11.85546875" style="49" customWidth="1"/>
    <col min="5392" max="5392" width="39.140625" style="49" customWidth="1"/>
    <col min="5393" max="5393" width="16.140625" style="49" customWidth="1"/>
    <col min="5394" max="5394" width="15.85546875" style="49" customWidth="1"/>
    <col min="5395" max="5395" width="19.42578125" style="49" customWidth="1"/>
    <col min="5396" max="5396" width="9.140625" style="49"/>
    <col min="5397" max="5397" width="11.5703125" style="49" bestFit="1" customWidth="1"/>
    <col min="5398" max="5398" width="9.140625" style="49"/>
    <col min="5399" max="5399" width="11.5703125" style="49" bestFit="1" customWidth="1"/>
    <col min="5400" max="5632" width="9.140625" style="49"/>
    <col min="5633" max="5633" width="4.140625" style="49" customWidth="1"/>
    <col min="5634" max="5642" width="13.5703125" style="49" customWidth="1"/>
    <col min="5643" max="5643" width="4.140625" style="49" customWidth="1"/>
    <col min="5644" max="5644" width="46.7109375" style="49" customWidth="1"/>
    <col min="5645" max="5645" width="25.85546875" style="49" customWidth="1"/>
    <col min="5646" max="5646" width="23.7109375" style="49" customWidth="1"/>
    <col min="5647" max="5647" width="11.85546875" style="49" customWidth="1"/>
    <col min="5648" max="5648" width="39.140625" style="49" customWidth="1"/>
    <col min="5649" max="5649" width="16.140625" style="49" customWidth="1"/>
    <col min="5650" max="5650" width="15.85546875" style="49" customWidth="1"/>
    <col min="5651" max="5651" width="19.42578125" style="49" customWidth="1"/>
    <col min="5652" max="5652" width="9.140625" style="49"/>
    <col min="5653" max="5653" width="11.5703125" style="49" bestFit="1" customWidth="1"/>
    <col min="5654" max="5654" width="9.140625" style="49"/>
    <col min="5655" max="5655" width="11.5703125" style="49" bestFit="1" customWidth="1"/>
    <col min="5656" max="5888" width="9.140625" style="49"/>
    <col min="5889" max="5889" width="4.140625" style="49" customWidth="1"/>
    <col min="5890" max="5898" width="13.5703125" style="49" customWidth="1"/>
    <col min="5899" max="5899" width="4.140625" style="49" customWidth="1"/>
    <col min="5900" max="5900" width="46.7109375" style="49" customWidth="1"/>
    <col min="5901" max="5901" width="25.85546875" style="49" customWidth="1"/>
    <col min="5902" max="5902" width="23.7109375" style="49" customWidth="1"/>
    <col min="5903" max="5903" width="11.85546875" style="49" customWidth="1"/>
    <col min="5904" max="5904" width="39.140625" style="49" customWidth="1"/>
    <col min="5905" max="5905" width="16.140625" style="49" customWidth="1"/>
    <col min="5906" max="5906" width="15.85546875" style="49" customWidth="1"/>
    <col min="5907" max="5907" width="19.42578125" style="49" customWidth="1"/>
    <col min="5908" max="5908" width="9.140625" style="49"/>
    <col min="5909" max="5909" width="11.5703125" style="49" bestFit="1" customWidth="1"/>
    <col min="5910" max="5910" width="9.140625" style="49"/>
    <col min="5911" max="5911" width="11.5703125" style="49" bestFit="1" customWidth="1"/>
    <col min="5912" max="6144" width="9.140625" style="49"/>
    <col min="6145" max="6145" width="4.140625" style="49" customWidth="1"/>
    <col min="6146" max="6154" width="13.5703125" style="49" customWidth="1"/>
    <col min="6155" max="6155" width="4.140625" style="49" customWidth="1"/>
    <col min="6156" max="6156" width="46.7109375" style="49" customWidth="1"/>
    <col min="6157" max="6157" width="25.85546875" style="49" customWidth="1"/>
    <col min="6158" max="6158" width="23.7109375" style="49" customWidth="1"/>
    <col min="6159" max="6159" width="11.85546875" style="49" customWidth="1"/>
    <col min="6160" max="6160" width="39.140625" style="49" customWidth="1"/>
    <col min="6161" max="6161" width="16.140625" style="49" customWidth="1"/>
    <col min="6162" max="6162" width="15.85546875" style="49" customWidth="1"/>
    <col min="6163" max="6163" width="19.42578125" style="49" customWidth="1"/>
    <col min="6164" max="6164" width="9.140625" style="49"/>
    <col min="6165" max="6165" width="11.5703125" style="49" bestFit="1" customWidth="1"/>
    <col min="6166" max="6166" width="9.140625" style="49"/>
    <col min="6167" max="6167" width="11.5703125" style="49" bestFit="1" customWidth="1"/>
    <col min="6168" max="6400" width="9.140625" style="49"/>
    <col min="6401" max="6401" width="4.140625" style="49" customWidth="1"/>
    <col min="6402" max="6410" width="13.5703125" style="49" customWidth="1"/>
    <col min="6411" max="6411" width="4.140625" style="49" customWidth="1"/>
    <col min="6412" max="6412" width="46.7109375" style="49" customWidth="1"/>
    <col min="6413" max="6413" width="25.85546875" style="49" customWidth="1"/>
    <col min="6414" max="6414" width="23.7109375" style="49" customWidth="1"/>
    <col min="6415" max="6415" width="11.85546875" style="49" customWidth="1"/>
    <col min="6416" max="6416" width="39.140625" style="49" customWidth="1"/>
    <col min="6417" max="6417" width="16.140625" style="49" customWidth="1"/>
    <col min="6418" max="6418" width="15.85546875" style="49" customWidth="1"/>
    <col min="6419" max="6419" width="19.42578125" style="49" customWidth="1"/>
    <col min="6420" max="6420" width="9.140625" style="49"/>
    <col min="6421" max="6421" width="11.5703125" style="49" bestFit="1" customWidth="1"/>
    <col min="6422" max="6422" width="9.140625" style="49"/>
    <col min="6423" max="6423" width="11.5703125" style="49" bestFit="1" customWidth="1"/>
    <col min="6424" max="6656" width="9.140625" style="49"/>
    <col min="6657" max="6657" width="4.140625" style="49" customWidth="1"/>
    <col min="6658" max="6666" width="13.5703125" style="49" customWidth="1"/>
    <col min="6667" max="6667" width="4.140625" style="49" customWidth="1"/>
    <col min="6668" max="6668" width="46.7109375" style="49" customWidth="1"/>
    <col min="6669" max="6669" width="25.85546875" style="49" customWidth="1"/>
    <col min="6670" max="6670" width="23.7109375" style="49" customWidth="1"/>
    <col min="6671" max="6671" width="11.85546875" style="49" customWidth="1"/>
    <col min="6672" max="6672" width="39.140625" style="49" customWidth="1"/>
    <col min="6673" max="6673" width="16.140625" style="49" customWidth="1"/>
    <col min="6674" max="6674" width="15.85546875" style="49" customWidth="1"/>
    <col min="6675" max="6675" width="19.42578125" style="49" customWidth="1"/>
    <col min="6676" max="6676" width="9.140625" style="49"/>
    <col min="6677" max="6677" width="11.5703125" style="49" bestFit="1" customWidth="1"/>
    <col min="6678" max="6678" width="9.140625" style="49"/>
    <col min="6679" max="6679" width="11.5703125" style="49" bestFit="1" customWidth="1"/>
    <col min="6680" max="6912" width="9.140625" style="49"/>
    <col min="6913" max="6913" width="4.140625" style="49" customWidth="1"/>
    <col min="6914" max="6922" width="13.5703125" style="49" customWidth="1"/>
    <col min="6923" max="6923" width="4.140625" style="49" customWidth="1"/>
    <col min="6924" max="6924" width="46.7109375" style="49" customWidth="1"/>
    <col min="6925" max="6925" width="25.85546875" style="49" customWidth="1"/>
    <col min="6926" max="6926" width="23.7109375" style="49" customWidth="1"/>
    <col min="6927" max="6927" width="11.85546875" style="49" customWidth="1"/>
    <col min="6928" max="6928" width="39.140625" style="49" customWidth="1"/>
    <col min="6929" max="6929" width="16.140625" style="49" customWidth="1"/>
    <col min="6930" max="6930" width="15.85546875" style="49" customWidth="1"/>
    <col min="6931" max="6931" width="19.42578125" style="49" customWidth="1"/>
    <col min="6932" max="6932" width="9.140625" style="49"/>
    <col min="6933" max="6933" width="11.5703125" style="49" bestFit="1" customWidth="1"/>
    <col min="6934" max="6934" width="9.140625" style="49"/>
    <col min="6935" max="6935" width="11.5703125" style="49" bestFit="1" customWidth="1"/>
    <col min="6936" max="7168" width="9.140625" style="49"/>
    <col min="7169" max="7169" width="4.140625" style="49" customWidth="1"/>
    <col min="7170" max="7178" width="13.5703125" style="49" customWidth="1"/>
    <col min="7179" max="7179" width="4.140625" style="49" customWidth="1"/>
    <col min="7180" max="7180" width="46.7109375" style="49" customWidth="1"/>
    <col min="7181" max="7181" width="25.85546875" style="49" customWidth="1"/>
    <col min="7182" max="7182" width="23.7109375" style="49" customWidth="1"/>
    <col min="7183" max="7183" width="11.85546875" style="49" customWidth="1"/>
    <col min="7184" max="7184" width="39.140625" style="49" customWidth="1"/>
    <col min="7185" max="7185" width="16.140625" style="49" customWidth="1"/>
    <col min="7186" max="7186" width="15.85546875" style="49" customWidth="1"/>
    <col min="7187" max="7187" width="19.42578125" style="49" customWidth="1"/>
    <col min="7188" max="7188" width="9.140625" style="49"/>
    <col min="7189" max="7189" width="11.5703125" style="49" bestFit="1" customWidth="1"/>
    <col min="7190" max="7190" width="9.140625" style="49"/>
    <col min="7191" max="7191" width="11.5703125" style="49" bestFit="1" customWidth="1"/>
    <col min="7192" max="7424" width="9.140625" style="49"/>
    <col min="7425" max="7425" width="4.140625" style="49" customWidth="1"/>
    <col min="7426" max="7434" width="13.5703125" style="49" customWidth="1"/>
    <col min="7435" max="7435" width="4.140625" style="49" customWidth="1"/>
    <col min="7436" max="7436" width="46.7109375" style="49" customWidth="1"/>
    <col min="7437" max="7437" width="25.85546875" style="49" customWidth="1"/>
    <col min="7438" max="7438" width="23.7109375" style="49" customWidth="1"/>
    <col min="7439" max="7439" width="11.85546875" style="49" customWidth="1"/>
    <col min="7440" max="7440" width="39.140625" style="49" customWidth="1"/>
    <col min="7441" max="7441" width="16.140625" style="49" customWidth="1"/>
    <col min="7442" max="7442" width="15.85546875" style="49" customWidth="1"/>
    <col min="7443" max="7443" width="19.42578125" style="49" customWidth="1"/>
    <col min="7444" max="7444" width="9.140625" style="49"/>
    <col min="7445" max="7445" width="11.5703125" style="49" bestFit="1" customWidth="1"/>
    <col min="7446" max="7446" width="9.140625" style="49"/>
    <col min="7447" max="7447" width="11.5703125" style="49" bestFit="1" customWidth="1"/>
    <col min="7448" max="7680" width="9.140625" style="49"/>
    <col min="7681" max="7681" width="4.140625" style="49" customWidth="1"/>
    <col min="7682" max="7690" width="13.5703125" style="49" customWidth="1"/>
    <col min="7691" max="7691" width="4.140625" style="49" customWidth="1"/>
    <col min="7692" max="7692" width="46.7109375" style="49" customWidth="1"/>
    <col min="7693" max="7693" width="25.85546875" style="49" customWidth="1"/>
    <col min="7694" max="7694" width="23.7109375" style="49" customWidth="1"/>
    <col min="7695" max="7695" width="11.85546875" style="49" customWidth="1"/>
    <col min="7696" max="7696" width="39.140625" style="49" customWidth="1"/>
    <col min="7697" max="7697" width="16.140625" style="49" customWidth="1"/>
    <col min="7698" max="7698" width="15.85546875" style="49" customWidth="1"/>
    <col min="7699" max="7699" width="19.42578125" style="49" customWidth="1"/>
    <col min="7700" max="7700" width="9.140625" style="49"/>
    <col min="7701" max="7701" width="11.5703125" style="49" bestFit="1" customWidth="1"/>
    <col min="7702" max="7702" width="9.140625" style="49"/>
    <col min="7703" max="7703" width="11.5703125" style="49" bestFit="1" customWidth="1"/>
    <col min="7704" max="7936" width="9.140625" style="49"/>
    <col min="7937" max="7937" width="4.140625" style="49" customWidth="1"/>
    <col min="7938" max="7946" width="13.5703125" style="49" customWidth="1"/>
    <col min="7947" max="7947" width="4.140625" style="49" customWidth="1"/>
    <col min="7948" max="7948" width="46.7109375" style="49" customWidth="1"/>
    <col min="7949" max="7949" width="25.85546875" style="49" customWidth="1"/>
    <col min="7950" max="7950" width="23.7109375" style="49" customWidth="1"/>
    <col min="7951" max="7951" width="11.85546875" style="49" customWidth="1"/>
    <col min="7952" max="7952" width="39.140625" style="49" customWidth="1"/>
    <col min="7953" max="7953" width="16.140625" style="49" customWidth="1"/>
    <col min="7954" max="7954" width="15.85546875" style="49" customWidth="1"/>
    <col min="7955" max="7955" width="19.42578125" style="49" customWidth="1"/>
    <col min="7956" max="7956" width="9.140625" style="49"/>
    <col min="7957" max="7957" width="11.5703125" style="49" bestFit="1" customWidth="1"/>
    <col min="7958" max="7958" width="9.140625" style="49"/>
    <col min="7959" max="7959" width="11.5703125" style="49" bestFit="1" customWidth="1"/>
    <col min="7960" max="8192" width="9.140625" style="49"/>
    <col min="8193" max="8193" width="4.140625" style="49" customWidth="1"/>
    <col min="8194" max="8202" width="13.5703125" style="49" customWidth="1"/>
    <col min="8203" max="8203" width="4.140625" style="49" customWidth="1"/>
    <col min="8204" max="8204" width="46.7109375" style="49" customWidth="1"/>
    <col min="8205" max="8205" width="25.85546875" style="49" customWidth="1"/>
    <col min="8206" max="8206" width="23.7109375" style="49" customWidth="1"/>
    <col min="8207" max="8207" width="11.85546875" style="49" customWidth="1"/>
    <col min="8208" max="8208" width="39.140625" style="49" customWidth="1"/>
    <col min="8209" max="8209" width="16.140625" style="49" customWidth="1"/>
    <col min="8210" max="8210" width="15.85546875" style="49" customWidth="1"/>
    <col min="8211" max="8211" width="19.42578125" style="49" customWidth="1"/>
    <col min="8212" max="8212" width="9.140625" style="49"/>
    <col min="8213" max="8213" width="11.5703125" style="49" bestFit="1" customWidth="1"/>
    <col min="8214" max="8214" width="9.140625" style="49"/>
    <col min="8215" max="8215" width="11.5703125" style="49" bestFit="1" customWidth="1"/>
    <col min="8216" max="8448" width="9.140625" style="49"/>
    <col min="8449" max="8449" width="4.140625" style="49" customWidth="1"/>
    <col min="8450" max="8458" width="13.5703125" style="49" customWidth="1"/>
    <col min="8459" max="8459" width="4.140625" style="49" customWidth="1"/>
    <col min="8460" max="8460" width="46.7109375" style="49" customWidth="1"/>
    <col min="8461" max="8461" width="25.85546875" style="49" customWidth="1"/>
    <col min="8462" max="8462" width="23.7109375" style="49" customWidth="1"/>
    <col min="8463" max="8463" width="11.85546875" style="49" customWidth="1"/>
    <col min="8464" max="8464" width="39.140625" style="49" customWidth="1"/>
    <col min="8465" max="8465" width="16.140625" style="49" customWidth="1"/>
    <col min="8466" max="8466" width="15.85546875" style="49" customWidth="1"/>
    <col min="8467" max="8467" width="19.42578125" style="49" customWidth="1"/>
    <col min="8468" max="8468" width="9.140625" style="49"/>
    <col min="8469" max="8469" width="11.5703125" style="49" bestFit="1" customWidth="1"/>
    <col min="8470" max="8470" width="9.140625" style="49"/>
    <col min="8471" max="8471" width="11.5703125" style="49" bestFit="1" customWidth="1"/>
    <col min="8472" max="8704" width="9.140625" style="49"/>
    <col min="8705" max="8705" width="4.140625" style="49" customWidth="1"/>
    <col min="8706" max="8714" width="13.5703125" style="49" customWidth="1"/>
    <col min="8715" max="8715" width="4.140625" style="49" customWidth="1"/>
    <col min="8716" max="8716" width="46.7109375" style="49" customWidth="1"/>
    <col min="8717" max="8717" width="25.85546875" style="49" customWidth="1"/>
    <col min="8718" max="8718" width="23.7109375" style="49" customWidth="1"/>
    <col min="8719" max="8719" width="11.85546875" style="49" customWidth="1"/>
    <col min="8720" max="8720" width="39.140625" style="49" customWidth="1"/>
    <col min="8721" max="8721" width="16.140625" style="49" customWidth="1"/>
    <col min="8722" max="8722" width="15.85546875" style="49" customWidth="1"/>
    <col min="8723" max="8723" width="19.42578125" style="49" customWidth="1"/>
    <col min="8724" max="8724" width="9.140625" style="49"/>
    <col min="8725" max="8725" width="11.5703125" style="49" bestFit="1" customWidth="1"/>
    <col min="8726" max="8726" width="9.140625" style="49"/>
    <col min="8727" max="8727" width="11.5703125" style="49" bestFit="1" customWidth="1"/>
    <col min="8728" max="8960" width="9.140625" style="49"/>
    <col min="8961" max="8961" width="4.140625" style="49" customWidth="1"/>
    <col min="8962" max="8970" width="13.5703125" style="49" customWidth="1"/>
    <col min="8971" max="8971" width="4.140625" style="49" customWidth="1"/>
    <col min="8972" max="8972" width="46.7109375" style="49" customWidth="1"/>
    <col min="8973" max="8973" width="25.85546875" style="49" customWidth="1"/>
    <col min="8974" max="8974" width="23.7109375" style="49" customWidth="1"/>
    <col min="8975" max="8975" width="11.85546875" style="49" customWidth="1"/>
    <col min="8976" max="8976" width="39.140625" style="49" customWidth="1"/>
    <col min="8977" max="8977" width="16.140625" style="49" customWidth="1"/>
    <col min="8978" max="8978" width="15.85546875" style="49" customWidth="1"/>
    <col min="8979" max="8979" width="19.42578125" style="49" customWidth="1"/>
    <col min="8980" max="8980" width="9.140625" style="49"/>
    <col min="8981" max="8981" width="11.5703125" style="49" bestFit="1" customWidth="1"/>
    <col min="8982" max="8982" width="9.140625" style="49"/>
    <col min="8983" max="8983" width="11.5703125" style="49" bestFit="1" customWidth="1"/>
    <col min="8984" max="9216" width="9.140625" style="49"/>
    <col min="9217" max="9217" width="4.140625" style="49" customWidth="1"/>
    <col min="9218" max="9226" width="13.5703125" style="49" customWidth="1"/>
    <col min="9227" max="9227" width="4.140625" style="49" customWidth="1"/>
    <col min="9228" max="9228" width="46.7109375" style="49" customWidth="1"/>
    <col min="9229" max="9229" width="25.85546875" style="49" customWidth="1"/>
    <col min="9230" max="9230" width="23.7109375" style="49" customWidth="1"/>
    <col min="9231" max="9231" width="11.85546875" style="49" customWidth="1"/>
    <col min="9232" max="9232" width="39.140625" style="49" customWidth="1"/>
    <col min="9233" max="9233" width="16.140625" style="49" customWidth="1"/>
    <col min="9234" max="9234" width="15.85546875" style="49" customWidth="1"/>
    <col min="9235" max="9235" width="19.42578125" style="49" customWidth="1"/>
    <col min="9236" max="9236" width="9.140625" style="49"/>
    <col min="9237" max="9237" width="11.5703125" style="49" bestFit="1" customWidth="1"/>
    <col min="9238" max="9238" width="9.140625" style="49"/>
    <col min="9239" max="9239" width="11.5703125" style="49" bestFit="1" customWidth="1"/>
    <col min="9240" max="9472" width="9.140625" style="49"/>
    <col min="9473" max="9473" width="4.140625" style="49" customWidth="1"/>
    <col min="9474" max="9482" width="13.5703125" style="49" customWidth="1"/>
    <col min="9483" max="9483" width="4.140625" style="49" customWidth="1"/>
    <col min="9484" max="9484" width="46.7109375" style="49" customWidth="1"/>
    <col min="9485" max="9485" width="25.85546875" style="49" customWidth="1"/>
    <col min="9486" max="9486" width="23.7109375" style="49" customWidth="1"/>
    <col min="9487" max="9487" width="11.85546875" style="49" customWidth="1"/>
    <col min="9488" max="9488" width="39.140625" style="49" customWidth="1"/>
    <col min="9489" max="9489" width="16.140625" style="49" customWidth="1"/>
    <col min="9490" max="9490" width="15.85546875" style="49" customWidth="1"/>
    <col min="9491" max="9491" width="19.42578125" style="49" customWidth="1"/>
    <col min="9492" max="9492" width="9.140625" style="49"/>
    <col min="9493" max="9493" width="11.5703125" style="49" bestFit="1" customWidth="1"/>
    <col min="9494" max="9494" width="9.140625" style="49"/>
    <col min="9495" max="9495" width="11.5703125" style="49" bestFit="1" customWidth="1"/>
    <col min="9496" max="9728" width="9.140625" style="49"/>
    <col min="9729" max="9729" width="4.140625" style="49" customWidth="1"/>
    <col min="9730" max="9738" width="13.5703125" style="49" customWidth="1"/>
    <col min="9739" max="9739" width="4.140625" style="49" customWidth="1"/>
    <col min="9740" max="9740" width="46.7109375" style="49" customWidth="1"/>
    <col min="9741" max="9741" width="25.85546875" style="49" customWidth="1"/>
    <col min="9742" max="9742" width="23.7109375" style="49" customWidth="1"/>
    <col min="9743" max="9743" width="11.85546875" style="49" customWidth="1"/>
    <col min="9744" max="9744" width="39.140625" style="49" customWidth="1"/>
    <col min="9745" max="9745" width="16.140625" style="49" customWidth="1"/>
    <col min="9746" max="9746" width="15.85546875" style="49" customWidth="1"/>
    <col min="9747" max="9747" width="19.42578125" style="49" customWidth="1"/>
    <col min="9748" max="9748" width="9.140625" style="49"/>
    <col min="9749" max="9749" width="11.5703125" style="49" bestFit="1" customWidth="1"/>
    <col min="9750" max="9750" width="9.140625" style="49"/>
    <col min="9751" max="9751" width="11.5703125" style="49" bestFit="1" customWidth="1"/>
    <col min="9752" max="9984" width="9.140625" style="49"/>
    <col min="9985" max="9985" width="4.140625" style="49" customWidth="1"/>
    <col min="9986" max="9994" width="13.5703125" style="49" customWidth="1"/>
    <col min="9995" max="9995" width="4.140625" style="49" customWidth="1"/>
    <col min="9996" max="9996" width="46.7109375" style="49" customWidth="1"/>
    <col min="9997" max="9997" width="25.85546875" style="49" customWidth="1"/>
    <col min="9998" max="9998" width="23.7109375" style="49" customWidth="1"/>
    <col min="9999" max="9999" width="11.85546875" style="49" customWidth="1"/>
    <col min="10000" max="10000" width="39.140625" style="49" customWidth="1"/>
    <col min="10001" max="10001" width="16.140625" style="49" customWidth="1"/>
    <col min="10002" max="10002" width="15.85546875" style="49" customWidth="1"/>
    <col min="10003" max="10003" width="19.42578125" style="49" customWidth="1"/>
    <col min="10004" max="10004" width="9.140625" style="49"/>
    <col min="10005" max="10005" width="11.5703125" style="49" bestFit="1" customWidth="1"/>
    <col min="10006" max="10006" width="9.140625" style="49"/>
    <col min="10007" max="10007" width="11.5703125" style="49" bestFit="1" customWidth="1"/>
    <col min="10008" max="10240" width="9.140625" style="49"/>
    <col min="10241" max="10241" width="4.140625" style="49" customWidth="1"/>
    <col min="10242" max="10250" width="13.5703125" style="49" customWidth="1"/>
    <col min="10251" max="10251" width="4.140625" style="49" customWidth="1"/>
    <col min="10252" max="10252" width="46.7109375" style="49" customWidth="1"/>
    <col min="10253" max="10253" width="25.85546875" style="49" customWidth="1"/>
    <col min="10254" max="10254" width="23.7109375" style="49" customWidth="1"/>
    <col min="10255" max="10255" width="11.85546875" style="49" customWidth="1"/>
    <col min="10256" max="10256" width="39.140625" style="49" customWidth="1"/>
    <col min="10257" max="10257" width="16.140625" style="49" customWidth="1"/>
    <col min="10258" max="10258" width="15.85546875" style="49" customWidth="1"/>
    <col min="10259" max="10259" width="19.42578125" style="49" customWidth="1"/>
    <col min="10260" max="10260" width="9.140625" style="49"/>
    <col min="10261" max="10261" width="11.5703125" style="49" bestFit="1" customWidth="1"/>
    <col min="10262" max="10262" width="9.140625" style="49"/>
    <col min="10263" max="10263" width="11.5703125" style="49" bestFit="1" customWidth="1"/>
    <col min="10264" max="10496" width="9.140625" style="49"/>
    <col min="10497" max="10497" width="4.140625" style="49" customWidth="1"/>
    <col min="10498" max="10506" width="13.5703125" style="49" customWidth="1"/>
    <col min="10507" max="10507" width="4.140625" style="49" customWidth="1"/>
    <col min="10508" max="10508" width="46.7109375" style="49" customWidth="1"/>
    <col min="10509" max="10509" width="25.85546875" style="49" customWidth="1"/>
    <col min="10510" max="10510" width="23.7109375" style="49" customWidth="1"/>
    <col min="10511" max="10511" width="11.85546875" style="49" customWidth="1"/>
    <col min="10512" max="10512" width="39.140625" style="49" customWidth="1"/>
    <col min="10513" max="10513" width="16.140625" style="49" customWidth="1"/>
    <col min="10514" max="10514" width="15.85546875" style="49" customWidth="1"/>
    <col min="10515" max="10515" width="19.42578125" style="49" customWidth="1"/>
    <col min="10516" max="10516" width="9.140625" style="49"/>
    <col min="10517" max="10517" width="11.5703125" style="49" bestFit="1" customWidth="1"/>
    <col min="10518" max="10518" width="9.140625" style="49"/>
    <col min="10519" max="10519" width="11.5703125" style="49" bestFit="1" customWidth="1"/>
    <col min="10520" max="10752" width="9.140625" style="49"/>
    <col min="10753" max="10753" width="4.140625" style="49" customWidth="1"/>
    <col min="10754" max="10762" width="13.5703125" style="49" customWidth="1"/>
    <col min="10763" max="10763" width="4.140625" style="49" customWidth="1"/>
    <col min="10764" max="10764" width="46.7109375" style="49" customWidth="1"/>
    <col min="10765" max="10765" width="25.85546875" style="49" customWidth="1"/>
    <col min="10766" max="10766" width="23.7109375" style="49" customWidth="1"/>
    <col min="10767" max="10767" width="11.85546875" style="49" customWidth="1"/>
    <col min="10768" max="10768" width="39.140625" style="49" customWidth="1"/>
    <col min="10769" max="10769" width="16.140625" style="49" customWidth="1"/>
    <col min="10770" max="10770" width="15.85546875" style="49" customWidth="1"/>
    <col min="10771" max="10771" width="19.42578125" style="49" customWidth="1"/>
    <col min="10772" max="10772" width="9.140625" style="49"/>
    <col min="10773" max="10773" width="11.5703125" style="49" bestFit="1" customWidth="1"/>
    <col min="10774" max="10774" width="9.140625" style="49"/>
    <col min="10775" max="10775" width="11.5703125" style="49" bestFit="1" customWidth="1"/>
    <col min="10776" max="11008" width="9.140625" style="49"/>
    <col min="11009" max="11009" width="4.140625" style="49" customWidth="1"/>
    <col min="11010" max="11018" width="13.5703125" style="49" customWidth="1"/>
    <col min="11019" max="11019" width="4.140625" style="49" customWidth="1"/>
    <col min="11020" max="11020" width="46.7109375" style="49" customWidth="1"/>
    <col min="11021" max="11021" width="25.85546875" style="49" customWidth="1"/>
    <col min="11022" max="11022" width="23.7109375" style="49" customWidth="1"/>
    <col min="11023" max="11023" width="11.85546875" style="49" customWidth="1"/>
    <col min="11024" max="11024" width="39.140625" style="49" customWidth="1"/>
    <col min="11025" max="11025" width="16.140625" style="49" customWidth="1"/>
    <col min="11026" max="11026" width="15.85546875" style="49" customWidth="1"/>
    <col min="11027" max="11027" width="19.42578125" style="49" customWidth="1"/>
    <col min="11028" max="11028" width="9.140625" style="49"/>
    <col min="11029" max="11029" width="11.5703125" style="49" bestFit="1" customWidth="1"/>
    <col min="11030" max="11030" width="9.140625" style="49"/>
    <col min="11031" max="11031" width="11.5703125" style="49" bestFit="1" customWidth="1"/>
    <col min="11032" max="11264" width="9.140625" style="49"/>
    <col min="11265" max="11265" width="4.140625" style="49" customWidth="1"/>
    <col min="11266" max="11274" width="13.5703125" style="49" customWidth="1"/>
    <col min="11275" max="11275" width="4.140625" style="49" customWidth="1"/>
    <col min="11276" max="11276" width="46.7109375" style="49" customWidth="1"/>
    <col min="11277" max="11277" width="25.85546875" style="49" customWidth="1"/>
    <col min="11278" max="11278" width="23.7109375" style="49" customWidth="1"/>
    <col min="11279" max="11279" width="11.85546875" style="49" customWidth="1"/>
    <col min="11280" max="11280" width="39.140625" style="49" customWidth="1"/>
    <col min="11281" max="11281" width="16.140625" style="49" customWidth="1"/>
    <col min="11282" max="11282" width="15.85546875" style="49" customWidth="1"/>
    <col min="11283" max="11283" width="19.42578125" style="49" customWidth="1"/>
    <col min="11284" max="11284" width="9.140625" style="49"/>
    <col min="11285" max="11285" width="11.5703125" style="49" bestFit="1" customWidth="1"/>
    <col min="11286" max="11286" width="9.140625" style="49"/>
    <col min="11287" max="11287" width="11.5703125" style="49" bestFit="1" customWidth="1"/>
    <col min="11288" max="11520" width="9.140625" style="49"/>
    <col min="11521" max="11521" width="4.140625" style="49" customWidth="1"/>
    <col min="11522" max="11530" width="13.5703125" style="49" customWidth="1"/>
    <col min="11531" max="11531" width="4.140625" style="49" customWidth="1"/>
    <col min="11532" max="11532" width="46.7109375" style="49" customWidth="1"/>
    <col min="11533" max="11533" width="25.85546875" style="49" customWidth="1"/>
    <col min="11534" max="11534" width="23.7109375" style="49" customWidth="1"/>
    <col min="11535" max="11535" width="11.85546875" style="49" customWidth="1"/>
    <col min="11536" max="11536" width="39.140625" style="49" customWidth="1"/>
    <col min="11537" max="11537" width="16.140625" style="49" customWidth="1"/>
    <col min="11538" max="11538" width="15.85546875" style="49" customWidth="1"/>
    <col min="11539" max="11539" width="19.42578125" style="49" customWidth="1"/>
    <col min="11540" max="11540" width="9.140625" style="49"/>
    <col min="11541" max="11541" width="11.5703125" style="49" bestFit="1" customWidth="1"/>
    <col min="11542" max="11542" width="9.140625" style="49"/>
    <col min="11543" max="11543" width="11.5703125" style="49" bestFit="1" customWidth="1"/>
    <col min="11544" max="11776" width="9.140625" style="49"/>
    <col min="11777" max="11777" width="4.140625" style="49" customWidth="1"/>
    <col min="11778" max="11786" width="13.5703125" style="49" customWidth="1"/>
    <col min="11787" max="11787" width="4.140625" style="49" customWidth="1"/>
    <col min="11788" max="11788" width="46.7109375" style="49" customWidth="1"/>
    <col min="11789" max="11789" width="25.85546875" style="49" customWidth="1"/>
    <col min="11790" max="11790" width="23.7109375" style="49" customWidth="1"/>
    <col min="11791" max="11791" width="11.85546875" style="49" customWidth="1"/>
    <col min="11792" max="11792" width="39.140625" style="49" customWidth="1"/>
    <col min="11793" max="11793" width="16.140625" style="49" customWidth="1"/>
    <col min="11794" max="11794" width="15.85546875" style="49" customWidth="1"/>
    <col min="11795" max="11795" width="19.42578125" style="49" customWidth="1"/>
    <col min="11796" max="11796" width="9.140625" style="49"/>
    <col min="11797" max="11797" width="11.5703125" style="49" bestFit="1" customWidth="1"/>
    <col min="11798" max="11798" width="9.140625" style="49"/>
    <col min="11799" max="11799" width="11.5703125" style="49" bestFit="1" customWidth="1"/>
    <col min="11800" max="12032" width="9.140625" style="49"/>
    <col min="12033" max="12033" width="4.140625" style="49" customWidth="1"/>
    <col min="12034" max="12042" width="13.5703125" style="49" customWidth="1"/>
    <col min="12043" max="12043" width="4.140625" style="49" customWidth="1"/>
    <col min="12044" max="12044" width="46.7109375" style="49" customWidth="1"/>
    <col min="12045" max="12045" width="25.85546875" style="49" customWidth="1"/>
    <col min="12046" max="12046" width="23.7109375" style="49" customWidth="1"/>
    <col min="12047" max="12047" width="11.85546875" style="49" customWidth="1"/>
    <col min="12048" max="12048" width="39.140625" style="49" customWidth="1"/>
    <col min="12049" max="12049" width="16.140625" style="49" customWidth="1"/>
    <col min="12050" max="12050" width="15.85546875" style="49" customWidth="1"/>
    <col min="12051" max="12051" width="19.42578125" style="49" customWidth="1"/>
    <col min="12052" max="12052" width="9.140625" style="49"/>
    <col min="12053" max="12053" width="11.5703125" style="49" bestFit="1" customWidth="1"/>
    <col min="12054" max="12054" width="9.140625" style="49"/>
    <col min="12055" max="12055" width="11.5703125" style="49" bestFit="1" customWidth="1"/>
    <col min="12056" max="12288" width="9.140625" style="49"/>
    <col min="12289" max="12289" width="4.140625" style="49" customWidth="1"/>
    <col min="12290" max="12298" width="13.5703125" style="49" customWidth="1"/>
    <col min="12299" max="12299" width="4.140625" style="49" customWidth="1"/>
    <col min="12300" max="12300" width="46.7109375" style="49" customWidth="1"/>
    <col min="12301" max="12301" width="25.85546875" style="49" customWidth="1"/>
    <col min="12302" max="12302" width="23.7109375" style="49" customWidth="1"/>
    <col min="12303" max="12303" width="11.85546875" style="49" customWidth="1"/>
    <col min="12304" max="12304" width="39.140625" style="49" customWidth="1"/>
    <col min="12305" max="12305" width="16.140625" style="49" customWidth="1"/>
    <col min="12306" max="12306" width="15.85546875" style="49" customWidth="1"/>
    <col min="12307" max="12307" width="19.42578125" style="49" customWidth="1"/>
    <col min="12308" max="12308" width="9.140625" style="49"/>
    <col min="12309" max="12309" width="11.5703125" style="49" bestFit="1" customWidth="1"/>
    <col min="12310" max="12310" width="9.140625" style="49"/>
    <col min="12311" max="12311" width="11.5703125" style="49" bestFit="1" customWidth="1"/>
    <col min="12312" max="12544" width="9.140625" style="49"/>
    <col min="12545" max="12545" width="4.140625" style="49" customWidth="1"/>
    <col min="12546" max="12554" width="13.5703125" style="49" customWidth="1"/>
    <col min="12555" max="12555" width="4.140625" style="49" customWidth="1"/>
    <col min="12556" max="12556" width="46.7109375" style="49" customWidth="1"/>
    <col min="12557" max="12557" width="25.85546875" style="49" customWidth="1"/>
    <col min="12558" max="12558" width="23.7109375" style="49" customWidth="1"/>
    <col min="12559" max="12559" width="11.85546875" style="49" customWidth="1"/>
    <col min="12560" max="12560" width="39.140625" style="49" customWidth="1"/>
    <col min="12561" max="12561" width="16.140625" style="49" customWidth="1"/>
    <col min="12562" max="12562" width="15.85546875" style="49" customWidth="1"/>
    <col min="12563" max="12563" width="19.42578125" style="49" customWidth="1"/>
    <col min="12564" max="12564" width="9.140625" style="49"/>
    <col min="12565" max="12565" width="11.5703125" style="49" bestFit="1" customWidth="1"/>
    <col min="12566" max="12566" width="9.140625" style="49"/>
    <col min="12567" max="12567" width="11.5703125" style="49" bestFit="1" customWidth="1"/>
    <col min="12568" max="12800" width="9.140625" style="49"/>
    <col min="12801" max="12801" width="4.140625" style="49" customWidth="1"/>
    <col min="12802" max="12810" width="13.5703125" style="49" customWidth="1"/>
    <col min="12811" max="12811" width="4.140625" style="49" customWidth="1"/>
    <col min="12812" max="12812" width="46.7109375" style="49" customWidth="1"/>
    <col min="12813" max="12813" width="25.85546875" style="49" customWidth="1"/>
    <col min="12814" max="12814" width="23.7109375" style="49" customWidth="1"/>
    <col min="12815" max="12815" width="11.85546875" style="49" customWidth="1"/>
    <col min="12816" max="12816" width="39.140625" style="49" customWidth="1"/>
    <col min="12817" max="12817" width="16.140625" style="49" customWidth="1"/>
    <col min="12818" max="12818" width="15.85546875" style="49" customWidth="1"/>
    <col min="12819" max="12819" width="19.42578125" style="49" customWidth="1"/>
    <col min="12820" max="12820" width="9.140625" style="49"/>
    <col min="12821" max="12821" width="11.5703125" style="49" bestFit="1" customWidth="1"/>
    <col min="12822" max="12822" width="9.140625" style="49"/>
    <col min="12823" max="12823" width="11.5703125" style="49" bestFit="1" customWidth="1"/>
    <col min="12824" max="13056" width="9.140625" style="49"/>
    <col min="13057" max="13057" width="4.140625" style="49" customWidth="1"/>
    <col min="13058" max="13066" width="13.5703125" style="49" customWidth="1"/>
    <col min="13067" max="13067" width="4.140625" style="49" customWidth="1"/>
    <col min="13068" max="13068" width="46.7109375" style="49" customWidth="1"/>
    <col min="13069" max="13069" width="25.85546875" style="49" customWidth="1"/>
    <col min="13070" max="13070" width="23.7109375" style="49" customWidth="1"/>
    <col min="13071" max="13071" width="11.85546875" style="49" customWidth="1"/>
    <col min="13072" max="13072" width="39.140625" style="49" customWidth="1"/>
    <col min="13073" max="13073" width="16.140625" style="49" customWidth="1"/>
    <col min="13074" max="13074" width="15.85546875" style="49" customWidth="1"/>
    <col min="13075" max="13075" width="19.42578125" style="49" customWidth="1"/>
    <col min="13076" max="13076" width="9.140625" style="49"/>
    <col min="13077" max="13077" width="11.5703125" style="49" bestFit="1" customWidth="1"/>
    <col min="13078" max="13078" width="9.140625" style="49"/>
    <col min="13079" max="13079" width="11.5703125" style="49" bestFit="1" customWidth="1"/>
    <col min="13080" max="13312" width="9.140625" style="49"/>
    <col min="13313" max="13313" width="4.140625" style="49" customWidth="1"/>
    <col min="13314" max="13322" width="13.5703125" style="49" customWidth="1"/>
    <col min="13323" max="13323" width="4.140625" style="49" customWidth="1"/>
    <col min="13324" max="13324" width="46.7109375" style="49" customWidth="1"/>
    <col min="13325" max="13325" width="25.85546875" style="49" customWidth="1"/>
    <col min="13326" max="13326" width="23.7109375" style="49" customWidth="1"/>
    <col min="13327" max="13327" width="11.85546875" style="49" customWidth="1"/>
    <col min="13328" max="13328" width="39.140625" style="49" customWidth="1"/>
    <col min="13329" max="13329" width="16.140625" style="49" customWidth="1"/>
    <col min="13330" max="13330" width="15.85546875" style="49" customWidth="1"/>
    <col min="13331" max="13331" width="19.42578125" style="49" customWidth="1"/>
    <col min="13332" max="13332" width="9.140625" style="49"/>
    <col min="13333" max="13333" width="11.5703125" style="49" bestFit="1" customWidth="1"/>
    <col min="13334" max="13334" width="9.140625" style="49"/>
    <col min="13335" max="13335" width="11.5703125" style="49" bestFit="1" customWidth="1"/>
    <col min="13336" max="13568" width="9.140625" style="49"/>
    <col min="13569" max="13569" width="4.140625" style="49" customWidth="1"/>
    <col min="13570" max="13578" width="13.5703125" style="49" customWidth="1"/>
    <col min="13579" max="13579" width="4.140625" style="49" customWidth="1"/>
    <col min="13580" max="13580" width="46.7109375" style="49" customWidth="1"/>
    <col min="13581" max="13581" width="25.85546875" style="49" customWidth="1"/>
    <col min="13582" max="13582" width="23.7109375" style="49" customWidth="1"/>
    <col min="13583" max="13583" width="11.85546875" style="49" customWidth="1"/>
    <col min="13584" max="13584" width="39.140625" style="49" customWidth="1"/>
    <col min="13585" max="13585" width="16.140625" style="49" customWidth="1"/>
    <col min="13586" max="13586" width="15.85546875" style="49" customWidth="1"/>
    <col min="13587" max="13587" width="19.42578125" style="49" customWidth="1"/>
    <col min="13588" max="13588" width="9.140625" style="49"/>
    <col min="13589" max="13589" width="11.5703125" style="49" bestFit="1" customWidth="1"/>
    <col min="13590" max="13590" width="9.140625" style="49"/>
    <col min="13591" max="13591" width="11.5703125" style="49" bestFit="1" customWidth="1"/>
    <col min="13592" max="13824" width="9.140625" style="49"/>
    <col min="13825" max="13825" width="4.140625" style="49" customWidth="1"/>
    <col min="13826" max="13834" width="13.5703125" style="49" customWidth="1"/>
    <col min="13835" max="13835" width="4.140625" style="49" customWidth="1"/>
    <col min="13836" max="13836" width="46.7109375" style="49" customWidth="1"/>
    <col min="13837" max="13837" width="25.85546875" style="49" customWidth="1"/>
    <col min="13838" max="13838" width="23.7109375" style="49" customWidth="1"/>
    <col min="13839" max="13839" width="11.85546875" style="49" customWidth="1"/>
    <col min="13840" max="13840" width="39.140625" style="49" customWidth="1"/>
    <col min="13841" max="13841" width="16.140625" style="49" customWidth="1"/>
    <col min="13842" max="13842" width="15.85546875" style="49" customWidth="1"/>
    <col min="13843" max="13843" width="19.42578125" style="49" customWidth="1"/>
    <col min="13844" max="13844" width="9.140625" style="49"/>
    <col min="13845" max="13845" width="11.5703125" style="49" bestFit="1" customWidth="1"/>
    <col min="13846" max="13846" width="9.140625" style="49"/>
    <col min="13847" max="13847" width="11.5703125" style="49" bestFit="1" customWidth="1"/>
    <col min="13848" max="14080" width="9.140625" style="49"/>
    <col min="14081" max="14081" width="4.140625" style="49" customWidth="1"/>
    <col min="14082" max="14090" width="13.5703125" style="49" customWidth="1"/>
    <col min="14091" max="14091" width="4.140625" style="49" customWidth="1"/>
    <col min="14092" max="14092" width="46.7109375" style="49" customWidth="1"/>
    <col min="14093" max="14093" width="25.85546875" style="49" customWidth="1"/>
    <col min="14094" max="14094" width="23.7109375" style="49" customWidth="1"/>
    <col min="14095" max="14095" width="11.85546875" style="49" customWidth="1"/>
    <col min="14096" max="14096" width="39.140625" style="49" customWidth="1"/>
    <col min="14097" max="14097" width="16.140625" style="49" customWidth="1"/>
    <col min="14098" max="14098" width="15.85546875" style="49" customWidth="1"/>
    <col min="14099" max="14099" width="19.42578125" style="49" customWidth="1"/>
    <col min="14100" max="14100" width="9.140625" style="49"/>
    <col min="14101" max="14101" width="11.5703125" style="49" bestFit="1" customWidth="1"/>
    <col min="14102" max="14102" width="9.140625" style="49"/>
    <col min="14103" max="14103" width="11.5703125" style="49" bestFit="1" customWidth="1"/>
    <col min="14104" max="14336" width="9.140625" style="49"/>
    <col min="14337" max="14337" width="4.140625" style="49" customWidth="1"/>
    <col min="14338" max="14346" width="13.5703125" style="49" customWidth="1"/>
    <col min="14347" max="14347" width="4.140625" style="49" customWidth="1"/>
    <col min="14348" max="14348" width="46.7109375" style="49" customWidth="1"/>
    <col min="14349" max="14349" width="25.85546875" style="49" customWidth="1"/>
    <col min="14350" max="14350" width="23.7109375" style="49" customWidth="1"/>
    <col min="14351" max="14351" width="11.85546875" style="49" customWidth="1"/>
    <col min="14352" max="14352" width="39.140625" style="49" customWidth="1"/>
    <col min="14353" max="14353" width="16.140625" style="49" customWidth="1"/>
    <col min="14354" max="14354" width="15.85546875" style="49" customWidth="1"/>
    <col min="14355" max="14355" width="19.42578125" style="49" customWidth="1"/>
    <col min="14356" max="14356" width="9.140625" style="49"/>
    <col min="14357" max="14357" width="11.5703125" style="49" bestFit="1" customWidth="1"/>
    <col min="14358" max="14358" width="9.140625" style="49"/>
    <col min="14359" max="14359" width="11.5703125" style="49" bestFit="1" customWidth="1"/>
    <col min="14360" max="14592" width="9.140625" style="49"/>
    <col min="14593" max="14593" width="4.140625" style="49" customWidth="1"/>
    <col min="14594" max="14602" width="13.5703125" style="49" customWidth="1"/>
    <col min="14603" max="14603" width="4.140625" style="49" customWidth="1"/>
    <col min="14604" max="14604" width="46.7109375" style="49" customWidth="1"/>
    <col min="14605" max="14605" width="25.85546875" style="49" customWidth="1"/>
    <col min="14606" max="14606" width="23.7109375" style="49" customWidth="1"/>
    <col min="14607" max="14607" width="11.85546875" style="49" customWidth="1"/>
    <col min="14608" max="14608" width="39.140625" style="49" customWidth="1"/>
    <col min="14609" max="14609" width="16.140625" style="49" customWidth="1"/>
    <col min="14610" max="14610" width="15.85546875" style="49" customWidth="1"/>
    <col min="14611" max="14611" width="19.42578125" style="49" customWidth="1"/>
    <col min="14612" max="14612" width="9.140625" style="49"/>
    <col min="14613" max="14613" width="11.5703125" style="49" bestFit="1" customWidth="1"/>
    <col min="14614" max="14614" width="9.140625" style="49"/>
    <col min="14615" max="14615" width="11.5703125" style="49" bestFit="1" customWidth="1"/>
    <col min="14616" max="14848" width="9.140625" style="49"/>
    <col min="14849" max="14849" width="4.140625" style="49" customWidth="1"/>
    <col min="14850" max="14858" width="13.5703125" style="49" customWidth="1"/>
    <col min="14859" max="14859" width="4.140625" style="49" customWidth="1"/>
    <col min="14860" max="14860" width="46.7109375" style="49" customWidth="1"/>
    <col min="14861" max="14861" width="25.85546875" style="49" customWidth="1"/>
    <col min="14862" max="14862" width="23.7109375" style="49" customWidth="1"/>
    <col min="14863" max="14863" width="11.85546875" style="49" customWidth="1"/>
    <col min="14864" max="14864" width="39.140625" style="49" customWidth="1"/>
    <col min="14865" max="14865" width="16.140625" style="49" customWidth="1"/>
    <col min="14866" max="14866" width="15.85546875" style="49" customWidth="1"/>
    <col min="14867" max="14867" width="19.42578125" style="49" customWidth="1"/>
    <col min="14868" max="14868" width="9.140625" style="49"/>
    <col min="14869" max="14869" width="11.5703125" style="49" bestFit="1" customWidth="1"/>
    <col min="14870" max="14870" width="9.140625" style="49"/>
    <col min="14871" max="14871" width="11.5703125" style="49" bestFit="1" customWidth="1"/>
    <col min="14872" max="15104" width="9.140625" style="49"/>
    <col min="15105" max="15105" width="4.140625" style="49" customWidth="1"/>
    <col min="15106" max="15114" width="13.5703125" style="49" customWidth="1"/>
    <col min="15115" max="15115" width="4.140625" style="49" customWidth="1"/>
    <col min="15116" max="15116" width="46.7109375" style="49" customWidth="1"/>
    <col min="15117" max="15117" width="25.85546875" style="49" customWidth="1"/>
    <col min="15118" max="15118" width="23.7109375" style="49" customWidth="1"/>
    <col min="15119" max="15119" width="11.85546875" style="49" customWidth="1"/>
    <col min="15120" max="15120" width="39.140625" style="49" customWidth="1"/>
    <col min="15121" max="15121" width="16.140625" style="49" customWidth="1"/>
    <col min="15122" max="15122" width="15.85546875" style="49" customWidth="1"/>
    <col min="15123" max="15123" width="19.42578125" style="49" customWidth="1"/>
    <col min="15124" max="15124" width="9.140625" style="49"/>
    <col min="15125" max="15125" width="11.5703125" style="49" bestFit="1" customWidth="1"/>
    <col min="15126" max="15126" width="9.140625" style="49"/>
    <col min="15127" max="15127" width="11.5703125" style="49" bestFit="1" customWidth="1"/>
    <col min="15128" max="15360" width="9.140625" style="49"/>
    <col min="15361" max="15361" width="4.140625" style="49" customWidth="1"/>
    <col min="15362" max="15370" width="13.5703125" style="49" customWidth="1"/>
    <col min="15371" max="15371" width="4.140625" style="49" customWidth="1"/>
    <col min="15372" max="15372" width="46.7109375" style="49" customWidth="1"/>
    <col min="15373" max="15373" width="25.85546875" style="49" customWidth="1"/>
    <col min="15374" max="15374" width="23.7109375" style="49" customWidth="1"/>
    <col min="15375" max="15375" width="11.85546875" style="49" customWidth="1"/>
    <col min="15376" max="15376" width="39.140625" style="49" customWidth="1"/>
    <col min="15377" max="15377" width="16.140625" style="49" customWidth="1"/>
    <col min="15378" max="15378" width="15.85546875" style="49" customWidth="1"/>
    <col min="15379" max="15379" width="19.42578125" style="49" customWidth="1"/>
    <col min="15380" max="15380" width="9.140625" style="49"/>
    <col min="15381" max="15381" width="11.5703125" style="49" bestFit="1" customWidth="1"/>
    <col min="15382" max="15382" width="9.140625" style="49"/>
    <col min="15383" max="15383" width="11.5703125" style="49" bestFit="1" customWidth="1"/>
    <col min="15384" max="15616" width="9.140625" style="49"/>
    <col min="15617" max="15617" width="4.140625" style="49" customWidth="1"/>
    <col min="15618" max="15626" width="13.5703125" style="49" customWidth="1"/>
    <col min="15627" max="15627" width="4.140625" style="49" customWidth="1"/>
    <col min="15628" max="15628" width="46.7109375" style="49" customWidth="1"/>
    <col min="15629" max="15629" width="25.85546875" style="49" customWidth="1"/>
    <col min="15630" max="15630" width="23.7109375" style="49" customWidth="1"/>
    <col min="15631" max="15631" width="11.85546875" style="49" customWidth="1"/>
    <col min="15632" max="15632" width="39.140625" style="49" customWidth="1"/>
    <col min="15633" max="15633" width="16.140625" style="49" customWidth="1"/>
    <col min="15634" max="15634" width="15.85546875" style="49" customWidth="1"/>
    <col min="15635" max="15635" width="19.42578125" style="49" customWidth="1"/>
    <col min="15636" max="15636" width="9.140625" style="49"/>
    <col min="15637" max="15637" width="11.5703125" style="49" bestFit="1" customWidth="1"/>
    <col min="15638" max="15638" width="9.140625" style="49"/>
    <col min="15639" max="15639" width="11.5703125" style="49" bestFit="1" customWidth="1"/>
    <col min="15640" max="15872" width="9.140625" style="49"/>
    <col min="15873" max="15873" width="4.140625" style="49" customWidth="1"/>
    <col min="15874" max="15882" width="13.5703125" style="49" customWidth="1"/>
    <col min="15883" max="15883" width="4.140625" style="49" customWidth="1"/>
    <col min="15884" max="15884" width="46.7109375" style="49" customWidth="1"/>
    <col min="15885" max="15885" width="25.85546875" style="49" customWidth="1"/>
    <col min="15886" max="15886" width="23.7109375" style="49" customWidth="1"/>
    <col min="15887" max="15887" width="11.85546875" style="49" customWidth="1"/>
    <col min="15888" max="15888" width="39.140625" style="49" customWidth="1"/>
    <col min="15889" max="15889" width="16.140625" style="49" customWidth="1"/>
    <col min="15890" max="15890" width="15.85546875" style="49" customWidth="1"/>
    <col min="15891" max="15891" width="19.42578125" style="49" customWidth="1"/>
    <col min="15892" max="15892" width="9.140625" style="49"/>
    <col min="15893" max="15893" width="11.5703125" style="49" bestFit="1" customWidth="1"/>
    <col min="15894" max="15894" width="9.140625" style="49"/>
    <col min="15895" max="15895" width="11.5703125" style="49" bestFit="1" customWidth="1"/>
    <col min="15896" max="16128" width="9.140625" style="49"/>
    <col min="16129" max="16129" width="4.140625" style="49" customWidth="1"/>
    <col min="16130" max="16138" width="13.5703125" style="49" customWidth="1"/>
    <col min="16139" max="16139" width="4.140625" style="49" customWidth="1"/>
    <col min="16140" max="16140" width="46.7109375" style="49" customWidth="1"/>
    <col min="16141" max="16141" width="25.85546875" style="49" customWidth="1"/>
    <col min="16142" max="16142" width="23.7109375" style="49" customWidth="1"/>
    <col min="16143" max="16143" width="11.85546875" style="49" customWidth="1"/>
    <col min="16144" max="16144" width="39.140625" style="49" customWidth="1"/>
    <col min="16145" max="16145" width="16.140625" style="49" customWidth="1"/>
    <col min="16146" max="16146" width="15.85546875" style="49" customWidth="1"/>
    <col min="16147" max="16147" width="19.42578125" style="49" customWidth="1"/>
    <col min="16148" max="16148" width="9.140625" style="49"/>
    <col min="16149" max="16149" width="11.5703125" style="49" bestFit="1" customWidth="1"/>
    <col min="16150" max="16150" width="9.140625" style="49"/>
    <col min="16151" max="16151" width="11.5703125" style="49" bestFit="1" customWidth="1"/>
    <col min="16152" max="16384" width="9.140625" style="49"/>
  </cols>
  <sheetData>
    <row r="1" spans="2:23" ht="7.9" customHeight="1" x14ac:dyDescent="0.25">
      <c r="L1" s="47"/>
      <c r="M1" s="47"/>
      <c r="N1" s="48"/>
    </row>
    <row r="2" spans="2:23" x14ac:dyDescent="0.25">
      <c r="B2" s="170" t="s">
        <v>64</v>
      </c>
      <c r="C2" s="170"/>
      <c r="D2" s="170"/>
      <c r="E2" s="170"/>
      <c r="F2" s="170"/>
      <c r="G2" s="170"/>
      <c r="H2" s="170"/>
      <c r="I2" s="170"/>
      <c r="J2" s="170"/>
      <c r="L2" s="170" t="s">
        <v>65</v>
      </c>
      <c r="M2" s="170"/>
      <c r="N2" s="170"/>
      <c r="P2" s="148" t="s">
        <v>66</v>
      </c>
      <c r="Q2" s="148"/>
      <c r="R2" s="148"/>
      <c r="S2" s="148"/>
    </row>
    <row r="3" spans="2:23" ht="13.5" customHeight="1" x14ac:dyDescent="0.25">
      <c r="B3" s="51"/>
      <c r="C3" s="51"/>
      <c r="D3" s="51"/>
      <c r="E3" s="51"/>
      <c r="F3" s="51"/>
      <c r="G3" s="51"/>
      <c r="H3" s="51"/>
      <c r="I3" s="51"/>
      <c r="J3" s="51"/>
      <c r="L3" s="52" t="s">
        <v>67</v>
      </c>
      <c r="M3" s="26" t="s">
        <v>68</v>
      </c>
      <c r="N3" s="26" t="s">
        <v>69</v>
      </c>
      <c r="P3" s="53"/>
      <c r="Q3" s="53"/>
      <c r="R3" s="53"/>
      <c r="S3" s="53"/>
    </row>
    <row r="4" spans="2:23" ht="15" customHeight="1" x14ac:dyDescent="0.25">
      <c r="B4" s="51"/>
      <c r="C4" s="51"/>
      <c r="D4" s="51"/>
      <c r="E4" s="51"/>
      <c r="F4" s="51"/>
      <c r="G4" s="51"/>
      <c r="H4" s="51"/>
      <c r="I4" s="51"/>
      <c r="J4" s="51"/>
      <c r="L4" s="54" t="s">
        <v>70</v>
      </c>
      <c r="M4" s="29">
        <v>0.94</v>
      </c>
      <c r="N4" s="29" t="s">
        <v>71</v>
      </c>
      <c r="P4" s="148" t="s">
        <v>72</v>
      </c>
      <c r="Q4" s="148"/>
      <c r="R4" s="148"/>
      <c r="S4" s="148"/>
      <c r="U4" s="53"/>
      <c r="V4" s="53"/>
      <c r="W4" s="53"/>
    </row>
    <row r="5" spans="2:23" ht="15.75" x14ac:dyDescent="0.25">
      <c r="B5" s="170" t="s">
        <v>73</v>
      </c>
      <c r="C5" s="170"/>
      <c r="D5" s="170"/>
      <c r="E5" s="170"/>
      <c r="F5" s="170"/>
      <c r="G5" s="170"/>
      <c r="H5" s="170"/>
      <c r="I5" s="170"/>
      <c r="J5" s="170"/>
      <c r="L5" s="55" t="s">
        <v>74</v>
      </c>
      <c r="M5" s="56">
        <v>6.7000000000000002E-4</v>
      </c>
      <c r="N5" s="29" t="s">
        <v>75</v>
      </c>
      <c r="P5" s="52" t="s">
        <v>76</v>
      </c>
      <c r="Q5" s="26">
        <v>2019</v>
      </c>
      <c r="R5" s="26">
        <v>2020</v>
      </c>
      <c r="S5" s="26" t="s">
        <v>77</v>
      </c>
      <c r="U5" s="53"/>
      <c r="V5" s="53"/>
      <c r="W5" s="53"/>
    </row>
    <row r="6" spans="2:23" ht="28.5" x14ac:dyDescent="0.25">
      <c r="B6" s="21" t="s">
        <v>15</v>
      </c>
      <c r="C6" s="21" t="s">
        <v>26</v>
      </c>
      <c r="D6" s="26" t="s">
        <v>27</v>
      </c>
      <c r="E6" s="21" t="s">
        <v>28</v>
      </c>
      <c r="F6" s="21" t="s">
        <v>29</v>
      </c>
      <c r="G6" s="21" t="s">
        <v>30</v>
      </c>
      <c r="H6" s="21" t="s">
        <v>78</v>
      </c>
      <c r="I6" s="21" t="s">
        <v>24</v>
      </c>
      <c r="J6" s="26" t="s">
        <v>16</v>
      </c>
      <c r="L6" s="55" t="s">
        <v>79</v>
      </c>
      <c r="M6" s="56">
        <v>0.77</v>
      </c>
      <c r="N6" s="29" t="s">
        <v>71</v>
      </c>
      <c r="P6" s="11" t="s">
        <v>26</v>
      </c>
      <c r="Q6" s="14">
        <f>SUMIFS('Animal Data - Santa Lúcia'!$H$5:$H$26,'Animal Data - Santa Lúcia'!$I$5:$I$26,'BE - Santa Lúcia'!$P6,'Animal Data - Santa Lúcia'!$G$5:$G$26,'BE - Santa Lúcia'!Q$5)</f>
        <v>0</v>
      </c>
      <c r="R6" s="14">
        <f>SUMIFS('Animal Data - Santa Lúcia'!$H$5:$H$26,'Animal Data - Santa Lúcia'!$I$5:$I$26,'BE - Santa Lúcia'!$P6,'Animal Data - Santa Lúcia'!$G$5:$G$26,'BE - Santa Lúcia'!R$5)</f>
        <v>0</v>
      </c>
      <c r="S6" s="13">
        <f t="shared" ref="S6:S12" si="0">AVERAGE(Q6:R6)</f>
        <v>0</v>
      </c>
      <c r="U6" s="53"/>
      <c r="V6" s="53"/>
      <c r="W6" s="53"/>
    </row>
    <row r="7" spans="2:23" ht="15.75" x14ac:dyDescent="0.25">
      <c r="B7" s="19">
        <v>2019</v>
      </c>
      <c r="C7" s="13">
        <f>$M$7*$M$5*$M$4*$M$6*$M$22*$Q$24*$Q$42*$M$8</f>
        <v>0</v>
      </c>
      <c r="D7" s="13">
        <f>$M$7*$M$5*$M$4*$M$6*$M$22*$Q$25*$Q$43*$M$8</f>
        <v>0</v>
      </c>
      <c r="E7" s="13">
        <f>$M$7*$M$5*$M$4*$M$6*$M$22*$Q$26*$Q$44*$M$8</f>
        <v>0</v>
      </c>
      <c r="F7" s="13">
        <f>$M$7*$M$5*$M$4*$M$6*$M$22*$Q$27*$Q$45*$M$8</f>
        <v>0</v>
      </c>
      <c r="G7" s="13">
        <f>$M$7*$M$5*$M$4*$M$6*$M$39*$Q$28*$Q$46*$M$8</f>
        <v>0</v>
      </c>
      <c r="H7" s="13">
        <f>$M$7*$M$5*$M$4*$M$6*$M$39*$Q$29*$Q$47*$M$8</f>
        <v>0</v>
      </c>
      <c r="I7" s="57">
        <f>$M$7*$M$5*$M$4*$M$6*$M$39*$Q$30*$Q$48*$M$8</f>
        <v>452.15487346077401</v>
      </c>
      <c r="J7" s="13">
        <f>SUM(C7:I7)</f>
        <v>452.15487346077401</v>
      </c>
      <c r="L7" s="55" t="s">
        <v>80</v>
      </c>
      <c r="M7" s="56">
        <v>28</v>
      </c>
      <c r="N7" s="29" t="s">
        <v>81</v>
      </c>
      <c r="P7" s="11" t="s">
        <v>27</v>
      </c>
      <c r="Q7" s="14">
        <f>SUMIFS('Animal Data - Santa Lúcia'!$H$5:$H$26,'Animal Data - Santa Lúcia'!$I$5:$I$26,'BE - Santa Lúcia'!$P7,'Animal Data - Santa Lúcia'!$G$5:$G$26,'BE - Santa Lúcia'!Q$5)</f>
        <v>0</v>
      </c>
      <c r="R7" s="14">
        <f>SUMIFS('Animal Data - Santa Lúcia'!$H$5:$H$26,'Animal Data - Santa Lúcia'!$I$5:$I$26,'BE - Santa Lúcia'!$P7,'Animal Data - Santa Lúcia'!$G$5:$G$26,'BE - Santa Lúcia'!R$5)</f>
        <v>0</v>
      </c>
      <c r="S7" s="13">
        <f t="shared" si="0"/>
        <v>0</v>
      </c>
      <c r="U7" s="53"/>
      <c r="V7" s="53"/>
      <c r="W7" s="53"/>
    </row>
    <row r="8" spans="2:23" ht="28.5" x14ac:dyDescent="0.25">
      <c r="B8" s="19">
        <v>2020</v>
      </c>
      <c r="C8" s="13">
        <f>$M$7*$M$5*$M$4*$M$6*$M$22*$R$24*$R$42*$M$8</f>
        <v>0</v>
      </c>
      <c r="D8" s="13">
        <f>$M$7*$M$5*$M$4*$M$6*$M$22*$R$25*$R$43*$M$8</f>
        <v>0</v>
      </c>
      <c r="E8" s="13">
        <f>$M$7*$M$5*$M$4*$M$6*$M$22*$R$26*$R$44*$M$8</f>
        <v>0</v>
      </c>
      <c r="F8" s="13">
        <f>$M$7*$M$5*$M$4*$M$6*$M$22*$R$27*$R$45*$M$8</f>
        <v>0</v>
      </c>
      <c r="G8" s="13">
        <f>$M$7*$M$5*$M$4*$M$6*$M$39*$R$28*$R$46*$M$8</f>
        <v>0</v>
      </c>
      <c r="H8" s="13">
        <f>$M$7*$M$5*$M$4*$M$6*$M$39*$R$29*$R$47*$M$8</f>
        <v>0</v>
      </c>
      <c r="I8" s="57">
        <f>$M$7*$M$5*$M$4*$M$6*$M$39*$R$30*$R$48*$M$8</f>
        <v>1728.3039278008412</v>
      </c>
      <c r="J8" s="13">
        <f>SUM(C8:I8)</f>
        <v>1728.3039278008412</v>
      </c>
      <c r="L8" s="55" t="s">
        <v>82</v>
      </c>
      <c r="M8" s="56">
        <v>1</v>
      </c>
      <c r="N8" s="29" t="s">
        <v>71</v>
      </c>
      <c r="P8" s="11" t="s">
        <v>28</v>
      </c>
      <c r="Q8" s="14">
        <f>SUMIFS('Animal Data - Santa Lúcia'!$H$5:$H$26,'Animal Data - Santa Lúcia'!$I$5:$I$26,'BE - Santa Lúcia'!$P8,'Animal Data - Santa Lúcia'!$G$5:$G$26,'BE - Santa Lúcia'!Q$5)</f>
        <v>0</v>
      </c>
      <c r="R8" s="14">
        <f>SUMIFS('Animal Data - Santa Lúcia'!$H$5:$H$26,'Animal Data - Santa Lúcia'!$I$5:$I$26,'BE - Santa Lúcia'!$P8,'Animal Data - Santa Lúcia'!$G$5:$G$26,'BE - Santa Lúcia'!R$5)</f>
        <v>0</v>
      </c>
      <c r="S8" s="13">
        <f t="shared" si="0"/>
        <v>0</v>
      </c>
      <c r="U8" s="53"/>
      <c r="V8" s="53"/>
      <c r="W8" s="53"/>
    </row>
    <row r="9" spans="2:23" x14ac:dyDescent="0.25">
      <c r="B9" s="43" t="s">
        <v>16</v>
      </c>
      <c r="C9" s="13">
        <f t="shared" ref="C9:J9" si="1">SUM(C7:C8)</f>
        <v>0</v>
      </c>
      <c r="D9" s="13">
        <f t="shared" si="1"/>
        <v>0</v>
      </c>
      <c r="E9" s="13">
        <f t="shared" si="1"/>
        <v>0</v>
      </c>
      <c r="F9" s="13">
        <f t="shared" si="1"/>
        <v>0</v>
      </c>
      <c r="G9" s="13">
        <f t="shared" si="1"/>
        <v>0</v>
      </c>
      <c r="H9" s="13">
        <f t="shared" si="1"/>
        <v>0</v>
      </c>
      <c r="I9" s="13">
        <f t="shared" si="1"/>
        <v>2180.458801261615</v>
      </c>
      <c r="J9" s="13">
        <f t="shared" si="1"/>
        <v>2180.458801261615</v>
      </c>
      <c r="P9" s="11" t="s">
        <v>29</v>
      </c>
      <c r="Q9" s="14">
        <f>SUMIFS('Animal Data - Santa Lúcia'!$H$5:$H$26,'Animal Data - Santa Lúcia'!$I$5:$I$26,'BE - Santa Lúcia'!$P9,'Animal Data - Santa Lúcia'!$G$5:$G$26,'BE - Santa Lúcia'!Q$5)</f>
        <v>0</v>
      </c>
      <c r="R9" s="14">
        <f>SUMIFS('Animal Data - Santa Lúcia'!$H$5:$H$26,'Animal Data - Santa Lúcia'!$I$5:$I$26,'BE - Santa Lúcia'!$P9,'Animal Data - Santa Lúcia'!$G$5:$G$26,'BE - Santa Lúcia'!R$5)</f>
        <v>0</v>
      </c>
      <c r="S9" s="13">
        <f t="shared" si="0"/>
        <v>0</v>
      </c>
      <c r="U9" s="53"/>
      <c r="V9" s="53"/>
      <c r="W9" s="53"/>
    </row>
    <row r="10" spans="2:23" x14ac:dyDescent="0.25">
      <c r="B10" s="53"/>
      <c r="C10" s="53"/>
      <c r="D10" s="53"/>
      <c r="E10" s="53"/>
      <c r="F10" s="53"/>
      <c r="G10" s="53"/>
      <c r="H10" s="53"/>
      <c r="I10" s="53"/>
      <c r="J10" s="53"/>
      <c r="L10" s="170" t="s">
        <v>83</v>
      </c>
      <c r="M10" s="170"/>
      <c r="N10" s="170"/>
      <c r="P10" s="11" t="s">
        <v>30</v>
      </c>
      <c r="Q10" s="14">
        <f>SUMIFS('Animal Data - Santa Lúcia'!$H$5:$H$26,'Animal Data - Santa Lúcia'!$I$5:$I$26,'BE - Santa Lúcia'!$P10,'Animal Data - Santa Lúcia'!$G$5:$G$26,'BE - Santa Lúcia'!Q$5)</f>
        <v>0</v>
      </c>
      <c r="R10" s="14">
        <f>SUMIFS('Animal Data - Santa Lúcia'!$H$5:$H$26,'Animal Data - Santa Lúcia'!$I$5:$I$26,'BE - Santa Lúcia'!$P10,'Animal Data - Santa Lúcia'!$G$5:$G$26,'BE - Santa Lúcia'!R$5)</f>
        <v>0</v>
      </c>
      <c r="S10" s="13">
        <f t="shared" si="0"/>
        <v>0</v>
      </c>
      <c r="U10" s="53"/>
      <c r="V10" s="53"/>
      <c r="W10" s="53"/>
    </row>
    <row r="11" spans="2:23" x14ac:dyDescent="0.25">
      <c r="C11" s="53"/>
      <c r="D11" s="53"/>
      <c r="E11" s="53"/>
      <c r="F11" s="53"/>
      <c r="G11" s="53"/>
      <c r="H11" s="53"/>
      <c r="I11" s="53"/>
      <c r="J11" s="53"/>
      <c r="L11" s="170" t="s">
        <v>84</v>
      </c>
      <c r="M11" s="170"/>
      <c r="N11" s="170"/>
      <c r="P11" s="11" t="s">
        <v>78</v>
      </c>
      <c r="Q11" s="14">
        <f>SUMIFS('Animal Data - Santa Lúcia'!$H$5:$H$26,'Animal Data - Santa Lúcia'!$I$5:$I$26,'BE - Santa Lúcia'!$P11,'Animal Data - Santa Lúcia'!$G$5:$G$26,'BE - Santa Lúcia'!Q$5)</f>
        <v>0</v>
      </c>
      <c r="R11" s="14">
        <f>SUMIFS('Animal Data - Santa Lúcia'!$H$5:$H$26,'Animal Data - Santa Lúcia'!$I$5:$I$26,'BE - Santa Lúcia'!$P11,'Animal Data - Santa Lúcia'!$G$5:$G$26,'BE - Santa Lúcia'!R$5)</f>
        <v>0</v>
      </c>
      <c r="S11" s="13">
        <f t="shared" si="0"/>
        <v>0</v>
      </c>
      <c r="U11" s="53"/>
      <c r="V11" s="53"/>
      <c r="W11" s="53"/>
    </row>
    <row r="12" spans="2:23" x14ac:dyDescent="0.25">
      <c r="C12" s="53"/>
      <c r="D12" s="53"/>
      <c r="E12" s="53"/>
      <c r="F12" s="53"/>
      <c r="G12" s="53"/>
      <c r="H12" s="53"/>
      <c r="I12" s="53"/>
      <c r="J12" s="53"/>
      <c r="L12" s="52" t="s">
        <v>67</v>
      </c>
      <c r="M12" s="26" t="s">
        <v>68</v>
      </c>
      <c r="N12" s="26" t="s">
        <v>69</v>
      </c>
      <c r="P12" s="11" t="s">
        <v>24</v>
      </c>
      <c r="Q12" s="14">
        <f>SUMIFS('Animal Data - Santa Lúcia'!$H$5:$H$26,'Animal Data - Santa Lúcia'!$I$5:$I$26,'BE - Santa Lúcia'!$P12,'Animal Data - Santa Lúcia'!$G$5:$G$26,'BE - Santa Lúcia'!Q$5)</f>
        <v>1879</v>
      </c>
      <c r="R12" s="14">
        <f>SUMIFS('Animal Data - Santa Lúcia'!$H$5:$H$26,'Animal Data - Santa Lúcia'!$I$5:$I$26,'BE - Santa Lúcia'!$P12,'Animal Data - Santa Lúcia'!$G$5:$G$26,'BE - Santa Lúcia'!R$5)</f>
        <v>5662</v>
      </c>
      <c r="S12" s="13">
        <f t="shared" si="0"/>
        <v>3770.5</v>
      </c>
      <c r="U12" s="53"/>
      <c r="V12" s="53"/>
      <c r="W12" s="53"/>
    </row>
    <row r="13" spans="2:23" ht="15.75" x14ac:dyDescent="0.25">
      <c r="B13" s="53"/>
      <c r="C13" s="53"/>
      <c r="D13" s="53"/>
      <c r="E13" s="53"/>
      <c r="F13" s="53"/>
      <c r="G13" s="53"/>
      <c r="H13" s="53"/>
      <c r="I13" s="53"/>
      <c r="J13" s="53"/>
      <c r="L13" s="170" t="s">
        <v>85</v>
      </c>
      <c r="M13" s="170"/>
      <c r="N13" s="170"/>
      <c r="P13" s="148" t="s">
        <v>86</v>
      </c>
      <c r="Q13" s="148"/>
      <c r="R13" s="148"/>
      <c r="S13" s="148"/>
      <c r="U13" s="53"/>
      <c r="V13" s="53"/>
      <c r="W13" s="53"/>
    </row>
    <row r="14" spans="2:23" x14ac:dyDescent="0.25">
      <c r="B14" s="53"/>
      <c r="C14" s="53"/>
      <c r="D14" s="53"/>
      <c r="E14" s="53"/>
      <c r="F14" s="53"/>
      <c r="G14" s="53"/>
      <c r="H14" s="53"/>
      <c r="I14" s="53"/>
      <c r="J14" s="53"/>
      <c r="L14" s="59" t="s">
        <v>87</v>
      </c>
      <c r="M14" s="29">
        <v>0.5</v>
      </c>
      <c r="N14" s="29" t="s">
        <v>88</v>
      </c>
      <c r="P14" s="52" t="s">
        <v>76</v>
      </c>
      <c r="Q14" s="26">
        <v>2019</v>
      </c>
      <c r="R14" s="26">
        <v>2020</v>
      </c>
      <c r="S14" s="26" t="s">
        <v>77</v>
      </c>
      <c r="U14" s="53"/>
      <c r="V14" s="53"/>
      <c r="W14" s="53"/>
    </row>
    <row r="15" spans="2:23" x14ac:dyDescent="0.25">
      <c r="B15" s="53"/>
      <c r="C15" s="53"/>
      <c r="D15" s="53"/>
      <c r="E15" s="53"/>
      <c r="F15" s="53"/>
      <c r="G15" s="53"/>
      <c r="H15" s="53"/>
      <c r="I15" s="53"/>
      <c r="J15" s="53"/>
      <c r="L15" s="59" t="s">
        <v>89</v>
      </c>
      <c r="M15" s="29">
        <v>0.46</v>
      </c>
      <c r="N15" s="29" t="s">
        <v>88</v>
      </c>
      <c r="P15" s="11" t="s">
        <v>26</v>
      </c>
      <c r="Q15" s="14">
        <f>'Animal Data - Santa Lúcia'!D30</f>
        <v>0</v>
      </c>
      <c r="R15" s="14">
        <f>'Animal Data - Santa Lúcia'!E30</f>
        <v>0</v>
      </c>
      <c r="S15" s="13">
        <f t="shared" ref="S15:S21" si="2">AVERAGE(Q15:R15)</f>
        <v>0</v>
      </c>
      <c r="U15" s="53"/>
      <c r="V15" s="53"/>
      <c r="W15" s="53"/>
    </row>
    <row r="16" spans="2:23" x14ac:dyDescent="0.25">
      <c r="B16" s="53"/>
      <c r="C16" s="53"/>
      <c r="D16" s="53"/>
      <c r="E16" s="53"/>
      <c r="F16" s="53"/>
      <c r="G16" s="53"/>
      <c r="H16" s="53"/>
      <c r="I16" s="53"/>
      <c r="J16" s="53"/>
      <c r="L16" s="59" t="s">
        <v>90</v>
      </c>
      <c r="M16" s="29">
        <v>0.5</v>
      </c>
      <c r="N16" s="29" t="s">
        <v>88</v>
      </c>
      <c r="P16" s="11" t="s">
        <v>27</v>
      </c>
      <c r="Q16" s="14">
        <f>'Animal Data - Santa Lúcia'!D31</f>
        <v>0</v>
      </c>
      <c r="R16" s="14">
        <f>'Animal Data - Santa Lúcia'!E31</f>
        <v>0</v>
      </c>
      <c r="S16" s="13">
        <f t="shared" si="2"/>
        <v>0</v>
      </c>
      <c r="U16" s="53"/>
      <c r="V16" s="53"/>
      <c r="W16" s="53"/>
    </row>
    <row r="17" spans="2:23" x14ac:dyDescent="0.25">
      <c r="B17" s="53"/>
      <c r="C17" s="53"/>
      <c r="D17" s="53"/>
      <c r="E17" s="53"/>
      <c r="F17" s="53"/>
      <c r="G17" s="53"/>
      <c r="H17" s="53"/>
      <c r="I17" s="53"/>
      <c r="J17" s="53"/>
      <c r="L17" s="59" t="s">
        <v>91</v>
      </c>
      <c r="M17" s="29">
        <v>0.3</v>
      </c>
      <c r="N17" s="29" t="s">
        <v>88</v>
      </c>
      <c r="P17" s="11" t="s">
        <v>56</v>
      </c>
      <c r="Q17" s="14">
        <f>'Animal Data - Santa Lúcia'!D32</f>
        <v>0</v>
      </c>
      <c r="R17" s="14">
        <f>'Animal Data - Santa Lúcia'!E32</f>
        <v>0</v>
      </c>
      <c r="S17" s="13">
        <f t="shared" si="2"/>
        <v>0</v>
      </c>
      <c r="U17" s="53"/>
      <c r="V17" s="53"/>
      <c r="W17" s="53"/>
    </row>
    <row r="18" spans="2:23" x14ac:dyDescent="0.25">
      <c r="B18" s="53"/>
      <c r="C18" s="53"/>
      <c r="D18" s="53"/>
      <c r="E18" s="53"/>
      <c r="F18" s="53"/>
      <c r="G18" s="53"/>
      <c r="H18" s="53"/>
      <c r="I18" s="53"/>
      <c r="J18" s="53"/>
      <c r="L18" s="170" t="s">
        <v>92</v>
      </c>
      <c r="M18" s="170"/>
      <c r="N18" s="170"/>
      <c r="P18" s="11" t="s">
        <v>93</v>
      </c>
      <c r="Q18" s="14">
        <f>'Animal Data - Santa Lúcia'!D33</f>
        <v>0</v>
      </c>
      <c r="R18" s="14">
        <f>'Animal Data - Santa Lúcia'!E33</f>
        <v>0</v>
      </c>
      <c r="S18" s="13">
        <f t="shared" si="2"/>
        <v>0</v>
      </c>
      <c r="U18" s="53"/>
      <c r="V18" s="53"/>
      <c r="W18" s="53"/>
    </row>
    <row r="19" spans="2:23" ht="15.75" x14ac:dyDescent="0.25">
      <c r="B19" s="53"/>
      <c r="C19" s="53"/>
      <c r="D19" s="53"/>
      <c r="E19" s="53"/>
      <c r="F19" s="53"/>
      <c r="G19" s="53"/>
      <c r="H19" s="53"/>
      <c r="I19" s="53"/>
      <c r="J19" s="53"/>
      <c r="L19" s="59" t="s">
        <v>87</v>
      </c>
      <c r="M19" s="29">
        <v>0.48</v>
      </c>
      <c r="N19" s="29" t="s">
        <v>94</v>
      </c>
      <c r="P19" s="11" t="s">
        <v>30</v>
      </c>
      <c r="Q19" s="14">
        <f>'Animal Data - Santa Lúcia'!D34</f>
        <v>0</v>
      </c>
      <c r="R19" s="14">
        <f>'Animal Data - Santa Lúcia'!E34</f>
        <v>0</v>
      </c>
      <c r="S19" s="13">
        <f t="shared" si="2"/>
        <v>0</v>
      </c>
      <c r="U19" s="53"/>
      <c r="V19" s="53"/>
      <c r="W19" s="53"/>
    </row>
    <row r="20" spans="2:23" ht="15.75" x14ac:dyDescent="0.25">
      <c r="B20" s="53"/>
      <c r="C20" s="53"/>
      <c r="D20" s="53"/>
      <c r="E20" s="53"/>
      <c r="F20" s="53"/>
      <c r="G20" s="53"/>
      <c r="H20" s="53"/>
      <c r="I20" s="53"/>
      <c r="J20" s="53"/>
      <c r="L20" s="59" t="s">
        <v>89</v>
      </c>
      <c r="M20" s="29">
        <v>0.45</v>
      </c>
      <c r="N20" s="29" t="s">
        <v>94</v>
      </c>
      <c r="P20" s="11" t="s">
        <v>95</v>
      </c>
      <c r="Q20" s="14">
        <f>'Animal Data - Santa Lúcia'!D35</f>
        <v>0</v>
      </c>
      <c r="R20" s="14">
        <f>'Animal Data - Santa Lúcia'!E35</f>
        <v>0</v>
      </c>
      <c r="S20" s="13">
        <f t="shared" si="2"/>
        <v>0</v>
      </c>
      <c r="U20" s="53"/>
      <c r="V20" s="53"/>
      <c r="W20" s="53"/>
    </row>
    <row r="21" spans="2:23" ht="15.75" x14ac:dyDescent="0.25">
      <c r="B21" s="53"/>
      <c r="C21" s="53"/>
      <c r="D21" s="53"/>
      <c r="E21" s="53"/>
      <c r="F21" s="53"/>
      <c r="G21" s="53"/>
      <c r="H21" s="53"/>
      <c r="I21" s="53"/>
      <c r="J21" s="53"/>
      <c r="L21" s="59" t="s">
        <v>90</v>
      </c>
      <c r="M21" s="29">
        <v>0.45</v>
      </c>
      <c r="N21" s="29" t="s">
        <v>94</v>
      </c>
      <c r="P21" s="11" t="s">
        <v>24</v>
      </c>
      <c r="Q21" s="14">
        <f>'Animal Data - Santa Lúcia'!D36</f>
        <v>106.3427354976051</v>
      </c>
      <c r="R21" s="14">
        <f>'Animal Data - Santa Lúcia'!E36</f>
        <v>125.74743906746733</v>
      </c>
      <c r="S21" s="13">
        <f t="shared" si="2"/>
        <v>116.04508728253622</v>
      </c>
      <c r="U21" s="53"/>
      <c r="V21" s="53"/>
      <c r="W21" s="53"/>
    </row>
    <row r="22" spans="2:23" ht="15.75" x14ac:dyDescent="0.25">
      <c r="B22" s="53"/>
      <c r="C22" s="53"/>
      <c r="D22" s="53"/>
      <c r="E22" s="53"/>
      <c r="F22" s="53"/>
      <c r="G22" s="53"/>
      <c r="H22" s="53"/>
      <c r="I22" s="53"/>
      <c r="J22" s="53"/>
      <c r="L22" s="59" t="s">
        <v>91</v>
      </c>
      <c r="M22" s="29">
        <v>0.28999999999999998</v>
      </c>
      <c r="N22" s="29" t="s">
        <v>94</v>
      </c>
      <c r="P22" s="148" t="s">
        <v>96</v>
      </c>
      <c r="Q22" s="148"/>
      <c r="R22" s="148"/>
      <c r="S22" s="148"/>
      <c r="U22" s="53"/>
      <c r="V22" s="53"/>
      <c r="W22" s="53"/>
    </row>
    <row r="23" spans="2:23" x14ac:dyDescent="0.25">
      <c r="B23" s="53"/>
      <c r="C23" s="53"/>
      <c r="D23" s="53"/>
      <c r="E23" s="53"/>
      <c r="F23" s="53"/>
      <c r="G23" s="53"/>
      <c r="H23" s="53"/>
      <c r="I23" s="53"/>
      <c r="J23" s="53"/>
      <c r="L23" s="170" t="s">
        <v>97</v>
      </c>
      <c r="M23" s="170"/>
      <c r="N23" s="170"/>
      <c r="P23" s="52" t="s">
        <v>76</v>
      </c>
      <c r="Q23" s="26">
        <v>2019</v>
      </c>
      <c r="R23" s="26">
        <v>2020</v>
      </c>
      <c r="S23" s="26" t="s">
        <v>77</v>
      </c>
      <c r="U23" s="53"/>
      <c r="V23" s="53"/>
      <c r="W23" s="53"/>
    </row>
    <row r="24" spans="2:23" x14ac:dyDescent="0.25">
      <c r="B24" s="53"/>
      <c r="C24" s="53"/>
      <c r="D24" s="53"/>
      <c r="E24" s="53"/>
      <c r="F24" s="53"/>
      <c r="G24" s="53"/>
      <c r="H24" s="53"/>
      <c r="I24" s="53"/>
      <c r="J24" s="53"/>
      <c r="L24" s="59" t="s">
        <v>87</v>
      </c>
      <c r="M24" s="29">
        <v>198</v>
      </c>
      <c r="N24" s="29" t="s">
        <v>98</v>
      </c>
      <c r="P24" s="11" t="s">
        <v>26</v>
      </c>
      <c r="Q24" s="45">
        <f>Q15*(Q6/365)</f>
        <v>0</v>
      </c>
      <c r="R24" s="45">
        <f>R15*(R6/365)</f>
        <v>0</v>
      </c>
      <c r="S24" s="13">
        <f t="shared" ref="S24:S30" si="3">AVERAGE(Q24:R24)</f>
        <v>0</v>
      </c>
      <c r="U24" s="53"/>
      <c r="V24" s="53"/>
      <c r="W24" s="53"/>
    </row>
    <row r="25" spans="2:23" x14ac:dyDescent="0.25">
      <c r="B25" s="53"/>
      <c r="C25" s="53"/>
      <c r="D25" s="53"/>
      <c r="E25" s="53"/>
      <c r="F25" s="53"/>
      <c r="G25" s="53"/>
      <c r="H25" s="53"/>
      <c r="I25" s="53"/>
      <c r="J25" s="53"/>
      <c r="L25" s="59" t="s">
        <v>89</v>
      </c>
      <c r="M25" s="29">
        <v>198</v>
      </c>
      <c r="N25" s="29" t="s">
        <v>98</v>
      </c>
      <c r="P25" s="11" t="s">
        <v>27</v>
      </c>
      <c r="Q25" s="45">
        <f t="shared" ref="Q25:R30" si="4">Q16*(Q7/365)</f>
        <v>0</v>
      </c>
      <c r="R25" s="45">
        <f t="shared" si="4"/>
        <v>0</v>
      </c>
      <c r="S25" s="13">
        <f t="shared" si="3"/>
        <v>0</v>
      </c>
      <c r="U25" s="53"/>
      <c r="V25" s="53"/>
      <c r="W25" s="53"/>
    </row>
    <row r="26" spans="2:23" ht="12.75" customHeight="1" x14ac:dyDescent="0.25">
      <c r="B26" s="53"/>
      <c r="C26" s="53"/>
      <c r="D26" s="53"/>
      <c r="E26" s="53"/>
      <c r="F26" s="53"/>
      <c r="G26" s="53"/>
      <c r="H26" s="53"/>
      <c r="I26" s="53"/>
      <c r="J26" s="53"/>
      <c r="L26" s="59" t="s">
        <v>90</v>
      </c>
      <c r="M26" s="29">
        <v>180</v>
      </c>
      <c r="N26" s="29" t="s">
        <v>98</v>
      </c>
      <c r="P26" s="11" t="s">
        <v>56</v>
      </c>
      <c r="Q26" s="45">
        <f t="shared" si="4"/>
        <v>0</v>
      </c>
      <c r="R26" s="45">
        <f t="shared" si="4"/>
        <v>0</v>
      </c>
      <c r="S26" s="13">
        <f t="shared" si="3"/>
        <v>0</v>
      </c>
      <c r="U26" s="53"/>
      <c r="V26" s="53"/>
      <c r="W26" s="53"/>
    </row>
    <row r="27" spans="2:23" ht="12.75" customHeight="1" x14ac:dyDescent="0.25">
      <c r="B27" s="53"/>
      <c r="C27" s="53"/>
      <c r="D27" s="53"/>
      <c r="E27" s="53"/>
      <c r="F27" s="53"/>
      <c r="G27" s="53"/>
      <c r="H27" s="53"/>
      <c r="I27" s="53"/>
      <c r="J27" s="53"/>
      <c r="L27" s="59" t="s">
        <v>91</v>
      </c>
      <c r="M27" s="29">
        <v>28</v>
      </c>
      <c r="N27" s="29" t="s">
        <v>98</v>
      </c>
      <c r="P27" s="11" t="s">
        <v>93</v>
      </c>
      <c r="Q27" s="45">
        <f t="shared" si="4"/>
        <v>0</v>
      </c>
      <c r="R27" s="45">
        <f t="shared" si="4"/>
        <v>0</v>
      </c>
      <c r="S27" s="13">
        <f t="shared" si="3"/>
        <v>0</v>
      </c>
      <c r="U27" s="53"/>
      <c r="V27" s="53"/>
      <c r="W27" s="53"/>
    </row>
    <row r="28" spans="2:23" x14ac:dyDescent="0.25">
      <c r="B28" s="53"/>
      <c r="C28" s="53"/>
      <c r="D28" s="53"/>
      <c r="E28" s="53"/>
      <c r="F28" s="53"/>
      <c r="G28" s="53"/>
      <c r="H28" s="53"/>
      <c r="I28" s="53"/>
      <c r="J28" s="53"/>
      <c r="L28" s="170" t="s">
        <v>99</v>
      </c>
      <c r="M28" s="170"/>
      <c r="N28" s="170"/>
      <c r="P28" s="11" t="s">
        <v>30</v>
      </c>
      <c r="Q28" s="45">
        <f t="shared" si="4"/>
        <v>0</v>
      </c>
      <c r="R28" s="45">
        <f t="shared" si="4"/>
        <v>0</v>
      </c>
      <c r="S28" s="13">
        <f t="shared" si="3"/>
        <v>0</v>
      </c>
      <c r="U28" s="53"/>
      <c r="V28" s="53"/>
      <c r="W28" s="53"/>
    </row>
    <row r="29" spans="2:23" x14ac:dyDescent="0.25">
      <c r="B29" s="53"/>
      <c r="C29" s="53"/>
      <c r="D29" s="53"/>
      <c r="E29" s="53"/>
      <c r="F29" s="53"/>
      <c r="G29" s="53"/>
      <c r="H29" s="53"/>
      <c r="I29" s="53"/>
      <c r="J29" s="53"/>
      <c r="L29" s="52" t="s">
        <v>67</v>
      </c>
      <c r="M29" s="26" t="s">
        <v>68</v>
      </c>
      <c r="N29" s="26" t="s">
        <v>69</v>
      </c>
      <c r="P29" s="11" t="s">
        <v>95</v>
      </c>
      <c r="Q29" s="45">
        <f t="shared" si="4"/>
        <v>0</v>
      </c>
      <c r="R29" s="45">
        <f t="shared" si="4"/>
        <v>0</v>
      </c>
      <c r="S29" s="13">
        <f t="shared" si="3"/>
        <v>0</v>
      </c>
      <c r="U29" s="53"/>
      <c r="V29" s="53"/>
      <c r="W29" s="53"/>
    </row>
    <row r="30" spans="2:23" x14ac:dyDescent="0.25">
      <c r="B30" s="53"/>
      <c r="C30" s="53"/>
      <c r="D30" s="53"/>
      <c r="E30" s="53"/>
      <c r="F30" s="53"/>
      <c r="G30" s="53"/>
      <c r="H30" s="53"/>
      <c r="I30" s="53"/>
      <c r="J30" s="53"/>
      <c r="L30" s="170" t="s">
        <v>85</v>
      </c>
      <c r="M30" s="170"/>
      <c r="N30" s="170"/>
      <c r="P30" s="11" t="s">
        <v>24</v>
      </c>
      <c r="Q30" s="45">
        <f>Q21*(Q12/365)</f>
        <v>547.44657534246574</v>
      </c>
      <c r="R30" s="13">
        <f t="shared" si="4"/>
        <v>1950.6356164383562</v>
      </c>
      <c r="S30" s="13">
        <f t="shared" si="3"/>
        <v>1249.041095890411</v>
      </c>
      <c r="U30" s="53"/>
      <c r="V30" s="53"/>
      <c r="W30" s="53"/>
    </row>
    <row r="31" spans="2:23" ht="15.75" x14ac:dyDescent="0.25">
      <c r="C31" s="53"/>
      <c r="D31" s="53"/>
      <c r="E31" s="53"/>
      <c r="F31" s="53"/>
      <c r="G31" s="53"/>
      <c r="H31" s="53"/>
      <c r="I31" s="53"/>
      <c r="J31" s="53"/>
      <c r="L31" s="60" t="s">
        <v>87</v>
      </c>
      <c r="M31" s="61">
        <v>0.27</v>
      </c>
      <c r="N31" s="61" t="s">
        <v>88</v>
      </c>
      <c r="P31" s="148" t="s">
        <v>100</v>
      </c>
      <c r="Q31" s="148"/>
      <c r="R31" s="148"/>
      <c r="S31" s="148"/>
      <c r="U31" s="53"/>
      <c r="V31" s="53"/>
      <c r="W31" s="53"/>
    </row>
    <row r="32" spans="2:23" x14ac:dyDescent="0.25">
      <c r="C32" s="53"/>
      <c r="D32" s="53"/>
      <c r="E32" s="53"/>
      <c r="F32" s="53"/>
      <c r="G32" s="53"/>
      <c r="H32" s="53"/>
      <c r="I32" s="53"/>
      <c r="J32" s="53"/>
      <c r="L32" s="60" t="s">
        <v>89</v>
      </c>
      <c r="M32" s="61">
        <v>0.3</v>
      </c>
      <c r="N32" s="61" t="s">
        <v>88</v>
      </c>
      <c r="P32" s="52" t="s">
        <v>76</v>
      </c>
      <c r="Q32" s="26">
        <v>2019</v>
      </c>
      <c r="R32" s="26">
        <v>2020</v>
      </c>
      <c r="S32" s="26" t="s">
        <v>77</v>
      </c>
      <c r="U32" s="53"/>
      <c r="V32" s="53"/>
      <c r="W32" s="53"/>
    </row>
    <row r="33" spans="3:25" x14ac:dyDescent="0.25">
      <c r="C33" s="53"/>
      <c r="D33" s="53"/>
      <c r="E33" s="53"/>
      <c r="F33" s="53"/>
      <c r="G33" s="53"/>
      <c r="H33" s="53"/>
      <c r="I33" s="53"/>
      <c r="J33" s="53"/>
      <c r="L33" s="60" t="s">
        <v>90</v>
      </c>
      <c r="M33" s="61">
        <v>0.3</v>
      </c>
      <c r="N33" s="61" t="s">
        <v>88</v>
      </c>
      <c r="P33" s="11" t="s">
        <v>101</v>
      </c>
      <c r="Q33" s="14">
        <f>'Animal Data - Santa Lúcia'!D37</f>
        <v>0</v>
      </c>
      <c r="R33" s="14">
        <f>'Animal Data - Santa Lúcia'!E37</f>
        <v>0</v>
      </c>
      <c r="S33" s="13">
        <f t="shared" ref="S33:S39" si="5">AVERAGE(Q33:R33)</f>
        <v>0</v>
      </c>
      <c r="U33" s="53"/>
      <c r="V33" s="53"/>
      <c r="W33" s="53"/>
    </row>
    <row r="34" spans="3:25" ht="14.25" customHeight="1" x14ac:dyDescent="0.25">
      <c r="C34" s="53"/>
      <c r="D34" s="53"/>
      <c r="E34" s="53"/>
      <c r="F34" s="53"/>
      <c r="G34" s="53"/>
      <c r="H34" s="53"/>
      <c r="I34" s="53"/>
      <c r="J34" s="53"/>
      <c r="L34" s="60" t="s">
        <v>91</v>
      </c>
      <c r="M34" s="61">
        <v>0.3</v>
      </c>
      <c r="N34" s="61" t="s">
        <v>88</v>
      </c>
      <c r="P34" s="11" t="s">
        <v>27</v>
      </c>
      <c r="Q34" s="14">
        <f>'Animal Data - Santa Lúcia'!D38</f>
        <v>0</v>
      </c>
      <c r="R34" s="14">
        <f>'Animal Data - Santa Lúcia'!E38</f>
        <v>0</v>
      </c>
      <c r="S34" s="13">
        <f t="shared" si="5"/>
        <v>0</v>
      </c>
      <c r="U34" s="53"/>
      <c r="V34" s="53"/>
      <c r="W34" s="53"/>
    </row>
    <row r="35" spans="3:25" ht="12.75" customHeight="1" x14ac:dyDescent="0.25">
      <c r="C35" s="53"/>
      <c r="D35" s="53"/>
      <c r="E35" s="53"/>
      <c r="F35" s="53"/>
      <c r="G35" s="53"/>
      <c r="H35" s="53"/>
      <c r="I35" s="53"/>
      <c r="J35" s="53"/>
      <c r="L35" s="170" t="s">
        <v>92</v>
      </c>
      <c r="M35" s="170"/>
      <c r="N35" s="170"/>
      <c r="P35" s="11" t="s">
        <v>56</v>
      </c>
      <c r="Q35" s="14">
        <f>'Animal Data - Santa Lúcia'!D39</f>
        <v>0</v>
      </c>
      <c r="R35" s="14">
        <f>'Animal Data - Santa Lúcia'!E39</f>
        <v>0</v>
      </c>
      <c r="S35" s="13">
        <f t="shared" si="5"/>
        <v>0</v>
      </c>
      <c r="U35" s="53"/>
      <c r="V35" s="53"/>
      <c r="W35" s="53"/>
    </row>
    <row r="36" spans="3:25" ht="15.75" x14ac:dyDescent="0.25">
      <c r="C36" s="53"/>
      <c r="D36" s="53"/>
      <c r="E36" s="53"/>
      <c r="F36" s="53"/>
      <c r="G36" s="53"/>
      <c r="H36" s="53"/>
      <c r="I36" s="53"/>
      <c r="J36" s="53"/>
      <c r="L36" s="60" t="s">
        <v>87</v>
      </c>
      <c r="M36" s="61">
        <v>0.48</v>
      </c>
      <c r="N36" s="29" t="s">
        <v>94</v>
      </c>
      <c r="P36" s="11" t="s">
        <v>93</v>
      </c>
      <c r="Q36" s="14">
        <f>'Animal Data - Santa Lúcia'!D40</f>
        <v>0</v>
      </c>
      <c r="R36" s="14">
        <f>'Animal Data - Santa Lúcia'!E40</f>
        <v>0</v>
      </c>
      <c r="S36" s="13">
        <f t="shared" si="5"/>
        <v>0</v>
      </c>
      <c r="U36" s="53"/>
      <c r="V36" s="53"/>
      <c r="W36" s="53"/>
      <c r="X36" s="53"/>
      <c r="Y36" s="53"/>
    </row>
    <row r="37" spans="3:25" ht="15" customHeight="1" x14ac:dyDescent="0.25">
      <c r="C37" s="53"/>
      <c r="D37" s="53"/>
      <c r="E37" s="53"/>
      <c r="F37" s="53"/>
      <c r="G37" s="53"/>
      <c r="H37" s="53"/>
      <c r="I37" s="53"/>
      <c r="J37" s="53"/>
      <c r="L37" s="60" t="s">
        <v>89</v>
      </c>
      <c r="M37" s="61">
        <v>0.45</v>
      </c>
      <c r="N37" s="29" t="s">
        <v>94</v>
      </c>
      <c r="P37" s="11" t="s">
        <v>102</v>
      </c>
      <c r="Q37" s="14">
        <f>'Animal Data - Santa Lúcia'!D41</f>
        <v>0</v>
      </c>
      <c r="R37" s="14">
        <f>'Animal Data - Santa Lúcia'!E41</f>
        <v>0</v>
      </c>
      <c r="S37" s="13">
        <f t="shared" si="5"/>
        <v>0</v>
      </c>
      <c r="U37" s="53"/>
      <c r="V37" s="53"/>
      <c r="W37" s="53"/>
      <c r="X37" s="53"/>
      <c r="Y37" s="53"/>
    </row>
    <row r="38" spans="3:25" ht="15.75" x14ac:dyDescent="0.25">
      <c r="C38" s="53"/>
      <c r="D38" s="53"/>
      <c r="E38" s="53"/>
      <c r="F38" s="53"/>
      <c r="G38" s="53"/>
      <c r="H38" s="53"/>
      <c r="I38" s="53"/>
      <c r="J38" s="53"/>
      <c r="L38" s="60" t="s">
        <v>90</v>
      </c>
      <c r="M38" s="61">
        <v>0.45</v>
      </c>
      <c r="N38" s="29" t="s">
        <v>94</v>
      </c>
      <c r="P38" s="11" t="s">
        <v>78</v>
      </c>
      <c r="Q38" s="14">
        <f>'Animal Data - Santa Lúcia'!D42</f>
        <v>0</v>
      </c>
      <c r="R38" s="14">
        <f>'Animal Data - Santa Lúcia'!E42</f>
        <v>0</v>
      </c>
      <c r="S38" s="13">
        <f t="shared" si="5"/>
        <v>0</v>
      </c>
      <c r="U38" s="53"/>
      <c r="V38" s="53"/>
      <c r="W38" s="53"/>
      <c r="X38" s="53"/>
      <c r="Y38" s="53"/>
    </row>
    <row r="39" spans="3:25" ht="15.75" x14ac:dyDescent="0.25">
      <c r="C39" s="53"/>
      <c r="D39" s="53"/>
      <c r="E39" s="53"/>
      <c r="F39" s="53"/>
      <c r="G39" s="53"/>
      <c r="H39" s="53"/>
      <c r="I39" s="53"/>
      <c r="J39" s="53"/>
      <c r="L39" s="60" t="s">
        <v>91</v>
      </c>
      <c r="M39" s="61">
        <v>0.28999999999999998</v>
      </c>
      <c r="N39" s="29" t="s">
        <v>94</v>
      </c>
      <c r="P39" s="11" t="s">
        <v>24</v>
      </c>
      <c r="Q39" s="14">
        <f>'Animal Data - Santa Lúcia'!D43</f>
        <v>85.114784273549759</v>
      </c>
      <c r="R39" s="14">
        <f>'Animal Data - Santa Lúcia'!E43</f>
        <v>79.247479689155782</v>
      </c>
      <c r="S39" s="13">
        <f t="shared" si="5"/>
        <v>82.181131981352763</v>
      </c>
      <c r="U39" s="53"/>
    </row>
    <row r="40" spans="3:25" ht="32.25" customHeight="1" x14ac:dyDescent="0.25">
      <c r="C40" s="53"/>
      <c r="D40" s="53"/>
      <c r="E40" s="53"/>
      <c r="F40" s="53"/>
      <c r="G40" s="53"/>
      <c r="H40" s="53"/>
      <c r="I40" s="53"/>
      <c r="J40" s="53"/>
      <c r="L40" s="170" t="s">
        <v>97</v>
      </c>
      <c r="M40" s="170"/>
      <c r="N40" s="170"/>
      <c r="P40" s="170" t="s">
        <v>103</v>
      </c>
      <c r="Q40" s="170"/>
      <c r="R40" s="170"/>
      <c r="S40" s="170"/>
      <c r="U40" s="53"/>
      <c r="V40" s="53"/>
      <c r="W40" s="53"/>
    </row>
    <row r="41" spans="3:25" x14ac:dyDescent="0.25">
      <c r="C41" s="53"/>
      <c r="D41" s="53"/>
      <c r="E41" s="53"/>
      <c r="F41" s="53"/>
      <c r="G41" s="53"/>
      <c r="H41" s="53"/>
      <c r="I41" s="53"/>
      <c r="J41" s="53"/>
      <c r="L41" s="60" t="s">
        <v>87</v>
      </c>
      <c r="M41" s="61">
        <v>46</v>
      </c>
      <c r="N41" s="61" t="s">
        <v>98</v>
      </c>
      <c r="P41" s="52" t="s">
        <v>76</v>
      </c>
      <c r="Q41" s="26">
        <v>2019</v>
      </c>
      <c r="R41" s="26">
        <v>2020</v>
      </c>
      <c r="S41" s="26" t="s">
        <v>77</v>
      </c>
      <c r="U41" s="53"/>
      <c r="V41" s="53"/>
      <c r="W41" s="53"/>
    </row>
    <row r="42" spans="3:25" x14ac:dyDescent="0.25">
      <c r="L42" s="60" t="s">
        <v>89</v>
      </c>
      <c r="M42" s="61">
        <v>50</v>
      </c>
      <c r="N42" s="61" t="s">
        <v>98</v>
      </c>
      <c r="P42" s="11" t="s">
        <v>101</v>
      </c>
      <c r="Q42" s="45">
        <f t="shared" ref="Q42:R45" si="6">(Q33/$M$27)*$M$17*Q$51</f>
        <v>0</v>
      </c>
      <c r="R42" s="45">
        <f t="shared" si="6"/>
        <v>0</v>
      </c>
      <c r="S42" s="64">
        <f t="shared" ref="S42:S48" si="7">AVERAGE(Q42:R42)</f>
        <v>0</v>
      </c>
      <c r="U42" s="53"/>
      <c r="V42" s="53"/>
      <c r="W42" s="53"/>
    </row>
    <row r="43" spans="3:25" x14ac:dyDescent="0.25">
      <c r="L43" s="60" t="s">
        <v>90</v>
      </c>
      <c r="M43" s="61">
        <v>50</v>
      </c>
      <c r="N43" s="61" t="s">
        <v>98</v>
      </c>
      <c r="P43" s="11" t="s">
        <v>27</v>
      </c>
      <c r="Q43" s="45">
        <f t="shared" si="6"/>
        <v>0</v>
      </c>
      <c r="R43" s="45">
        <f t="shared" si="6"/>
        <v>0</v>
      </c>
      <c r="S43" s="64">
        <f t="shared" si="7"/>
        <v>0</v>
      </c>
      <c r="U43" s="53"/>
      <c r="V43" s="53"/>
      <c r="W43" s="53"/>
    </row>
    <row r="44" spans="3:25" x14ac:dyDescent="0.25">
      <c r="L44" s="60" t="s">
        <v>91</v>
      </c>
      <c r="M44" s="61">
        <v>28</v>
      </c>
      <c r="N44" s="61" t="s">
        <v>98</v>
      </c>
      <c r="P44" s="11" t="s">
        <v>56</v>
      </c>
      <c r="Q44" s="45">
        <f t="shared" si="6"/>
        <v>0</v>
      </c>
      <c r="R44" s="45">
        <f t="shared" si="6"/>
        <v>0</v>
      </c>
      <c r="S44" s="64">
        <f t="shared" si="7"/>
        <v>0</v>
      </c>
    </row>
    <row r="45" spans="3:25" x14ac:dyDescent="0.25">
      <c r="P45" s="11" t="s">
        <v>93</v>
      </c>
      <c r="Q45" s="45">
        <f t="shared" si="6"/>
        <v>0</v>
      </c>
      <c r="R45" s="45">
        <f t="shared" si="6"/>
        <v>0</v>
      </c>
      <c r="S45" s="64">
        <f t="shared" si="7"/>
        <v>0</v>
      </c>
    </row>
    <row r="46" spans="3:25" x14ac:dyDescent="0.25">
      <c r="P46" s="11" t="s">
        <v>102</v>
      </c>
      <c r="Q46" s="45">
        <f t="shared" ref="Q46:R48" si="8">(Q37/$M$44)*$M$34*Q$51</f>
        <v>0</v>
      </c>
      <c r="R46" s="45">
        <f t="shared" si="8"/>
        <v>0</v>
      </c>
      <c r="S46" s="64">
        <f t="shared" si="7"/>
        <v>0</v>
      </c>
    </row>
    <row r="47" spans="3:25" x14ac:dyDescent="0.25">
      <c r="P47" s="11" t="s">
        <v>78</v>
      </c>
      <c r="Q47" s="45">
        <f t="shared" si="8"/>
        <v>0</v>
      </c>
      <c r="R47" s="45">
        <f t="shared" si="8"/>
        <v>0</v>
      </c>
      <c r="S47" s="64">
        <f t="shared" si="7"/>
        <v>0</v>
      </c>
    </row>
    <row r="48" spans="3:25" x14ac:dyDescent="0.25">
      <c r="O48" s="53"/>
      <c r="P48" s="11" t="s">
        <v>24</v>
      </c>
      <c r="Q48" s="64">
        <f t="shared" si="8"/>
        <v>209.74714695981905</v>
      </c>
      <c r="R48" s="64">
        <f t="shared" si="8"/>
        <v>225.00623697456729</v>
      </c>
      <c r="S48" s="64">
        <f t="shared" si="7"/>
        <v>217.37669196719315</v>
      </c>
    </row>
    <row r="49" spans="15:20" ht="15.75" x14ac:dyDescent="0.25">
      <c r="O49" s="53"/>
      <c r="P49" s="148" t="s">
        <v>104</v>
      </c>
      <c r="Q49" s="148"/>
      <c r="R49" s="148"/>
      <c r="S49" s="148"/>
      <c r="T49" s="53"/>
    </row>
    <row r="50" spans="15:20" x14ac:dyDescent="0.25">
      <c r="O50" s="53"/>
      <c r="P50" s="52" t="s">
        <v>76</v>
      </c>
      <c r="Q50" s="26">
        <v>2019</v>
      </c>
      <c r="R50" s="26">
        <v>2020</v>
      </c>
      <c r="S50" s="26" t="s">
        <v>77</v>
      </c>
    </row>
    <row r="51" spans="15:20" x14ac:dyDescent="0.25">
      <c r="O51" s="53"/>
      <c r="P51" s="11" t="s">
        <v>24</v>
      </c>
      <c r="Q51" s="29">
        <f>('Animal Data - Santa Lúcia'!F9-'Animal Data - Santa Lúcia'!C1+1)+('Animal Data - Santa Lúcia'!D1-'Animal Data - Santa Lúcia'!C10+1)</f>
        <v>230</v>
      </c>
      <c r="R51" s="13">
        <f>('Animal Data - Santa Lúcia'!F16-'Animal Data - Santa Lúcia'!C2+1)+('Animal Data - Santa Lúcia'!F26-'Animal Data - Santa Lúcia'!C17+1)</f>
        <v>265</v>
      </c>
      <c r="S51" s="13">
        <f>AVERAGE(Q51:R51)</f>
        <v>247.5</v>
      </c>
    </row>
    <row r="52" spans="15:20" x14ac:dyDescent="0.25">
      <c r="O52" s="53"/>
      <c r="P52" s="53"/>
      <c r="Q52" s="53"/>
      <c r="R52" s="53"/>
      <c r="S52" s="53"/>
    </row>
    <row r="53" spans="15:20" x14ac:dyDescent="0.25">
      <c r="O53" s="53"/>
      <c r="P53" s="53"/>
      <c r="Q53" s="53"/>
      <c r="R53" s="53"/>
      <c r="S53" s="53"/>
    </row>
    <row r="54" spans="15:20" x14ac:dyDescent="0.25">
      <c r="O54" s="53"/>
      <c r="P54" s="53"/>
      <c r="Q54" s="53"/>
      <c r="R54" s="53"/>
      <c r="S54" s="53"/>
    </row>
    <row r="55" spans="15:20" x14ac:dyDescent="0.25">
      <c r="O55" s="53"/>
      <c r="P55" s="53"/>
      <c r="Q55" s="53"/>
      <c r="R55" s="53"/>
      <c r="S55" s="53"/>
    </row>
    <row r="56" spans="15:20" x14ac:dyDescent="0.25">
      <c r="O56" s="53"/>
      <c r="P56" s="53"/>
      <c r="Q56" s="53"/>
      <c r="R56" s="53"/>
      <c r="S56" s="53"/>
    </row>
    <row r="57" spans="15:20" x14ac:dyDescent="0.25">
      <c r="O57" s="53"/>
      <c r="P57" s="53"/>
      <c r="Q57" s="53"/>
      <c r="R57" s="53"/>
      <c r="S57" s="53"/>
    </row>
    <row r="58" spans="15:20" x14ac:dyDescent="0.25">
      <c r="O58" s="53"/>
    </row>
    <row r="59" spans="15:20" x14ac:dyDescent="0.25">
      <c r="O59" s="53"/>
    </row>
    <row r="60" spans="15:20" x14ac:dyDescent="0.25">
      <c r="O60" s="53"/>
    </row>
    <row r="61" spans="15:20" x14ac:dyDescent="0.25">
      <c r="O61" s="53"/>
    </row>
    <row r="62" spans="15:20" x14ac:dyDescent="0.25">
      <c r="O62" s="53"/>
    </row>
    <row r="63" spans="15:20" x14ac:dyDescent="0.25">
      <c r="O63" s="53"/>
    </row>
    <row r="64" spans="15:20" x14ac:dyDescent="0.25">
      <c r="O64" s="53"/>
    </row>
    <row r="65" spans="15:15" x14ac:dyDescent="0.25">
      <c r="O65" s="53"/>
    </row>
    <row r="66" spans="15:15" x14ac:dyDescent="0.25">
      <c r="O66" s="53"/>
    </row>
    <row r="67" spans="15:15" x14ac:dyDescent="0.25">
      <c r="O67" s="53"/>
    </row>
    <row r="68" spans="15:15" x14ac:dyDescent="0.25">
      <c r="O68" s="53"/>
    </row>
    <row r="69" spans="15:15" x14ac:dyDescent="0.25">
      <c r="O69" s="53"/>
    </row>
    <row r="70" spans="15:15" x14ac:dyDescent="0.25">
      <c r="O70" s="53"/>
    </row>
    <row r="71" spans="15:15" x14ac:dyDescent="0.25">
      <c r="O71" s="53"/>
    </row>
    <row r="72" spans="15:15" x14ac:dyDescent="0.25">
      <c r="O72" s="53"/>
    </row>
    <row r="73" spans="15:15" x14ac:dyDescent="0.25">
      <c r="O73" s="53"/>
    </row>
    <row r="74" spans="15:15" x14ac:dyDescent="0.25">
      <c r="O74" s="53"/>
    </row>
    <row r="75" spans="15:15" x14ac:dyDescent="0.25">
      <c r="O75" s="53"/>
    </row>
  </sheetData>
  <mergeCells count="19">
    <mergeCell ref="P49:S49"/>
    <mergeCell ref="L28:N28"/>
    <mergeCell ref="L30:N30"/>
    <mergeCell ref="P31:S31"/>
    <mergeCell ref="L35:N35"/>
    <mergeCell ref="L40:N40"/>
    <mergeCell ref="P40:S40"/>
    <mergeCell ref="L23:N23"/>
    <mergeCell ref="B2:J2"/>
    <mergeCell ref="L2:N2"/>
    <mergeCell ref="P2:S2"/>
    <mergeCell ref="P4:S4"/>
    <mergeCell ref="B5:J5"/>
    <mergeCell ref="L10:N10"/>
    <mergeCell ref="L11:N11"/>
    <mergeCell ref="L13:N13"/>
    <mergeCell ref="P13:S13"/>
    <mergeCell ref="L18:N18"/>
    <mergeCell ref="P22:S22"/>
  </mergeCells>
  <pageMargins left="0.511811024" right="0.511811024" top="0.78740157499999996" bottom="0.78740157499999996" header="0.31496062000000002" footer="0.31496062000000002"/>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9577-E717-4955-996B-C7DAF6F8C7E3}">
  <sheetPr>
    <tabColor theme="0" tint="-0.249977111117893"/>
  </sheetPr>
  <dimension ref="A1:P43"/>
  <sheetViews>
    <sheetView showGridLines="0" zoomScale="80" zoomScaleNormal="80" workbookViewId="0">
      <selection activeCell="G4" sqref="G4"/>
    </sheetView>
  </sheetViews>
  <sheetFormatPr defaultRowHeight="14.25" x14ac:dyDescent="0.25"/>
  <cols>
    <col min="1" max="1" width="3.140625" style="65" customWidth="1"/>
    <col min="2" max="2" width="19.85546875" style="65" customWidth="1"/>
    <col min="3" max="5" width="22.5703125" style="65" customWidth="1"/>
    <col min="6" max="6" width="28.140625" style="65" customWidth="1"/>
    <col min="7" max="7" width="16.85546875" style="65" customWidth="1"/>
    <col min="8" max="8" width="22.5703125" style="65" customWidth="1"/>
    <col min="9" max="9" width="19.42578125" style="65" customWidth="1"/>
    <col min="10" max="13" width="22.5703125" style="65" customWidth="1"/>
    <col min="14" max="14" width="19.42578125" style="65" customWidth="1"/>
    <col min="15" max="15" width="14" style="65" customWidth="1"/>
    <col min="16" max="16" width="21.42578125" style="65" customWidth="1"/>
    <col min="17" max="256" width="9.140625" style="65"/>
    <col min="257" max="257" width="3.140625" style="65" customWidth="1"/>
    <col min="258" max="258" width="19.85546875" style="65" customWidth="1"/>
    <col min="259" max="261" width="22.5703125" style="65" customWidth="1"/>
    <col min="262" max="262" width="28.140625" style="65" customWidth="1"/>
    <col min="263" max="263" width="16.85546875" style="65" customWidth="1"/>
    <col min="264" max="264" width="22.5703125" style="65" customWidth="1"/>
    <col min="265" max="265" width="19.42578125" style="65" customWidth="1"/>
    <col min="266" max="269" width="22.5703125" style="65" customWidth="1"/>
    <col min="270" max="270" width="19.42578125" style="65" customWidth="1"/>
    <col min="271" max="271" width="14" style="65" customWidth="1"/>
    <col min="272" max="272" width="21.42578125" style="65" customWidth="1"/>
    <col min="273" max="512" width="9.140625" style="65"/>
    <col min="513" max="513" width="3.140625" style="65" customWidth="1"/>
    <col min="514" max="514" width="19.85546875" style="65" customWidth="1"/>
    <col min="515" max="517" width="22.5703125" style="65" customWidth="1"/>
    <col min="518" max="518" width="28.140625" style="65" customWidth="1"/>
    <col min="519" max="519" width="16.85546875" style="65" customWidth="1"/>
    <col min="520" max="520" width="22.5703125" style="65" customWidth="1"/>
    <col min="521" max="521" width="19.42578125" style="65" customWidth="1"/>
    <col min="522" max="525" width="22.5703125" style="65" customWidth="1"/>
    <col min="526" max="526" width="19.42578125" style="65" customWidth="1"/>
    <col min="527" max="527" width="14" style="65" customWidth="1"/>
    <col min="528" max="528" width="21.42578125" style="65" customWidth="1"/>
    <col min="529" max="768" width="9.140625" style="65"/>
    <col min="769" max="769" width="3.140625" style="65" customWidth="1"/>
    <col min="770" max="770" width="19.85546875" style="65" customWidth="1"/>
    <col min="771" max="773" width="22.5703125" style="65" customWidth="1"/>
    <col min="774" max="774" width="28.140625" style="65" customWidth="1"/>
    <col min="775" max="775" width="16.85546875" style="65" customWidth="1"/>
    <col min="776" max="776" width="22.5703125" style="65" customWidth="1"/>
    <col min="777" max="777" width="19.42578125" style="65" customWidth="1"/>
    <col min="778" max="781" width="22.5703125" style="65" customWidth="1"/>
    <col min="782" max="782" width="19.42578125" style="65" customWidth="1"/>
    <col min="783" max="783" width="14" style="65" customWidth="1"/>
    <col min="784" max="784" width="21.42578125" style="65" customWidth="1"/>
    <col min="785" max="1024" width="9.140625" style="65"/>
    <col min="1025" max="1025" width="3.140625" style="65" customWidth="1"/>
    <col min="1026" max="1026" width="19.85546875" style="65" customWidth="1"/>
    <col min="1027" max="1029" width="22.5703125" style="65" customWidth="1"/>
    <col min="1030" max="1030" width="28.140625" style="65" customWidth="1"/>
    <col min="1031" max="1031" width="16.85546875" style="65" customWidth="1"/>
    <col min="1032" max="1032" width="22.5703125" style="65" customWidth="1"/>
    <col min="1033" max="1033" width="19.42578125" style="65" customWidth="1"/>
    <col min="1034" max="1037" width="22.5703125" style="65" customWidth="1"/>
    <col min="1038" max="1038" width="19.42578125" style="65" customWidth="1"/>
    <col min="1039" max="1039" width="14" style="65" customWidth="1"/>
    <col min="1040" max="1040" width="21.42578125" style="65" customWidth="1"/>
    <col min="1041" max="1280" width="9.140625" style="65"/>
    <col min="1281" max="1281" width="3.140625" style="65" customWidth="1"/>
    <col min="1282" max="1282" width="19.85546875" style="65" customWidth="1"/>
    <col min="1283" max="1285" width="22.5703125" style="65" customWidth="1"/>
    <col min="1286" max="1286" width="28.140625" style="65" customWidth="1"/>
    <col min="1287" max="1287" width="16.85546875" style="65" customWidth="1"/>
    <col min="1288" max="1288" width="22.5703125" style="65" customWidth="1"/>
    <col min="1289" max="1289" width="19.42578125" style="65" customWidth="1"/>
    <col min="1290" max="1293" width="22.5703125" style="65" customWidth="1"/>
    <col min="1294" max="1294" width="19.42578125" style="65" customWidth="1"/>
    <col min="1295" max="1295" width="14" style="65" customWidth="1"/>
    <col min="1296" max="1296" width="21.42578125" style="65" customWidth="1"/>
    <col min="1297" max="1536" width="9.140625" style="65"/>
    <col min="1537" max="1537" width="3.140625" style="65" customWidth="1"/>
    <col min="1538" max="1538" width="19.85546875" style="65" customWidth="1"/>
    <col min="1539" max="1541" width="22.5703125" style="65" customWidth="1"/>
    <col min="1542" max="1542" width="28.140625" style="65" customWidth="1"/>
    <col min="1543" max="1543" width="16.85546875" style="65" customWidth="1"/>
    <col min="1544" max="1544" width="22.5703125" style="65" customWidth="1"/>
    <col min="1545" max="1545" width="19.42578125" style="65" customWidth="1"/>
    <col min="1546" max="1549" width="22.5703125" style="65" customWidth="1"/>
    <col min="1550" max="1550" width="19.42578125" style="65" customWidth="1"/>
    <col min="1551" max="1551" width="14" style="65" customWidth="1"/>
    <col min="1552" max="1552" width="21.42578125" style="65" customWidth="1"/>
    <col min="1553" max="1792" width="9.140625" style="65"/>
    <col min="1793" max="1793" width="3.140625" style="65" customWidth="1"/>
    <col min="1794" max="1794" width="19.85546875" style="65" customWidth="1"/>
    <col min="1795" max="1797" width="22.5703125" style="65" customWidth="1"/>
    <col min="1798" max="1798" width="28.140625" style="65" customWidth="1"/>
    <col min="1799" max="1799" width="16.85546875" style="65" customWidth="1"/>
    <col min="1800" max="1800" width="22.5703125" style="65" customWidth="1"/>
    <col min="1801" max="1801" width="19.42578125" style="65" customWidth="1"/>
    <col min="1802" max="1805" width="22.5703125" style="65" customWidth="1"/>
    <col min="1806" max="1806" width="19.42578125" style="65" customWidth="1"/>
    <col min="1807" max="1807" width="14" style="65" customWidth="1"/>
    <col min="1808" max="1808" width="21.42578125" style="65" customWidth="1"/>
    <col min="1809" max="2048" width="9.140625" style="65"/>
    <col min="2049" max="2049" width="3.140625" style="65" customWidth="1"/>
    <col min="2050" max="2050" width="19.85546875" style="65" customWidth="1"/>
    <col min="2051" max="2053" width="22.5703125" style="65" customWidth="1"/>
    <col min="2054" max="2054" width="28.140625" style="65" customWidth="1"/>
    <col min="2055" max="2055" width="16.85546875" style="65" customWidth="1"/>
    <col min="2056" max="2056" width="22.5703125" style="65" customWidth="1"/>
    <col min="2057" max="2057" width="19.42578125" style="65" customWidth="1"/>
    <col min="2058" max="2061" width="22.5703125" style="65" customWidth="1"/>
    <col min="2062" max="2062" width="19.42578125" style="65" customWidth="1"/>
    <col min="2063" max="2063" width="14" style="65" customWidth="1"/>
    <col min="2064" max="2064" width="21.42578125" style="65" customWidth="1"/>
    <col min="2065" max="2304" width="9.140625" style="65"/>
    <col min="2305" max="2305" width="3.140625" style="65" customWidth="1"/>
    <col min="2306" max="2306" width="19.85546875" style="65" customWidth="1"/>
    <col min="2307" max="2309" width="22.5703125" style="65" customWidth="1"/>
    <col min="2310" max="2310" width="28.140625" style="65" customWidth="1"/>
    <col min="2311" max="2311" width="16.85546875" style="65" customWidth="1"/>
    <col min="2312" max="2312" width="22.5703125" style="65" customWidth="1"/>
    <col min="2313" max="2313" width="19.42578125" style="65" customWidth="1"/>
    <col min="2314" max="2317" width="22.5703125" style="65" customWidth="1"/>
    <col min="2318" max="2318" width="19.42578125" style="65" customWidth="1"/>
    <col min="2319" max="2319" width="14" style="65" customWidth="1"/>
    <col min="2320" max="2320" width="21.42578125" style="65" customWidth="1"/>
    <col min="2321" max="2560" width="9.140625" style="65"/>
    <col min="2561" max="2561" width="3.140625" style="65" customWidth="1"/>
    <col min="2562" max="2562" width="19.85546875" style="65" customWidth="1"/>
    <col min="2563" max="2565" width="22.5703125" style="65" customWidth="1"/>
    <col min="2566" max="2566" width="28.140625" style="65" customWidth="1"/>
    <col min="2567" max="2567" width="16.85546875" style="65" customWidth="1"/>
    <col min="2568" max="2568" width="22.5703125" style="65" customWidth="1"/>
    <col min="2569" max="2569" width="19.42578125" style="65" customWidth="1"/>
    <col min="2570" max="2573" width="22.5703125" style="65" customWidth="1"/>
    <col min="2574" max="2574" width="19.42578125" style="65" customWidth="1"/>
    <col min="2575" max="2575" width="14" style="65" customWidth="1"/>
    <col min="2576" max="2576" width="21.42578125" style="65" customWidth="1"/>
    <col min="2577" max="2816" width="9.140625" style="65"/>
    <col min="2817" max="2817" width="3.140625" style="65" customWidth="1"/>
    <col min="2818" max="2818" width="19.85546875" style="65" customWidth="1"/>
    <col min="2819" max="2821" width="22.5703125" style="65" customWidth="1"/>
    <col min="2822" max="2822" width="28.140625" style="65" customWidth="1"/>
    <col min="2823" max="2823" width="16.85546875" style="65" customWidth="1"/>
    <col min="2824" max="2824" width="22.5703125" style="65" customWidth="1"/>
    <col min="2825" max="2825" width="19.42578125" style="65" customWidth="1"/>
    <col min="2826" max="2829" width="22.5703125" style="65" customWidth="1"/>
    <col min="2830" max="2830" width="19.42578125" style="65" customWidth="1"/>
    <col min="2831" max="2831" width="14" style="65" customWidth="1"/>
    <col min="2832" max="2832" width="21.42578125" style="65" customWidth="1"/>
    <col min="2833" max="3072" width="9.140625" style="65"/>
    <col min="3073" max="3073" width="3.140625" style="65" customWidth="1"/>
    <col min="3074" max="3074" width="19.85546875" style="65" customWidth="1"/>
    <col min="3075" max="3077" width="22.5703125" style="65" customWidth="1"/>
    <col min="3078" max="3078" width="28.140625" style="65" customWidth="1"/>
    <col min="3079" max="3079" width="16.85546875" style="65" customWidth="1"/>
    <col min="3080" max="3080" width="22.5703125" style="65" customWidth="1"/>
    <col min="3081" max="3081" width="19.42578125" style="65" customWidth="1"/>
    <col min="3082" max="3085" width="22.5703125" style="65" customWidth="1"/>
    <col min="3086" max="3086" width="19.42578125" style="65" customWidth="1"/>
    <col min="3087" max="3087" width="14" style="65" customWidth="1"/>
    <col min="3088" max="3088" width="21.42578125" style="65" customWidth="1"/>
    <col min="3089" max="3328" width="9.140625" style="65"/>
    <col min="3329" max="3329" width="3.140625" style="65" customWidth="1"/>
    <col min="3330" max="3330" width="19.85546875" style="65" customWidth="1"/>
    <col min="3331" max="3333" width="22.5703125" style="65" customWidth="1"/>
    <col min="3334" max="3334" width="28.140625" style="65" customWidth="1"/>
    <col min="3335" max="3335" width="16.85546875" style="65" customWidth="1"/>
    <col min="3336" max="3336" width="22.5703125" style="65" customWidth="1"/>
    <col min="3337" max="3337" width="19.42578125" style="65" customWidth="1"/>
    <col min="3338" max="3341" width="22.5703125" style="65" customWidth="1"/>
    <col min="3342" max="3342" width="19.42578125" style="65" customWidth="1"/>
    <col min="3343" max="3343" width="14" style="65" customWidth="1"/>
    <col min="3344" max="3344" width="21.42578125" style="65" customWidth="1"/>
    <col min="3345" max="3584" width="9.140625" style="65"/>
    <col min="3585" max="3585" width="3.140625" style="65" customWidth="1"/>
    <col min="3586" max="3586" width="19.85546875" style="65" customWidth="1"/>
    <col min="3587" max="3589" width="22.5703125" style="65" customWidth="1"/>
    <col min="3590" max="3590" width="28.140625" style="65" customWidth="1"/>
    <col min="3591" max="3591" width="16.85546875" style="65" customWidth="1"/>
    <col min="3592" max="3592" width="22.5703125" style="65" customWidth="1"/>
    <col min="3593" max="3593" width="19.42578125" style="65" customWidth="1"/>
    <col min="3594" max="3597" width="22.5703125" style="65" customWidth="1"/>
    <col min="3598" max="3598" width="19.42578125" style="65" customWidth="1"/>
    <col min="3599" max="3599" width="14" style="65" customWidth="1"/>
    <col min="3600" max="3600" width="21.42578125" style="65" customWidth="1"/>
    <col min="3601" max="3840" width="9.140625" style="65"/>
    <col min="3841" max="3841" width="3.140625" style="65" customWidth="1"/>
    <col min="3842" max="3842" width="19.85546875" style="65" customWidth="1"/>
    <col min="3843" max="3845" width="22.5703125" style="65" customWidth="1"/>
    <col min="3846" max="3846" width="28.140625" style="65" customWidth="1"/>
    <col min="3847" max="3847" width="16.85546875" style="65" customWidth="1"/>
    <col min="3848" max="3848" width="22.5703125" style="65" customWidth="1"/>
    <col min="3849" max="3849" width="19.42578125" style="65" customWidth="1"/>
    <col min="3850" max="3853" width="22.5703125" style="65" customWidth="1"/>
    <col min="3854" max="3854" width="19.42578125" style="65" customWidth="1"/>
    <col min="3855" max="3855" width="14" style="65" customWidth="1"/>
    <col min="3856" max="3856" width="21.42578125" style="65" customWidth="1"/>
    <col min="3857" max="4096" width="9.140625" style="65"/>
    <col min="4097" max="4097" width="3.140625" style="65" customWidth="1"/>
    <col min="4098" max="4098" width="19.85546875" style="65" customWidth="1"/>
    <col min="4099" max="4101" width="22.5703125" style="65" customWidth="1"/>
    <col min="4102" max="4102" width="28.140625" style="65" customWidth="1"/>
    <col min="4103" max="4103" width="16.85546875" style="65" customWidth="1"/>
    <col min="4104" max="4104" width="22.5703125" style="65" customWidth="1"/>
    <col min="4105" max="4105" width="19.42578125" style="65" customWidth="1"/>
    <col min="4106" max="4109" width="22.5703125" style="65" customWidth="1"/>
    <col min="4110" max="4110" width="19.42578125" style="65" customWidth="1"/>
    <col min="4111" max="4111" width="14" style="65" customWidth="1"/>
    <col min="4112" max="4112" width="21.42578125" style="65" customWidth="1"/>
    <col min="4113" max="4352" width="9.140625" style="65"/>
    <col min="4353" max="4353" width="3.140625" style="65" customWidth="1"/>
    <col min="4354" max="4354" width="19.85546875" style="65" customWidth="1"/>
    <col min="4355" max="4357" width="22.5703125" style="65" customWidth="1"/>
    <col min="4358" max="4358" width="28.140625" style="65" customWidth="1"/>
    <col min="4359" max="4359" width="16.85546875" style="65" customWidth="1"/>
    <col min="4360" max="4360" width="22.5703125" style="65" customWidth="1"/>
    <col min="4361" max="4361" width="19.42578125" style="65" customWidth="1"/>
    <col min="4362" max="4365" width="22.5703125" style="65" customWidth="1"/>
    <col min="4366" max="4366" width="19.42578125" style="65" customWidth="1"/>
    <col min="4367" max="4367" width="14" style="65" customWidth="1"/>
    <col min="4368" max="4368" width="21.42578125" style="65" customWidth="1"/>
    <col min="4369" max="4608" width="9.140625" style="65"/>
    <col min="4609" max="4609" width="3.140625" style="65" customWidth="1"/>
    <col min="4610" max="4610" width="19.85546875" style="65" customWidth="1"/>
    <col min="4611" max="4613" width="22.5703125" style="65" customWidth="1"/>
    <col min="4614" max="4614" width="28.140625" style="65" customWidth="1"/>
    <col min="4615" max="4615" width="16.85546875" style="65" customWidth="1"/>
    <col min="4616" max="4616" width="22.5703125" style="65" customWidth="1"/>
    <col min="4617" max="4617" width="19.42578125" style="65" customWidth="1"/>
    <col min="4618" max="4621" width="22.5703125" style="65" customWidth="1"/>
    <col min="4622" max="4622" width="19.42578125" style="65" customWidth="1"/>
    <col min="4623" max="4623" width="14" style="65" customWidth="1"/>
    <col min="4624" max="4624" width="21.42578125" style="65" customWidth="1"/>
    <col min="4625" max="4864" width="9.140625" style="65"/>
    <col min="4865" max="4865" width="3.140625" style="65" customWidth="1"/>
    <col min="4866" max="4866" width="19.85546875" style="65" customWidth="1"/>
    <col min="4867" max="4869" width="22.5703125" style="65" customWidth="1"/>
    <col min="4870" max="4870" width="28.140625" style="65" customWidth="1"/>
    <col min="4871" max="4871" width="16.85546875" style="65" customWidth="1"/>
    <col min="4872" max="4872" width="22.5703125" style="65" customWidth="1"/>
    <col min="4873" max="4873" width="19.42578125" style="65" customWidth="1"/>
    <col min="4874" max="4877" width="22.5703125" style="65" customWidth="1"/>
    <col min="4878" max="4878" width="19.42578125" style="65" customWidth="1"/>
    <col min="4879" max="4879" width="14" style="65" customWidth="1"/>
    <col min="4880" max="4880" width="21.42578125" style="65" customWidth="1"/>
    <col min="4881" max="5120" width="9.140625" style="65"/>
    <col min="5121" max="5121" width="3.140625" style="65" customWidth="1"/>
    <col min="5122" max="5122" width="19.85546875" style="65" customWidth="1"/>
    <col min="5123" max="5125" width="22.5703125" style="65" customWidth="1"/>
    <col min="5126" max="5126" width="28.140625" style="65" customWidth="1"/>
    <col min="5127" max="5127" width="16.85546875" style="65" customWidth="1"/>
    <col min="5128" max="5128" width="22.5703125" style="65" customWidth="1"/>
    <col min="5129" max="5129" width="19.42578125" style="65" customWidth="1"/>
    <col min="5130" max="5133" width="22.5703125" style="65" customWidth="1"/>
    <col min="5134" max="5134" width="19.42578125" style="65" customWidth="1"/>
    <col min="5135" max="5135" width="14" style="65" customWidth="1"/>
    <col min="5136" max="5136" width="21.42578125" style="65" customWidth="1"/>
    <col min="5137" max="5376" width="9.140625" style="65"/>
    <col min="5377" max="5377" width="3.140625" style="65" customWidth="1"/>
    <col min="5378" max="5378" width="19.85546875" style="65" customWidth="1"/>
    <col min="5379" max="5381" width="22.5703125" style="65" customWidth="1"/>
    <col min="5382" max="5382" width="28.140625" style="65" customWidth="1"/>
    <col min="5383" max="5383" width="16.85546875" style="65" customWidth="1"/>
    <col min="5384" max="5384" width="22.5703125" style="65" customWidth="1"/>
    <col min="5385" max="5385" width="19.42578125" style="65" customWidth="1"/>
    <col min="5386" max="5389" width="22.5703125" style="65" customWidth="1"/>
    <col min="5390" max="5390" width="19.42578125" style="65" customWidth="1"/>
    <col min="5391" max="5391" width="14" style="65" customWidth="1"/>
    <col min="5392" max="5392" width="21.42578125" style="65" customWidth="1"/>
    <col min="5393" max="5632" width="9.140625" style="65"/>
    <col min="5633" max="5633" width="3.140625" style="65" customWidth="1"/>
    <col min="5634" max="5634" width="19.85546875" style="65" customWidth="1"/>
    <col min="5635" max="5637" width="22.5703125" style="65" customWidth="1"/>
    <col min="5638" max="5638" width="28.140625" style="65" customWidth="1"/>
    <col min="5639" max="5639" width="16.85546875" style="65" customWidth="1"/>
    <col min="5640" max="5640" width="22.5703125" style="65" customWidth="1"/>
    <col min="5641" max="5641" width="19.42578125" style="65" customWidth="1"/>
    <col min="5642" max="5645" width="22.5703125" style="65" customWidth="1"/>
    <col min="5646" max="5646" width="19.42578125" style="65" customWidth="1"/>
    <col min="5647" max="5647" width="14" style="65" customWidth="1"/>
    <col min="5648" max="5648" width="21.42578125" style="65" customWidth="1"/>
    <col min="5649" max="5888" width="9.140625" style="65"/>
    <col min="5889" max="5889" width="3.140625" style="65" customWidth="1"/>
    <col min="5890" max="5890" width="19.85546875" style="65" customWidth="1"/>
    <col min="5891" max="5893" width="22.5703125" style="65" customWidth="1"/>
    <col min="5894" max="5894" width="28.140625" style="65" customWidth="1"/>
    <col min="5895" max="5895" width="16.85546875" style="65" customWidth="1"/>
    <col min="5896" max="5896" width="22.5703125" style="65" customWidth="1"/>
    <col min="5897" max="5897" width="19.42578125" style="65" customWidth="1"/>
    <col min="5898" max="5901" width="22.5703125" style="65" customWidth="1"/>
    <col min="5902" max="5902" width="19.42578125" style="65" customWidth="1"/>
    <col min="5903" max="5903" width="14" style="65" customWidth="1"/>
    <col min="5904" max="5904" width="21.42578125" style="65" customWidth="1"/>
    <col min="5905" max="6144" width="9.140625" style="65"/>
    <col min="6145" max="6145" width="3.140625" style="65" customWidth="1"/>
    <col min="6146" max="6146" width="19.85546875" style="65" customWidth="1"/>
    <col min="6147" max="6149" width="22.5703125" style="65" customWidth="1"/>
    <col min="6150" max="6150" width="28.140625" style="65" customWidth="1"/>
    <col min="6151" max="6151" width="16.85546875" style="65" customWidth="1"/>
    <col min="6152" max="6152" width="22.5703125" style="65" customWidth="1"/>
    <col min="6153" max="6153" width="19.42578125" style="65" customWidth="1"/>
    <col min="6154" max="6157" width="22.5703125" style="65" customWidth="1"/>
    <col min="6158" max="6158" width="19.42578125" style="65" customWidth="1"/>
    <col min="6159" max="6159" width="14" style="65" customWidth="1"/>
    <col min="6160" max="6160" width="21.42578125" style="65" customWidth="1"/>
    <col min="6161" max="6400" width="9.140625" style="65"/>
    <col min="6401" max="6401" width="3.140625" style="65" customWidth="1"/>
    <col min="6402" max="6402" width="19.85546875" style="65" customWidth="1"/>
    <col min="6403" max="6405" width="22.5703125" style="65" customWidth="1"/>
    <col min="6406" max="6406" width="28.140625" style="65" customWidth="1"/>
    <col min="6407" max="6407" width="16.85546875" style="65" customWidth="1"/>
    <col min="6408" max="6408" width="22.5703125" style="65" customWidth="1"/>
    <col min="6409" max="6409" width="19.42578125" style="65" customWidth="1"/>
    <col min="6410" max="6413" width="22.5703125" style="65" customWidth="1"/>
    <col min="6414" max="6414" width="19.42578125" style="65" customWidth="1"/>
    <col min="6415" max="6415" width="14" style="65" customWidth="1"/>
    <col min="6416" max="6416" width="21.42578125" style="65" customWidth="1"/>
    <col min="6417" max="6656" width="9.140625" style="65"/>
    <col min="6657" max="6657" width="3.140625" style="65" customWidth="1"/>
    <col min="6658" max="6658" width="19.85546875" style="65" customWidth="1"/>
    <col min="6659" max="6661" width="22.5703125" style="65" customWidth="1"/>
    <col min="6662" max="6662" width="28.140625" style="65" customWidth="1"/>
    <col min="6663" max="6663" width="16.85546875" style="65" customWidth="1"/>
    <col min="6664" max="6664" width="22.5703125" style="65" customWidth="1"/>
    <col min="6665" max="6665" width="19.42578125" style="65" customWidth="1"/>
    <col min="6666" max="6669" width="22.5703125" style="65" customWidth="1"/>
    <col min="6670" max="6670" width="19.42578125" style="65" customWidth="1"/>
    <col min="6671" max="6671" width="14" style="65" customWidth="1"/>
    <col min="6672" max="6672" width="21.42578125" style="65" customWidth="1"/>
    <col min="6673" max="6912" width="9.140625" style="65"/>
    <col min="6913" max="6913" width="3.140625" style="65" customWidth="1"/>
    <col min="6914" max="6914" width="19.85546875" style="65" customWidth="1"/>
    <col min="6915" max="6917" width="22.5703125" style="65" customWidth="1"/>
    <col min="6918" max="6918" width="28.140625" style="65" customWidth="1"/>
    <col min="6919" max="6919" width="16.85546875" style="65" customWidth="1"/>
    <col min="6920" max="6920" width="22.5703125" style="65" customWidth="1"/>
    <col min="6921" max="6921" width="19.42578125" style="65" customWidth="1"/>
    <col min="6922" max="6925" width="22.5703125" style="65" customWidth="1"/>
    <col min="6926" max="6926" width="19.42578125" style="65" customWidth="1"/>
    <col min="6927" max="6927" width="14" style="65" customWidth="1"/>
    <col min="6928" max="6928" width="21.42578125" style="65" customWidth="1"/>
    <col min="6929" max="7168" width="9.140625" style="65"/>
    <col min="7169" max="7169" width="3.140625" style="65" customWidth="1"/>
    <col min="7170" max="7170" width="19.85546875" style="65" customWidth="1"/>
    <col min="7171" max="7173" width="22.5703125" style="65" customWidth="1"/>
    <col min="7174" max="7174" width="28.140625" style="65" customWidth="1"/>
    <col min="7175" max="7175" width="16.85546875" style="65" customWidth="1"/>
    <col min="7176" max="7176" width="22.5703125" style="65" customWidth="1"/>
    <col min="7177" max="7177" width="19.42578125" style="65" customWidth="1"/>
    <col min="7178" max="7181" width="22.5703125" style="65" customWidth="1"/>
    <col min="7182" max="7182" width="19.42578125" style="65" customWidth="1"/>
    <col min="7183" max="7183" width="14" style="65" customWidth="1"/>
    <col min="7184" max="7184" width="21.42578125" style="65" customWidth="1"/>
    <col min="7185" max="7424" width="9.140625" style="65"/>
    <col min="7425" max="7425" width="3.140625" style="65" customWidth="1"/>
    <col min="7426" max="7426" width="19.85546875" style="65" customWidth="1"/>
    <col min="7427" max="7429" width="22.5703125" style="65" customWidth="1"/>
    <col min="7430" max="7430" width="28.140625" style="65" customWidth="1"/>
    <col min="7431" max="7431" width="16.85546875" style="65" customWidth="1"/>
    <col min="7432" max="7432" width="22.5703125" style="65" customWidth="1"/>
    <col min="7433" max="7433" width="19.42578125" style="65" customWidth="1"/>
    <col min="7434" max="7437" width="22.5703125" style="65" customWidth="1"/>
    <col min="7438" max="7438" width="19.42578125" style="65" customWidth="1"/>
    <col min="7439" max="7439" width="14" style="65" customWidth="1"/>
    <col min="7440" max="7440" width="21.42578125" style="65" customWidth="1"/>
    <col min="7441" max="7680" width="9.140625" style="65"/>
    <col min="7681" max="7681" width="3.140625" style="65" customWidth="1"/>
    <col min="7682" max="7682" width="19.85546875" style="65" customWidth="1"/>
    <col min="7683" max="7685" width="22.5703125" style="65" customWidth="1"/>
    <col min="7686" max="7686" width="28.140625" style="65" customWidth="1"/>
    <col min="7687" max="7687" width="16.85546875" style="65" customWidth="1"/>
    <col min="7688" max="7688" width="22.5703125" style="65" customWidth="1"/>
    <col min="7689" max="7689" width="19.42578125" style="65" customWidth="1"/>
    <col min="7690" max="7693" width="22.5703125" style="65" customWidth="1"/>
    <col min="7694" max="7694" width="19.42578125" style="65" customWidth="1"/>
    <col min="7695" max="7695" width="14" style="65" customWidth="1"/>
    <col min="7696" max="7696" width="21.42578125" style="65" customWidth="1"/>
    <col min="7697" max="7936" width="9.140625" style="65"/>
    <col min="7937" max="7937" width="3.140625" style="65" customWidth="1"/>
    <col min="7938" max="7938" width="19.85546875" style="65" customWidth="1"/>
    <col min="7939" max="7941" width="22.5703125" style="65" customWidth="1"/>
    <col min="7942" max="7942" width="28.140625" style="65" customWidth="1"/>
    <col min="7943" max="7943" width="16.85546875" style="65" customWidth="1"/>
    <col min="7944" max="7944" width="22.5703125" style="65" customWidth="1"/>
    <col min="7945" max="7945" width="19.42578125" style="65" customWidth="1"/>
    <col min="7946" max="7949" width="22.5703125" style="65" customWidth="1"/>
    <col min="7950" max="7950" width="19.42578125" style="65" customWidth="1"/>
    <col min="7951" max="7951" width="14" style="65" customWidth="1"/>
    <col min="7952" max="7952" width="21.42578125" style="65" customWidth="1"/>
    <col min="7953" max="8192" width="9.140625" style="65"/>
    <col min="8193" max="8193" width="3.140625" style="65" customWidth="1"/>
    <col min="8194" max="8194" width="19.85546875" style="65" customWidth="1"/>
    <col min="8195" max="8197" width="22.5703125" style="65" customWidth="1"/>
    <col min="8198" max="8198" width="28.140625" style="65" customWidth="1"/>
    <col min="8199" max="8199" width="16.85546875" style="65" customWidth="1"/>
    <col min="8200" max="8200" width="22.5703125" style="65" customWidth="1"/>
    <col min="8201" max="8201" width="19.42578125" style="65" customWidth="1"/>
    <col min="8202" max="8205" width="22.5703125" style="65" customWidth="1"/>
    <col min="8206" max="8206" width="19.42578125" style="65" customWidth="1"/>
    <col min="8207" max="8207" width="14" style="65" customWidth="1"/>
    <col min="8208" max="8208" width="21.42578125" style="65" customWidth="1"/>
    <col min="8209" max="8448" width="9.140625" style="65"/>
    <col min="8449" max="8449" width="3.140625" style="65" customWidth="1"/>
    <col min="8450" max="8450" width="19.85546875" style="65" customWidth="1"/>
    <col min="8451" max="8453" width="22.5703125" style="65" customWidth="1"/>
    <col min="8454" max="8454" width="28.140625" style="65" customWidth="1"/>
    <col min="8455" max="8455" width="16.85546875" style="65" customWidth="1"/>
    <col min="8456" max="8456" width="22.5703125" style="65" customWidth="1"/>
    <col min="8457" max="8457" width="19.42578125" style="65" customWidth="1"/>
    <col min="8458" max="8461" width="22.5703125" style="65" customWidth="1"/>
    <col min="8462" max="8462" width="19.42578125" style="65" customWidth="1"/>
    <col min="8463" max="8463" width="14" style="65" customWidth="1"/>
    <col min="8464" max="8464" width="21.42578125" style="65" customWidth="1"/>
    <col min="8465" max="8704" width="9.140625" style="65"/>
    <col min="8705" max="8705" width="3.140625" style="65" customWidth="1"/>
    <col min="8706" max="8706" width="19.85546875" style="65" customWidth="1"/>
    <col min="8707" max="8709" width="22.5703125" style="65" customWidth="1"/>
    <col min="8710" max="8710" width="28.140625" style="65" customWidth="1"/>
    <col min="8711" max="8711" width="16.85546875" style="65" customWidth="1"/>
    <col min="8712" max="8712" width="22.5703125" style="65" customWidth="1"/>
    <col min="8713" max="8713" width="19.42578125" style="65" customWidth="1"/>
    <col min="8714" max="8717" width="22.5703125" style="65" customWidth="1"/>
    <col min="8718" max="8718" width="19.42578125" style="65" customWidth="1"/>
    <col min="8719" max="8719" width="14" style="65" customWidth="1"/>
    <col min="8720" max="8720" width="21.42578125" style="65" customWidth="1"/>
    <col min="8721" max="8960" width="9.140625" style="65"/>
    <col min="8961" max="8961" width="3.140625" style="65" customWidth="1"/>
    <col min="8962" max="8962" width="19.85546875" style="65" customWidth="1"/>
    <col min="8963" max="8965" width="22.5703125" style="65" customWidth="1"/>
    <col min="8966" max="8966" width="28.140625" style="65" customWidth="1"/>
    <col min="8967" max="8967" width="16.85546875" style="65" customWidth="1"/>
    <col min="8968" max="8968" width="22.5703125" style="65" customWidth="1"/>
    <col min="8969" max="8969" width="19.42578125" style="65" customWidth="1"/>
    <col min="8970" max="8973" width="22.5703125" style="65" customWidth="1"/>
    <col min="8974" max="8974" width="19.42578125" style="65" customWidth="1"/>
    <col min="8975" max="8975" width="14" style="65" customWidth="1"/>
    <col min="8976" max="8976" width="21.42578125" style="65" customWidth="1"/>
    <col min="8977" max="9216" width="9.140625" style="65"/>
    <col min="9217" max="9217" width="3.140625" style="65" customWidth="1"/>
    <col min="9218" max="9218" width="19.85546875" style="65" customWidth="1"/>
    <col min="9219" max="9221" width="22.5703125" style="65" customWidth="1"/>
    <col min="9222" max="9222" width="28.140625" style="65" customWidth="1"/>
    <col min="9223" max="9223" width="16.85546875" style="65" customWidth="1"/>
    <col min="9224" max="9224" width="22.5703125" style="65" customWidth="1"/>
    <col min="9225" max="9225" width="19.42578125" style="65" customWidth="1"/>
    <col min="9226" max="9229" width="22.5703125" style="65" customWidth="1"/>
    <col min="9230" max="9230" width="19.42578125" style="65" customWidth="1"/>
    <col min="9231" max="9231" width="14" style="65" customWidth="1"/>
    <col min="9232" max="9232" width="21.42578125" style="65" customWidth="1"/>
    <col min="9233" max="9472" width="9.140625" style="65"/>
    <col min="9473" max="9473" width="3.140625" style="65" customWidth="1"/>
    <col min="9474" max="9474" width="19.85546875" style="65" customWidth="1"/>
    <col min="9475" max="9477" width="22.5703125" style="65" customWidth="1"/>
    <col min="9478" max="9478" width="28.140625" style="65" customWidth="1"/>
    <col min="9479" max="9479" width="16.85546875" style="65" customWidth="1"/>
    <col min="9480" max="9480" width="22.5703125" style="65" customWidth="1"/>
    <col min="9481" max="9481" width="19.42578125" style="65" customWidth="1"/>
    <col min="9482" max="9485" width="22.5703125" style="65" customWidth="1"/>
    <col min="9486" max="9486" width="19.42578125" style="65" customWidth="1"/>
    <col min="9487" max="9487" width="14" style="65" customWidth="1"/>
    <col min="9488" max="9488" width="21.42578125" style="65" customWidth="1"/>
    <col min="9489" max="9728" width="9.140625" style="65"/>
    <col min="9729" max="9729" width="3.140625" style="65" customWidth="1"/>
    <col min="9730" max="9730" width="19.85546875" style="65" customWidth="1"/>
    <col min="9731" max="9733" width="22.5703125" style="65" customWidth="1"/>
    <col min="9734" max="9734" width="28.140625" style="65" customWidth="1"/>
    <col min="9735" max="9735" width="16.85546875" style="65" customWidth="1"/>
    <col min="9736" max="9736" width="22.5703125" style="65" customWidth="1"/>
    <col min="9737" max="9737" width="19.42578125" style="65" customWidth="1"/>
    <col min="9738" max="9741" width="22.5703125" style="65" customWidth="1"/>
    <col min="9742" max="9742" width="19.42578125" style="65" customWidth="1"/>
    <col min="9743" max="9743" width="14" style="65" customWidth="1"/>
    <col min="9744" max="9744" width="21.42578125" style="65" customWidth="1"/>
    <col min="9745" max="9984" width="9.140625" style="65"/>
    <col min="9985" max="9985" width="3.140625" style="65" customWidth="1"/>
    <col min="9986" max="9986" width="19.85546875" style="65" customWidth="1"/>
    <col min="9987" max="9989" width="22.5703125" style="65" customWidth="1"/>
    <col min="9990" max="9990" width="28.140625" style="65" customWidth="1"/>
    <col min="9991" max="9991" width="16.85546875" style="65" customWidth="1"/>
    <col min="9992" max="9992" width="22.5703125" style="65" customWidth="1"/>
    <col min="9993" max="9993" width="19.42578125" style="65" customWidth="1"/>
    <col min="9994" max="9997" width="22.5703125" style="65" customWidth="1"/>
    <col min="9998" max="9998" width="19.42578125" style="65" customWidth="1"/>
    <col min="9999" max="9999" width="14" style="65" customWidth="1"/>
    <col min="10000" max="10000" width="21.42578125" style="65" customWidth="1"/>
    <col min="10001" max="10240" width="9.140625" style="65"/>
    <col min="10241" max="10241" width="3.140625" style="65" customWidth="1"/>
    <col min="10242" max="10242" width="19.85546875" style="65" customWidth="1"/>
    <col min="10243" max="10245" width="22.5703125" style="65" customWidth="1"/>
    <col min="10246" max="10246" width="28.140625" style="65" customWidth="1"/>
    <col min="10247" max="10247" width="16.85546875" style="65" customWidth="1"/>
    <col min="10248" max="10248" width="22.5703125" style="65" customWidth="1"/>
    <col min="10249" max="10249" width="19.42578125" style="65" customWidth="1"/>
    <col min="10250" max="10253" width="22.5703125" style="65" customWidth="1"/>
    <col min="10254" max="10254" width="19.42578125" style="65" customWidth="1"/>
    <col min="10255" max="10255" width="14" style="65" customWidth="1"/>
    <col min="10256" max="10256" width="21.42578125" style="65" customWidth="1"/>
    <col min="10257" max="10496" width="9.140625" style="65"/>
    <col min="10497" max="10497" width="3.140625" style="65" customWidth="1"/>
    <col min="10498" max="10498" width="19.85546875" style="65" customWidth="1"/>
    <col min="10499" max="10501" width="22.5703125" style="65" customWidth="1"/>
    <col min="10502" max="10502" width="28.140625" style="65" customWidth="1"/>
    <col min="10503" max="10503" width="16.85546875" style="65" customWidth="1"/>
    <col min="10504" max="10504" width="22.5703125" style="65" customWidth="1"/>
    <col min="10505" max="10505" width="19.42578125" style="65" customWidth="1"/>
    <col min="10506" max="10509" width="22.5703125" style="65" customWidth="1"/>
    <col min="10510" max="10510" width="19.42578125" style="65" customWidth="1"/>
    <col min="10511" max="10511" width="14" style="65" customWidth="1"/>
    <col min="10512" max="10512" width="21.42578125" style="65" customWidth="1"/>
    <col min="10513" max="10752" width="9.140625" style="65"/>
    <col min="10753" max="10753" width="3.140625" style="65" customWidth="1"/>
    <col min="10754" max="10754" width="19.85546875" style="65" customWidth="1"/>
    <col min="10755" max="10757" width="22.5703125" style="65" customWidth="1"/>
    <col min="10758" max="10758" width="28.140625" style="65" customWidth="1"/>
    <col min="10759" max="10759" width="16.85546875" style="65" customWidth="1"/>
    <col min="10760" max="10760" width="22.5703125" style="65" customWidth="1"/>
    <col min="10761" max="10761" width="19.42578125" style="65" customWidth="1"/>
    <col min="10762" max="10765" width="22.5703125" style="65" customWidth="1"/>
    <col min="10766" max="10766" width="19.42578125" style="65" customWidth="1"/>
    <col min="10767" max="10767" width="14" style="65" customWidth="1"/>
    <col min="10768" max="10768" width="21.42578125" style="65" customWidth="1"/>
    <col min="10769" max="11008" width="9.140625" style="65"/>
    <col min="11009" max="11009" width="3.140625" style="65" customWidth="1"/>
    <col min="11010" max="11010" width="19.85546875" style="65" customWidth="1"/>
    <col min="11011" max="11013" width="22.5703125" style="65" customWidth="1"/>
    <col min="11014" max="11014" width="28.140625" style="65" customWidth="1"/>
    <col min="11015" max="11015" width="16.85546875" style="65" customWidth="1"/>
    <col min="11016" max="11016" width="22.5703125" style="65" customWidth="1"/>
    <col min="11017" max="11017" width="19.42578125" style="65" customWidth="1"/>
    <col min="11018" max="11021" width="22.5703125" style="65" customWidth="1"/>
    <col min="11022" max="11022" width="19.42578125" style="65" customWidth="1"/>
    <col min="11023" max="11023" width="14" style="65" customWidth="1"/>
    <col min="11024" max="11024" width="21.42578125" style="65" customWidth="1"/>
    <col min="11025" max="11264" width="9.140625" style="65"/>
    <col min="11265" max="11265" width="3.140625" style="65" customWidth="1"/>
    <col min="11266" max="11266" width="19.85546875" style="65" customWidth="1"/>
    <col min="11267" max="11269" width="22.5703125" style="65" customWidth="1"/>
    <col min="11270" max="11270" width="28.140625" style="65" customWidth="1"/>
    <col min="11271" max="11271" width="16.85546875" style="65" customWidth="1"/>
    <col min="11272" max="11272" width="22.5703125" style="65" customWidth="1"/>
    <col min="11273" max="11273" width="19.42578125" style="65" customWidth="1"/>
    <col min="11274" max="11277" width="22.5703125" style="65" customWidth="1"/>
    <col min="11278" max="11278" width="19.42578125" style="65" customWidth="1"/>
    <col min="11279" max="11279" width="14" style="65" customWidth="1"/>
    <col min="11280" max="11280" width="21.42578125" style="65" customWidth="1"/>
    <col min="11281" max="11520" width="9.140625" style="65"/>
    <col min="11521" max="11521" width="3.140625" style="65" customWidth="1"/>
    <col min="11522" max="11522" width="19.85546875" style="65" customWidth="1"/>
    <col min="11523" max="11525" width="22.5703125" style="65" customWidth="1"/>
    <col min="11526" max="11526" width="28.140625" style="65" customWidth="1"/>
    <col min="11527" max="11527" width="16.85546875" style="65" customWidth="1"/>
    <col min="11528" max="11528" width="22.5703125" style="65" customWidth="1"/>
    <col min="11529" max="11529" width="19.42578125" style="65" customWidth="1"/>
    <col min="11530" max="11533" width="22.5703125" style="65" customWidth="1"/>
    <col min="11534" max="11534" width="19.42578125" style="65" customWidth="1"/>
    <col min="11535" max="11535" width="14" style="65" customWidth="1"/>
    <col min="11536" max="11536" width="21.42578125" style="65" customWidth="1"/>
    <col min="11537" max="11776" width="9.140625" style="65"/>
    <col min="11777" max="11777" width="3.140625" style="65" customWidth="1"/>
    <col min="11778" max="11778" width="19.85546875" style="65" customWidth="1"/>
    <col min="11779" max="11781" width="22.5703125" style="65" customWidth="1"/>
    <col min="11782" max="11782" width="28.140625" style="65" customWidth="1"/>
    <col min="11783" max="11783" width="16.85546875" style="65" customWidth="1"/>
    <col min="11784" max="11784" width="22.5703125" style="65" customWidth="1"/>
    <col min="11785" max="11785" width="19.42578125" style="65" customWidth="1"/>
    <col min="11786" max="11789" width="22.5703125" style="65" customWidth="1"/>
    <col min="11790" max="11790" width="19.42578125" style="65" customWidth="1"/>
    <col min="11791" max="11791" width="14" style="65" customWidth="1"/>
    <col min="11792" max="11792" width="21.42578125" style="65" customWidth="1"/>
    <col min="11793" max="12032" width="9.140625" style="65"/>
    <col min="12033" max="12033" width="3.140625" style="65" customWidth="1"/>
    <col min="12034" max="12034" width="19.85546875" style="65" customWidth="1"/>
    <col min="12035" max="12037" width="22.5703125" style="65" customWidth="1"/>
    <col min="12038" max="12038" width="28.140625" style="65" customWidth="1"/>
    <col min="12039" max="12039" width="16.85546875" style="65" customWidth="1"/>
    <col min="12040" max="12040" width="22.5703125" style="65" customWidth="1"/>
    <col min="12041" max="12041" width="19.42578125" style="65" customWidth="1"/>
    <col min="12042" max="12045" width="22.5703125" style="65" customWidth="1"/>
    <col min="12046" max="12046" width="19.42578125" style="65" customWidth="1"/>
    <col min="12047" max="12047" width="14" style="65" customWidth="1"/>
    <col min="12048" max="12048" width="21.42578125" style="65" customWidth="1"/>
    <col min="12049" max="12288" width="9.140625" style="65"/>
    <col min="12289" max="12289" width="3.140625" style="65" customWidth="1"/>
    <col min="12290" max="12290" width="19.85546875" style="65" customWidth="1"/>
    <col min="12291" max="12293" width="22.5703125" style="65" customWidth="1"/>
    <col min="12294" max="12294" width="28.140625" style="65" customWidth="1"/>
    <col min="12295" max="12295" width="16.85546875" style="65" customWidth="1"/>
    <col min="12296" max="12296" width="22.5703125" style="65" customWidth="1"/>
    <col min="12297" max="12297" width="19.42578125" style="65" customWidth="1"/>
    <col min="12298" max="12301" width="22.5703125" style="65" customWidth="1"/>
    <col min="12302" max="12302" width="19.42578125" style="65" customWidth="1"/>
    <col min="12303" max="12303" width="14" style="65" customWidth="1"/>
    <col min="12304" max="12304" width="21.42578125" style="65" customWidth="1"/>
    <col min="12305" max="12544" width="9.140625" style="65"/>
    <col min="12545" max="12545" width="3.140625" style="65" customWidth="1"/>
    <col min="12546" max="12546" width="19.85546875" style="65" customWidth="1"/>
    <col min="12547" max="12549" width="22.5703125" style="65" customWidth="1"/>
    <col min="12550" max="12550" width="28.140625" style="65" customWidth="1"/>
    <col min="12551" max="12551" width="16.85546875" style="65" customWidth="1"/>
    <col min="12552" max="12552" width="22.5703125" style="65" customWidth="1"/>
    <col min="12553" max="12553" width="19.42578125" style="65" customWidth="1"/>
    <col min="12554" max="12557" width="22.5703125" style="65" customWidth="1"/>
    <col min="12558" max="12558" width="19.42578125" style="65" customWidth="1"/>
    <col min="12559" max="12559" width="14" style="65" customWidth="1"/>
    <col min="12560" max="12560" width="21.42578125" style="65" customWidth="1"/>
    <col min="12561" max="12800" width="9.140625" style="65"/>
    <col min="12801" max="12801" width="3.140625" style="65" customWidth="1"/>
    <col min="12802" max="12802" width="19.85546875" style="65" customWidth="1"/>
    <col min="12803" max="12805" width="22.5703125" style="65" customWidth="1"/>
    <col min="12806" max="12806" width="28.140625" style="65" customWidth="1"/>
    <col min="12807" max="12807" width="16.85546875" style="65" customWidth="1"/>
    <col min="12808" max="12808" width="22.5703125" style="65" customWidth="1"/>
    <col min="12809" max="12809" width="19.42578125" style="65" customWidth="1"/>
    <col min="12810" max="12813" width="22.5703125" style="65" customWidth="1"/>
    <col min="12814" max="12814" width="19.42578125" style="65" customWidth="1"/>
    <col min="12815" max="12815" width="14" style="65" customWidth="1"/>
    <col min="12816" max="12816" width="21.42578125" style="65" customWidth="1"/>
    <col min="12817" max="13056" width="9.140625" style="65"/>
    <col min="13057" max="13057" width="3.140625" style="65" customWidth="1"/>
    <col min="13058" max="13058" width="19.85546875" style="65" customWidth="1"/>
    <col min="13059" max="13061" width="22.5703125" style="65" customWidth="1"/>
    <col min="13062" max="13062" width="28.140625" style="65" customWidth="1"/>
    <col min="13063" max="13063" width="16.85546875" style="65" customWidth="1"/>
    <col min="13064" max="13064" width="22.5703125" style="65" customWidth="1"/>
    <col min="13065" max="13065" width="19.42578125" style="65" customWidth="1"/>
    <col min="13066" max="13069" width="22.5703125" style="65" customWidth="1"/>
    <col min="13070" max="13070" width="19.42578125" style="65" customWidth="1"/>
    <col min="13071" max="13071" width="14" style="65" customWidth="1"/>
    <col min="13072" max="13072" width="21.42578125" style="65" customWidth="1"/>
    <col min="13073" max="13312" width="9.140625" style="65"/>
    <col min="13313" max="13313" width="3.140625" style="65" customWidth="1"/>
    <col min="13314" max="13314" width="19.85546875" style="65" customWidth="1"/>
    <col min="13315" max="13317" width="22.5703125" style="65" customWidth="1"/>
    <col min="13318" max="13318" width="28.140625" style="65" customWidth="1"/>
    <col min="13319" max="13319" width="16.85546875" style="65" customWidth="1"/>
    <col min="13320" max="13320" width="22.5703125" style="65" customWidth="1"/>
    <col min="13321" max="13321" width="19.42578125" style="65" customWidth="1"/>
    <col min="13322" max="13325" width="22.5703125" style="65" customWidth="1"/>
    <col min="13326" max="13326" width="19.42578125" style="65" customWidth="1"/>
    <col min="13327" max="13327" width="14" style="65" customWidth="1"/>
    <col min="13328" max="13328" width="21.42578125" style="65" customWidth="1"/>
    <col min="13329" max="13568" width="9.140625" style="65"/>
    <col min="13569" max="13569" width="3.140625" style="65" customWidth="1"/>
    <col min="13570" max="13570" width="19.85546875" style="65" customWidth="1"/>
    <col min="13571" max="13573" width="22.5703125" style="65" customWidth="1"/>
    <col min="13574" max="13574" width="28.140625" style="65" customWidth="1"/>
    <col min="13575" max="13575" width="16.85546875" style="65" customWidth="1"/>
    <col min="13576" max="13576" width="22.5703125" style="65" customWidth="1"/>
    <col min="13577" max="13577" width="19.42578125" style="65" customWidth="1"/>
    <col min="13578" max="13581" width="22.5703125" style="65" customWidth="1"/>
    <col min="13582" max="13582" width="19.42578125" style="65" customWidth="1"/>
    <col min="13583" max="13583" width="14" style="65" customWidth="1"/>
    <col min="13584" max="13584" width="21.42578125" style="65" customWidth="1"/>
    <col min="13585" max="13824" width="9.140625" style="65"/>
    <col min="13825" max="13825" width="3.140625" style="65" customWidth="1"/>
    <col min="13826" max="13826" width="19.85546875" style="65" customWidth="1"/>
    <col min="13827" max="13829" width="22.5703125" style="65" customWidth="1"/>
    <col min="13830" max="13830" width="28.140625" style="65" customWidth="1"/>
    <col min="13831" max="13831" width="16.85546875" style="65" customWidth="1"/>
    <col min="13832" max="13832" width="22.5703125" style="65" customWidth="1"/>
    <col min="13833" max="13833" width="19.42578125" style="65" customWidth="1"/>
    <col min="13834" max="13837" width="22.5703125" style="65" customWidth="1"/>
    <col min="13838" max="13838" width="19.42578125" style="65" customWidth="1"/>
    <col min="13839" max="13839" width="14" style="65" customWidth="1"/>
    <col min="13840" max="13840" width="21.42578125" style="65" customWidth="1"/>
    <col min="13841" max="14080" width="9.140625" style="65"/>
    <col min="14081" max="14081" width="3.140625" style="65" customWidth="1"/>
    <col min="14082" max="14082" width="19.85546875" style="65" customWidth="1"/>
    <col min="14083" max="14085" width="22.5703125" style="65" customWidth="1"/>
    <col min="14086" max="14086" width="28.140625" style="65" customWidth="1"/>
    <col min="14087" max="14087" width="16.85546875" style="65" customWidth="1"/>
    <col min="14088" max="14088" width="22.5703125" style="65" customWidth="1"/>
    <col min="14089" max="14089" width="19.42578125" style="65" customWidth="1"/>
    <col min="14090" max="14093" width="22.5703125" style="65" customWidth="1"/>
    <col min="14094" max="14094" width="19.42578125" style="65" customWidth="1"/>
    <col min="14095" max="14095" width="14" style="65" customWidth="1"/>
    <col min="14096" max="14096" width="21.42578125" style="65" customWidth="1"/>
    <col min="14097" max="14336" width="9.140625" style="65"/>
    <col min="14337" max="14337" width="3.140625" style="65" customWidth="1"/>
    <col min="14338" max="14338" width="19.85546875" style="65" customWidth="1"/>
    <col min="14339" max="14341" width="22.5703125" style="65" customWidth="1"/>
    <col min="14342" max="14342" width="28.140625" style="65" customWidth="1"/>
    <col min="14343" max="14343" width="16.85546875" style="65" customWidth="1"/>
    <col min="14344" max="14344" width="22.5703125" style="65" customWidth="1"/>
    <col min="14345" max="14345" width="19.42578125" style="65" customWidth="1"/>
    <col min="14346" max="14349" width="22.5703125" style="65" customWidth="1"/>
    <col min="14350" max="14350" width="19.42578125" style="65" customWidth="1"/>
    <col min="14351" max="14351" width="14" style="65" customWidth="1"/>
    <col min="14352" max="14352" width="21.42578125" style="65" customWidth="1"/>
    <col min="14353" max="14592" width="9.140625" style="65"/>
    <col min="14593" max="14593" width="3.140625" style="65" customWidth="1"/>
    <col min="14594" max="14594" width="19.85546875" style="65" customWidth="1"/>
    <col min="14595" max="14597" width="22.5703125" style="65" customWidth="1"/>
    <col min="14598" max="14598" width="28.140625" style="65" customWidth="1"/>
    <col min="14599" max="14599" width="16.85546875" style="65" customWidth="1"/>
    <col min="14600" max="14600" width="22.5703125" style="65" customWidth="1"/>
    <col min="14601" max="14601" width="19.42578125" style="65" customWidth="1"/>
    <col min="14602" max="14605" width="22.5703125" style="65" customWidth="1"/>
    <col min="14606" max="14606" width="19.42578125" style="65" customWidth="1"/>
    <col min="14607" max="14607" width="14" style="65" customWidth="1"/>
    <col min="14608" max="14608" width="21.42578125" style="65" customWidth="1"/>
    <col min="14609" max="14848" width="9.140625" style="65"/>
    <col min="14849" max="14849" width="3.140625" style="65" customWidth="1"/>
    <col min="14850" max="14850" width="19.85546875" style="65" customWidth="1"/>
    <col min="14851" max="14853" width="22.5703125" style="65" customWidth="1"/>
    <col min="14854" max="14854" width="28.140625" style="65" customWidth="1"/>
    <col min="14855" max="14855" width="16.85546875" style="65" customWidth="1"/>
    <col min="14856" max="14856" width="22.5703125" style="65" customWidth="1"/>
    <col min="14857" max="14857" width="19.42578125" style="65" customWidth="1"/>
    <col min="14858" max="14861" width="22.5703125" style="65" customWidth="1"/>
    <col min="14862" max="14862" width="19.42578125" style="65" customWidth="1"/>
    <col min="14863" max="14863" width="14" style="65" customWidth="1"/>
    <col min="14864" max="14864" width="21.42578125" style="65" customWidth="1"/>
    <col min="14865" max="15104" width="9.140625" style="65"/>
    <col min="15105" max="15105" width="3.140625" style="65" customWidth="1"/>
    <col min="15106" max="15106" width="19.85546875" style="65" customWidth="1"/>
    <col min="15107" max="15109" width="22.5703125" style="65" customWidth="1"/>
    <col min="15110" max="15110" width="28.140625" style="65" customWidth="1"/>
    <col min="15111" max="15111" width="16.85546875" style="65" customWidth="1"/>
    <col min="15112" max="15112" width="22.5703125" style="65" customWidth="1"/>
    <col min="15113" max="15113" width="19.42578125" style="65" customWidth="1"/>
    <col min="15114" max="15117" width="22.5703125" style="65" customWidth="1"/>
    <col min="15118" max="15118" width="19.42578125" style="65" customWidth="1"/>
    <col min="15119" max="15119" width="14" style="65" customWidth="1"/>
    <col min="15120" max="15120" width="21.42578125" style="65" customWidth="1"/>
    <col min="15121" max="15360" width="9.140625" style="65"/>
    <col min="15361" max="15361" width="3.140625" style="65" customWidth="1"/>
    <col min="15362" max="15362" width="19.85546875" style="65" customWidth="1"/>
    <col min="15363" max="15365" width="22.5703125" style="65" customWidth="1"/>
    <col min="15366" max="15366" width="28.140625" style="65" customWidth="1"/>
    <col min="15367" max="15367" width="16.85546875" style="65" customWidth="1"/>
    <col min="15368" max="15368" width="22.5703125" style="65" customWidth="1"/>
    <col min="15369" max="15369" width="19.42578125" style="65" customWidth="1"/>
    <col min="15370" max="15373" width="22.5703125" style="65" customWidth="1"/>
    <col min="15374" max="15374" width="19.42578125" style="65" customWidth="1"/>
    <col min="15375" max="15375" width="14" style="65" customWidth="1"/>
    <col min="15376" max="15376" width="21.42578125" style="65" customWidth="1"/>
    <col min="15377" max="15616" width="9.140625" style="65"/>
    <col min="15617" max="15617" width="3.140625" style="65" customWidth="1"/>
    <col min="15618" max="15618" width="19.85546875" style="65" customWidth="1"/>
    <col min="15619" max="15621" width="22.5703125" style="65" customWidth="1"/>
    <col min="15622" max="15622" width="28.140625" style="65" customWidth="1"/>
    <col min="15623" max="15623" width="16.85546875" style="65" customWidth="1"/>
    <col min="15624" max="15624" width="22.5703125" style="65" customWidth="1"/>
    <col min="15625" max="15625" width="19.42578125" style="65" customWidth="1"/>
    <col min="15626" max="15629" width="22.5703125" style="65" customWidth="1"/>
    <col min="15630" max="15630" width="19.42578125" style="65" customWidth="1"/>
    <col min="15631" max="15631" width="14" style="65" customWidth="1"/>
    <col min="15632" max="15632" width="21.42578125" style="65" customWidth="1"/>
    <col min="15633" max="15872" width="9.140625" style="65"/>
    <col min="15873" max="15873" width="3.140625" style="65" customWidth="1"/>
    <col min="15874" max="15874" width="19.85546875" style="65" customWidth="1"/>
    <col min="15875" max="15877" width="22.5703125" style="65" customWidth="1"/>
    <col min="15878" max="15878" width="28.140625" style="65" customWidth="1"/>
    <col min="15879" max="15879" width="16.85546875" style="65" customWidth="1"/>
    <col min="15880" max="15880" width="22.5703125" style="65" customWidth="1"/>
    <col min="15881" max="15881" width="19.42578125" style="65" customWidth="1"/>
    <col min="15882" max="15885" width="22.5703125" style="65" customWidth="1"/>
    <col min="15886" max="15886" width="19.42578125" style="65" customWidth="1"/>
    <col min="15887" max="15887" width="14" style="65" customWidth="1"/>
    <col min="15888" max="15888" width="21.42578125" style="65" customWidth="1"/>
    <col min="15889" max="16128" width="9.140625" style="65"/>
    <col min="16129" max="16129" width="3.140625" style="65" customWidth="1"/>
    <col min="16130" max="16130" width="19.85546875" style="65" customWidth="1"/>
    <col min="16131" max="16133" width="22.5703125" style="65" customWidth="1"/>
    <col min="16134" max="16134" width="28.140625" style="65" customWidth="1"/>
    <col min="16135" max="16135" width="16.85546875" style="65" customWidth="1"/>
    <col min="16136" max="16136" width="22.5703125" style="65" customWidth="1"/>
    <col min="16137" max="16137" width="19.42578125" style="65" customWidth="1"/>
    <col min="16138" max="16141" width="22.5703125" style="65" customWidth="1"/>
    <col min="16142" max="16142" width="19.42578125" style="65" customWidth="1"/>
    <col min="16143" max="16143" width="14" style="65" customWidth="1"/>
    <col min="16144" max="16144" width="21.42578125" style="65" customWidth="1"/>
    <col min="16145" max="16384" width="9.140625" style="65"/>
  </cols>
  <sheetData>
    <row r="1" spans="1:16" ht="28.5" x14ac:dyDescent="0.25">
      <c r="B1" s="26" t="s">
        <v>105</v>
      </c>
      <c r="C1" s="66">
        <v>43586</v>
      </c>
      <c r="D1" s="67">
        <v>43830</v>
      </c>
    </row>
    <row r="2" spans="1:16" ht="28.5" x14ac:dyDescent="0.25">
      <c r="B2" s="26" t="s">
        <v>106</v>
      </c>
      <c r="C2" s="67">
        <v>43831</v>
      </c>
      <c r="D2" s="66">
        <v>44196</v>
      </c>
    </row>
    <row r="4" spans="1:16" ht="60.75" customHeight="1" x14ac:dyDescent="0.25">
      <c r="B4" s="26" t="s">
        <v>107</v>
      </c>
      <c r="C4" s="26" t="s">
        <v>108</v>
      </c>
      <c r="D4" s="26" t="s">
        <v>109</v>
      </c>
      <c r="E4" s="26" t="s">
        <v>110</v>
      </c>
      <c r="F4" s="26" t="s">
        <v>111</v>
      </c>
      <c r="G4" s="26" t="s">
        <v>112</v>
      </c>
      <c r="H4" s="26" t="s">
        <v>113</v>
      </c>
      <c r="I4" s="26" t="s">
        <v>114</v>
      </c>
      <c r="J4" s="26" t="s">
        <v>115</v>
      </c>
      <c r="K4" s="26" t="s">
        <v>116</v>
      </c>
      <c r="L4" s="26" t="s">
        <v>117</v>
      </c>
      <c r="M4" s="26" t="s">
        <v>118</v>
      </c>
      <c r="N4" s="26" t="s">
        <v>119</v>
      </c>
      <c r="O4" s="26" t="s">
        <v>120</v>
      </c>
      <c r="P4" s="26" t="s">
        <v>121</v>
      </c>
    </row>
    <row r="5" spans="1:16" x14ac:dyDescent="0.25">
      <c r="B5" s="14">
        <v>1</v>
      </c>
      <c r="C5" s="67">
        <v>43572</v>
      </c>
      <c r="D5" s="67">
        <f t="shared" ref="D5:D26" si="0">IF(C5="","",$C$1)</f>
        <v>43586</v>
      </c>
      <c r="E5" s="14">
        <f>F5-C5+1</f>
        <v>120</v>
      </c>
      <c r="F5" s="67">
        <v>43691</v>
      </c>
      <c r="G5" s="45">
        <f>IF(F5="","",YEAR(F5))</f>
        <v>2019</v>
      </c>
      <c r="H5" s="14">
        <v>372</v>
      </c>
      <c r="I5" s="14" t="s">
        <v>24</v>
      </c>
      <c r="J5" s="68">
        <f>((((D5-C5)+1)*0.865)+29.7662)</f>
        <v>42.741199999999999</v>
      </c>
      <c r="K5" s="14">
        <f>(147170*H5)/1130</f>
        <v>48448.884955752212</v>
      </c>
      <c r="L5" s="68">
        <v>130.24</v>
      </c>
      <c r="M5" s="38">
        <f t="shared" ref="M5:M26" si="1">IF(J5="","",AVERAGE(J5,L5))</f>
        <v>86.490600000000001</v>
      </c>
      <c r="N5" s="14">
        <f>IF(F5="","",F5-LARGE(C5:D5,1))+1</f>
        <v>106</v>
      </c>
      <c r="O5" s="14">
        <f t="shared" ref="O5:O26" si="2">IF(N5="","",H5*N5)</f>
        <v>39432</v>
      </c>
      <c r="P5" s="14">
        <f t="shared" ref="P5:P22" si="3">IF(M5="","",H5*M5)</f>
        <v>32174.503199999999</v>
      </c>
    </row>
    <row r="6" spans="1:16" x14ac:dyDescent="0.25">
      <c r="B6" s="14">
        <v>2</v>
      </c>
      <c r="C6" s="67">
        <v>43573</v>
      </c>
      <c r="D6" s="67">
        <f t="shared" si="0"/>
        <v>43586</v>
      </c>
      <c r="E6" s="14">
        <f t="shared" ref="E6:E26" si="4">F6-C6+1</f>
        <v>119</v>
      </c>
      <c r="F6" s="67">
        <v>43691</v>
      </c>
      <c r="G6" s="45">
        <f t="shared" ref="G6:G26" si="5">IF(F6="","",YEAR(F6))</f>
        <v>2019</v>
      </c>
      <c r="H6" s="14">
        <v>372</v>
      </c>
      <c r="I6" s="14" t="s">
        <v>24</v>
      </c>
      <c r="J6" s="68">
        <f>((((D6-C6)+1)*0.865)+28.8831)</f>
        <v>40.993099999999998</v>
      </c>
      <c r="K6" s="14">
        <f>(147170*H6)/1130</f>
        <v>48448.884955752212</v>
      </c>
      <c r="L6" s="68">
        <v>130.24</v>
      </c>
      <c r="M6" s="38">
        <f t="shared" si="1"/>
        <v>85.616550000000004</v>
      </c>
      <c r="N6" s="14">
        <f t="shared" ref="N6:N26" si="6">IF(F6="","",F6-LARGE(C6:D6,1))+1</f>
        <v>106</v>
      </c>
      <c r="O6" s="14">
        <f t="shared" si="2"/>
        <v>39432</v>
      </c>
      <c r="P6" s="14">
        <f t="shared" si="3"/>
        <v>31849.356600000003</v>
      </c>
    </row>
    <row r="7" spans="1:16" x14ac:dyDescent="0.25">
      <c r="B7" s="14">
        <v>3</v>
      </c>
      <c r="C7" s="67">
        <v>43575</v>
      </c>
      <c r="D7" s="67">
        <f t="shared" si="0"/>
        <v>43586</v>
      </c>
      <c r="E7" s="14">
        <f t="shared" si="4"/>
        <v>117</v>
      </c>
      <c r="F7" s="67">
        <v>43691</v>
      </c>
      <c r="G7" s="45">
        <f t="shared" si="5"/>
        <v>2019</v>
      </c>
      <c r="H7" s="14">
        <v>386</v>
      </c>
      <c r="I7" s="14" t="s">
        <v>24</v>
      </c>
      <c r="J7" s="68">
        <f>((((D7-C7)+1)*0.865)+28.8537)</f>
        <v>39.233699999999999</v>
      </c>
      <c r="K7" s="14">
        <f>(147170*H7)/1130</f>
        <v>50272.230088495577</v>
      </c>
      <c r="L7" s="68">
        <v>130.24</v>
      </c>
      <c r="M7" s="38">
        <f t="shared" si="1"/>
        <v>84.736850000000004</v>
      </c>
      <c r="N7" s="14">
        <f t="shared" si="6"/>
        <v>106</v>
      </c>
      <c r="O7" s="14">
        <f t="shared" si="2"/>
        <v>40916</v>
      </c>
      <c r="P7" s="14">
        <f t="shared" si="3"/>
        <v>32708.4241</v>
      </c>
    </row>
    <row r="8" spans="1:16" x14ac:dyDescent="0.25">
      <c r="B8" s="14">
        <v>4</v>
      </c>
      <c r="C8" s="67">
        <v>43575</v>
      </c>
      <c r="D8" s="67">
        <f t="shared" si="0"/>
        <v>43586</v>
      </c>
      <c r="E8" s="14">
        <f t="shared" si="4"/>
        <v>115</v>
      </c>
      <c r="F8" s="67">
        <v>43689</v>
      </c>
      <c r="G8" s="45">
        <f t="shared" si="5"/>
        <v>2019</v>
      </c>
      <c r="H8" s="14">
        <v>35</v>
      </c>
      <c r="I8" s="14" t="s">
        <v>24</v>
      </c>
      <c r="J8" s="68">
        <f>((((D8-C8)+1)*0.698)+28.7013)</f>
        <v>37.077300000000001</v>
      </c>
      <c r="K8" s="14">
        <v>3827</v>
      </c>
      <c r="L8" s="68">
        <v>109.34</v>
      </c>
      <c r="M8" s="38">
        <f t="shared" si="1"/>
        <v>73.208650000000006</v>
      </c>
      <c r="N8" s="14">
        <f t="shared" si="6"/>
        <v>104</v>
      </c>
      <c r="O8" s="14">
        <f t="shared" si="2"/>
        <v>3640</v>
      </c>
      <c r="P8" s="14">
        <f t="shared" si="3"/>
        <v>2562.3027500000003</v>
      </c>
    </row>
    <row r="9" spans="1:16" x14ac:dyDescent="0.25">
      <c r="B9" s="14">
        <v>5</v>
      </c>
      <c r="C9" s="67">
        <v>43575</v>
      </c>
      <c r="D9" s="67">
        <f t="shared" si="0"/>
        <v>43586</v>
      </c>
      <c r="E9" s="14">
        <f t="shared" si="4"/>
        <v>118</v>
      </c>
      <c r="F9" s="67">
        <v>43692</v>
      </c>
      <c r="G9" s="45">
        <f t="shared" si="5"/>
        <v>2019</v>
      </c>
      <c r="H9" s="14">
        <v>714</v>
      </c>
      <c r="I9" s="14" t="s">
        <v>24</v>
      </c>
      <c r="J9" s="68">
        <f>((((D9-C9)+1)*0.86)+29.039)</f>
        <v>39.359000000000002</v>
      </c>
      <c r="K9" s="14">
        <v>93168</v>
      </c>
      <c r="L9" s="68">
        <v>130.49</v>
      </c>
      <c r="M9" s="38">
        <f t="shared" si="1"/>
        <v>84.924500000000009</v>
      </c>
      <c r="N9" s="14">
        <f t="shared" si="6"/>
        <v>107</v>
      </c>
      <c r="O9" s="14">
        <f t="shared" si="2"/>
        <v>76398</v>
      </c>
      <c r="P9" s="14">
        <f t="shared" si="3"/>
        <v>60636.093000000008</v>
      </c>
    </row>
    <row r="10" spans="1:16" x14ac:dyDescent="0.25">
      <c r="B10" s="14">
        <v>6</v>
      </c>
      <c r="C10" s="67">
        <v>43708</v>
      </c>
      <c r="D10" s="67">
        <f t="shared" si="0"/>
        <v>43586</v>
      </c>
      <c r="E10" s="14">
        <f t="shared" si="4"/>
        <v>125</v>
      </c>
      <c r="F10" s="67">
        <v>43832</v>
      </c>
      <c r="G10" s="45">
        <f t="shared" si="5"/>
        <v>2020</v>
      </c>
      <c r="H10" s="14">
        <f>358-12</f>
        <v>346</v>
      </c>
      <c r="I10" s="14" t="s">
        <v>24</v>
      </c>
      <c r="J10" s="68">
        <v>25.93</v>
      </c>
      <c r="K10" s="14">
        <f>(119010*H10)/860</f>
        <v>47880.767441860466</v>
      </c>
      <c r="L10" s="68">
        <v>138.38</v>
      </c>
      <c r="M10" s="38">
        <f t="shared" si="1"/>
        <v>82.155000000000001</v>
      </c>
      <c r="N10" s="14">
        <f t="shared" si="6"/>
        <v>125</v>
      </c>
      <c r="O10" s="14">
        <f t="shared" si="2"/>
        <v>43250</v>
      </c>
      <c r="P10" s="14">
        <f t="shared" si="3"/>
        <v>28425.63</v>
      </c>
    </row>
    <row r="11" spans="1:16" x14ac:dyDescent="0.25">
      <c r="A11" s="136"/>
      <c r="B11" s="14">
        <v>7</v>
      </c>
      <c r="C11" s="67">
        <v>43708</v>
      </c>
      <c r="D11" s="67">
        <f t="shared" si="0"/>
        <v>43586</v>
      </c>
      <c r="E11" s="14">
        <f t="shared" si="4"/>
        <v>125</v>
      </c>
      <c r="F11" s="67">
        <v>43832</v>
      </c>
      <c r="G11" s="45">
        <f t="shared" si="5"/>
        <v>2020</v>
      </c>
      <c r="H11" s="14">
        <f>358-12</f>
        <v>346</v>
      </c>
      <c r="I11" s="14" t="s">
        <v>24</v>
      </c>
      <c r="J11" s="68">
        <v>25.93</v>
      </c>
      <c r="K11" s="14">
        <f>(119010*H11)/860</f>
        <v>47880.767441860466</v>
      </c>
      <c r="L11" s="68">
        <v>138.38</v>
      </c>
      <c r="M11" s="38">
        <f t="shared" si="1"/>
        <v>82.155000000000001</v>
      </c>
      <c r="N11" s="14">
        <f t="shared" si="6"/>
        <v>125</v>
      </c>
      <c r="O11" s="14">
        <f t="shared" si="2"/>
        <v>43250</v>
      </c>
      <c r="P11" s="14">
        <f t="shared" si="3"/>
        <v>28425.63</v>
      </c>
    </row>
    <row r="12" spans="1:16" x14ac:dyDescent="0.25">
      <c r="B12" s="14">
        <v>8</v>
      </c>
      <c r="C12" s="67">
        <v>43708</v>
      </c>
      <c r="D12" s="67">
        <f t="shared" si="0"/>
        <v>43586</v>
      </c>
      <c r="E12" s="14">
        <f t="shared" si="4"/>
        <v>125</v>
      </c>
      <c r="F12" s="67">
        <v>43832</v>
      </c>
      <c r="G12" s="45">
        <f t="shared" si="5"/>
        <v>2020</v>
      </c>
      <c r="H12" s="14">
        <f>860-SUM(H10:H11)</f>
        <v>168</v>
      </c>
      <c r="I12" s="14" t="s">
        <v>24</v>
      </c>
      <c r="J12" s="68">
        <v>25.93</v>
      </c>
      <c r="K12" s="14">
        <f>(119010*H12)/860</f>
        <v>23248.465116279069</v>
      </c>
      <c r="L12" s="68">
        <v>138.38</v>
      </c>
      <c r="M12" s="38">
        <f t="shared" si="1"/>
        <v>82.155000000000001</v>
      </c>
      <c r="N12" s="14">
        <f t="shared" si="6"/>
        <v>125</v>
      </c>
      <c r="O12" s="14">
        <f t="shared" si="2"/>
        <v>21000</v>
      </c>
      <c r="P12" s="14">
        <f t="shared" si="3"/>
        <v>13802.04</v>
      </c>
    </row>
    <row r="13" spans="1:16" x14ac:dyDescent="0.25">
      <c r="B13" s="14">
        <v>9</v>
      </c>
      <c r="C13" s="67">
        <v>43708</v>
      </c>
      <c r="D13" s="67">
        <f t="shared" si="0"/>
        <v>43586</v>
      </c>
      <c r="E13" s="14">
        <f t="shared" si="4"/>
        <v>126</v>
      </c>
      <c r="F13" s="67">
        <v>43833</v>
      </c>
      <c r="G13" s="45">
        <f>IF(F13="","",YEAR(F13))</f>
        <v>2020</v>
      </c>
      <c r="H13" s="14">
        <f>(358-12)-H12</f>
        <v>178</v>
      </c>
      <c r="I13" s="14" t="s">
        <v>24</v>
      </c>
      <c r="J13" s="68">
        <v>25.93</v>
      </c>
      <c r="K13" s="14">
        <f>(139001*H13)/1025</f>
        <v>24138.710243902438</v>
      </c>
      <c r="L13" s="68">
        <v>135.61000000000001</v>
      </c>
      <c r="M13" s="38">
        <f t="shared" si="1"/>
        <v>80.77000000000001</v>
      </c>
      <c r="N13" s="14">
        <f t="shared" si="6"/>
        <v>126</v>
      </c>
      <c r="O13" s="14">
        <f t="shared" si="2"/>
        <v>22428</v>
      </c>
      <c r="P13" s="14">
        <f t="shared" si="3"/>
        <v>14377.060000000001</v>
      </c>
    </row>
    <row r="14" spans="1:16" x14ac:dyDescent="0.25">
      <c r="B14" s="14">
        <v>10</v>
      </c>
      <c r="C14" s="67">
        <v>43708</v>
      </c>
      <c r="D14" s="67">
        <f t="shared" si="0"/>
        <v>43586</v>
      </c>
      <c r="E14" s="14">
        <f t="shared" si="4"/>
        <v>126</v>
      </c>
      <c r="F14" s="67">
        <v>43833</v>
      </c>
      <c r="G14" s="45">
        <f t="shared" si="5"/>
        <v>2020</v>
      </c>
      <c r="H14" s="14">
        <f>358-12</f>
        <v>346</v>
      </c>
      <c r="I14" s="14" t="s">
        <v>24</v>
      </c>
      <c r="J14" s="68">
        <v>25.93</v>
      </c>
      <c r="K14" s="14">
        <f>(139001*H14)/1025</f>
        <v>46921.313170731708</v>
      </c>
      <c r="L14" s="68">
        <v>135.61000000000001</v>
      </c>
      <c r="M14" s="38">
        <f t="shared" si="1"/>
        <v>80.77000000000001</v>
      </c>
      <c r="N14" s="14">
        <f t="shared" si="6"/>
        <v>126</v>
      </c>
      <c r="O14" s="14">
        <f t="shared" si="2"/>
        <v>43596</v>
      </c>
      <c r="P14" s="14">
        <f t="shared" si="3"/>
        <v>27946.420000000002</v>
      </c>
    </row>
    <row r="15" spans="1:16" x14ac:dyDescent="0.25">
      <c r="B15" s="14">
        <v>11</v>
      </c>
      <c r="C15" s="67">
        <v>43712</v>
      </c>
      <c r="D15" s="67">
        <f t="shared" si="0"/>
        <v>43586</v>
      </c>
      <c r="E15" s="14">
        <f t="shared" si="4"/>
        <v>122</v>
      </c>
      <c r="F15" s="67">
        <v>43833</v>
      </c>
      <c r="G15" s="45">
        <f t="shared" si="5"/>
        <v>2020</v>
      </c>
      <c r="H15" s="14">
        <f>258-8</f>
        <v>250</v>
      </c>
      <c r="I15" s="14" t="s">
        <v>24</v>
      </c>
      <c r="J15" s="68">
        <v>25.93</v>
      </c>
      <c r="K15" s="14">
        <f>(139001*H15)/1025</f>
        <v>33902.682926829271</v>
      </c>
      <c r="L15" s="68">
        <v>135.61000000000001</v>
      </c>
      <c r="M15" s="38">
        <f t="shared" si="1"/>
        <v>80.77000000000001</v>
      </c>
      <c r="N15" s="14">
        <f t="shared" si="6"/>
        <v>122</v>
      </c>
      <c r="O15" s="14">
        <f t="shared" si="2"/>
        <v>30500</v>
      </c>
      <c r="P15" s="14">
        <f t="shared" si="3"/>
        <v>20192.500000000004</v>
      </c>
    </row>
    <row r="16" spans="1:16" x14ac:dyDescent="0.25">
      <c r="B16" s="14">
        <v>12</v>
      </c>
      <c r="C16" s="67">
        <v>43712</v>
      </c>
      <c r="D16" s="67">
        <f t="shared" si="0"/>
        <v>43586</v>
      </c>
      <c r="E16" s="14">
        <f t="shared" si="4"/>
        <v>122</v>
      </c>
      <c r="F16" s="67">
        <v>43833</v>
      </c>
      <c r="G16" s="45">
        <f t="shared" si="5"/>
        <v>2020</v>
      </c>
      <c r="H16" s="14">
        <f>259-8</f>
        <v>251</v>
      </c>
      <c r="I16" s="14" t="s">
        <v>24</v>
      </c>
      <c r="J16" s="68">
        <v>25.93</v>
      </c>
      <c r="K16" s="14">
        <f>(139001*H16)/1025</f>
        <v>34038.293658536582</v>
      </c>
      <c r="L16" s="68">
        <v>135.61000000000001</v>
      </c>
      <c r="M16" s="38">
        <f t="shared" si="1"/>
        <v>80.77000000000001</v>
      </c>
      <c r="N16" s="14">
        <f t="shared" si="6"/>
        <v>122</v>
      </c>
      <c r="O16" s="14">
        <f t="shared" si="2"/>
        <v>30622</v>
      </c>
      <c r="P16" s="14">
        <f t="shared" si="3"/>
        <v>20273.270000000004</v>
      </c>
    </row>
    <row r="17" spans="2:16" x14ac:dyDescent="0.25">
      <c r="B17" s="14">
        <v>13</v>
      </c>
      <c r="C17" s="67">
        <v>43839</v>
      </c>
      <c r="D17" s="67">
        <f t="shared" si="0"/>
        <v>43586</v>
      </c>
      <c r="E17" s="14">
        <f t="shared" si="4"/>
        <v>132</v>
      </c>
      <c r="F17" s="67">
        <v>43970</v>
      </c>
      <c r="G17" s="45">
        <f t="shared" si="5"/>
        <v>2020</v>
      </c>
      <c r="H17" s="14">
        <v>459</v>
      </c>
      <c r="I17" s="14" t="s">
        <v>24</v>
      </c>
      <c r="J17" s="38">
        <v>24.73</v>
      </c>
      <c r="K17" s="14">
        <f>68616</f>
        <v>68616</v>
      </c>
      <c r="L17" s="68">
        <v>149.49</v>
      </c>
      <c r="M17" s="38">
        <f t="shared" si="1"/>
        <v>87.11</v>
      </c>
      <c r="N17" s="14">
        <f t="shared" si="6"/>
        <v>132</v>
      </c>
      <c r="O17" s="14">
        <f t="shared" si="2"/>
        <v>60588</v>
      </c>
      <c r="P17" s="14">
        <f t="shared" si="3"/>
        <v>39983.49</v>
      </c>
    </row>
    <row r="18" spans="2:16" x14ac:dyDescent="0.25">
      <c r="B18" s="14">
        <v>14</v>
      </c>
      <c r="C18" s="67">
        <v>43839</v>
      </c>
      <c r="D18" s="67">
        <f t="shared" si="0"/>
        <v>43586</v>
      </c>
      <c r="E18" s="14">
        <f t="shared" si="4"/>
        <v>133</v>
      </c>
      <c r="F18" s="67">
        <v>43971</v>
      </c>
      <c r="G18" s="45">
        <f t="shared" si="5"/>
        <v>2020</v>
      </c>
      <c r="H18" s="14">
        <f>503-H17</f>
        <v>44</v>
      </c>
      <c r="I18" s="14" t="s">
        <v>24</v>
      </c>
      <c r="J18" s="38">
        <v>24.73</v>
      </c>
      <c r="K18" s="14">
        <f>(189726*H18)/1370</f>
        <v>6093.3897810218978</v>
      </c>
      <c r="L18" s="68">
        <v>138.49</v>
      </c>
      <c r="M18" s="38">
        <f t="shared" si="1"/>
        <v>81.61</v>
      </c>
      <c r="N18" s="14">
        <f t="shared" si="6"/>
        <v>133</v>
      </c>
      <c r="O18" s="14">
        <f t="shared" si="2"/>
        <v>5852</v>
      </c>
      <c r="P18" s="14">
        <f t="shared" si="3"/>
        <v>3590.84</v>
      </c>
    </row>
    <row r="19" spans="2:16" x14ac:dyDescent="0.25">
      <c r="B19" s="14">
        <v>15</v>
      </c>
      <c r="C19" s="67">
        <v>43840</v>
      </c>
      <c r="D19" s="67">
        <f t="shared" si="0"/>
        <v>43586</v>
      </c>
      <c r="E19" s="14">
        <f t="shared" si="4"/>
        <v>132</v>
      </c>
      <c r="F19" s="67">
        <v>43971</v>
      </c>
      <c r="G19" s="45">
        <f t="shared" si="5"/>
        <v>2020</v>
      </c>
      <c r="H19" s="14">
        <f>297+499+395+135</f>
        <v>1326</v>
      </c>
      <c r="I19" s="14" t="s">
        <v>24</v>
      </c>
      <c r="J19" s="38">
        <v>24.73</v>
      </c>
      <c r="K19" s="14">
        <f>(189726*H19)/1370</f>
        <v>183632.61021897811</v>
      </c>
      <c r="L19" s="68">
        <v>138.49</v>
      </c>
      <c r="M19" s="38">
        <f t="shared" si="1"/>
        <v>81.61</v>
      </c>
      <c r="N19" s="14">
        <f t="shared" si="6"/>
        <v>132</v>
      </c>
      <c r="O19" s="14">
        <f t="shared" si="2"/>
        <v>175032</v>
      </c>
      <c r="P19" s="14">
        <f t="shared" si="3"/>
        <v>108214.86</v>
      </c>
    </row>
    <row r="20" spans="2:16" x14ac:dyDescent="0.25">
      <c r="B20" s="14">
        <v>16</v>
      </c>
      <c r="C20" s="67">
        <v>43840</v>
      </c>
      <c r="D20" s="67">
        <f t="shared" si="0"/>
        <v>43586</v>
      </c>
      <c r="E20" s="14">
        <f t="shared" si="4"/>
        <v>134</v>
      </c>
      <c r="F20" s="67">
        <v>43973</v>
      </c>
      <c r="G20" s="45">
        <f t="shared" si="5"/>
        <v>2020</v>
      </c>
      <c r="H20" s="14">
        <v>35</v>
      </c>
      <c r="I20" s="14" t="s">
        <v>24</v>
      </c>
      <c r="J20" s="38">
        <v>24.73</v>
      </c>
      <c r="K20" s="14">
        <v>4394.6000000000004</v>
      </c>
      <c r="L20" s="68">
        <v>125.56</v>
      </c>
      <c r="M20" s="38">
        <f t="shared" si="1"/>
        <v>75.144999999999996</v>
      </c>
      <c r="N20" s="14">
        <f t="shared" si="6"/>
        <v>134</v>
      </c>
      <c r="O20" s="14">
        <f t="shared" si="2"/>
        <v>4690</v>
      </c>
      <c r="P20" s="14">
        <f t="shared" si="3"/>
        <v>2630.0749999999998</v>
      </c>
    </row>
    <row r="21" spans="2:16" x14ac:dyDescent="0.25">
      <c r="B21" s="14">
        <v>17</v>
      </c>
      <c r="C21" s="67">
        <v>43840</v>
      </c>
      <c r="D21" s="67">
        <f t="shared" si="0"/>
        <v>43586</v>
      </c>
      <c r="E21" s="14">
        <f t="shared" si="4"/>
        <v>138</v>
      </c>
      <c r="F21" s="67">
        <v>43977</v>
      </c>
      <c r="G21" s="45">
        <f t="shared" si="5"/>
        <v>2020</v>
      </c>
      <c r="H21" s="14">
        <v>21</v>
      </c>
      <c r="I21" s="14" t="s">
        <v>24</v>
      </c>
      <c r="J21" s="38">
        <v>24.73</v>
      </c>
      <c r="K21" s="14">
        <v>2328</v>
      </c>
      <c r="L21" s="68">
        <v>110.86</v>
      </c>
      <c r="M21" s="38">
        <f t="shared" si="1"/>
        <v>67.795000000000002</v>
      </c>
      <c r="N21" s="14">
        <f t="shared" si="6"/>
        <v>138</v>
      </c>
      <c r="O21" s="14">
        <f t="shared" si="2"/>
        <v>2898</v>
      </c>
      <c r="P21" s="14">
        <f t="shared" si="3"/>
        <v>1423.6949999999999</v>
      </c>
    </row>
    <row r="22" spans="2:16" x14ac:dyDescent="0.25">
      <c r="B22" s="14">
        <v>18</v>
      </c>
      <c r="C22" s="67">
        <v>43976</v>
      </c>
      <c r="D22" s="67">
        <f t="shared" si="0"/>
        <v>43586</v>
      </c>
      <c r="E22" s="14">
        <f t="shared" si="4"/>
        <v>123</v>
      </c>
      <c r="F22" s="67">
        <v>44098</v>
      </c>
      <c r="G22" s="45">
        <f t="shared" si="5"/>
        <v>2020</v>
      </c>
      <c r="H22" s="14">
        <f>485+385</f>
        <v>870</v>
      </c>
      <c r="I22" s="14" t="s">
        <v>24</v>
      </c>
      <c r="J22" s="38">
        <v>23.75</v>
      </c>
      <c r="K22" s="14">
        <v>108386</v>
      </c>
      <c r="L22" s="68">
        <v>124.58</v>
      </c>
      <c r="M22" s="38">
        <f t="shared" si="1"/>
        <v>74.164999999999992</v>
      </c>
      <c r="N22" s="14">
        <f t="shared" si="6"/>
        <v>123</v>
      </c>
      <c r="O22" s="14">
        <f t="shared" si="2"/>
        <v>107010</v>
      </c>
      <c r="P22" s="14">
        <f t="shared" si="3"/>
        <v>64523.549999999996</v>
      </c>
    </row>
    <row r="23" spans="2:16" x14ac:dyDescent="0.25">
      <c r="B23" s="14">
        <v>19</v>
      </c>
      <c r="C23" s="67">
        <v>43976</v>
      </c>
      <c r="D23" s="67">
        <f t="shared" si="0"/>
        <v>43586</v>
      </c>
      <c r="E23" s="14">
        <f t="shared" si="4"/>
        <v>124</v>
      </c>
      <c r="F23" s="67">
        <v>44099</v>
      </c>
      <c r="G23" s="45">
        <f t="shared" si="5"/>
        <v>2020</v>
      </c>
      <c r="H23" s="14">
        <v>30</v>
      </c>
      <c r="I23" s="14" t="s">
        <v>24</v>
      </c>
      <c r="J23" s="38">
        <v>23.75</v>
      </c>
      <c r="K23" s="14">
        <v>2976</v>
      </c>
      <c r="L23" s="68">
        <v>99.2</v>
      </c>
      <c r="M23" s="38">
        <f t="shared" si="1"/>
        <v>61.475000000000001</v>
      </c>
      <c r="N23" s="14">
        <f t="shared" si="6"/>
        <v>124</v>
      </c>
      <c r="O23" s="14">
        <f t="shared" si="2"/>
        <v>3720</v>
      </c>
      <c r="P23" s="14">
        <f>IF(M23="","",H23*M23)</f>
        <v>1844.25</v>
      </c>
    </row>
    <row r="24" spans="2:16" x14ac:dyDescent="0.25">
      <c r="B24" s="14">
        <v>20</v>
      </c>
      <c r="C24" s="67">
        <v>43976</v>
      </c>
      <c r="D24" s="67">
        <f t="shared" si="0"/>
        <v>43586</v>
      </c>
      <c r="E24" s="14">
        <f t="shared" si="4"/>
        <v>125</v>
      </c>
      <c r="F24" s="67">
        <v>44100</v>
      </c>
      <c r="G24" s="45">
        <f t="shared" si="5"/>
        <v>2020</v>
      </c>
      <c r="H24" s="14">
        <v>70</v>
      </c>
      <c r="I24" s="14" t="s">
        <v>24</v>
      </c>
      <c r="J24" s="38">
        <v>23.75</v>
      </c>
      <c r="K24" s="14">
        <f>(122530*H24)/992</f>
        <v>8646.270161290322</v>
      </c>
      <c r="L24" s="68">
        <v>123.52</v>
      </c>
      <c r="M24" s="38">
        <f t="shared" si="1"/>
        <v>73.634999999999991</v>
      </c>
      <c r="N24" s="14">
        <f t="shared" si="6"/>
        <v>125</v>
      </c>
      <c r="O24" s="14">
        <f t="shared" si="2"/>
        <v>8750</v>
      </c>
      <c r="P24" s="14">
        <f>IF(M24="","",H24*M24)</f>
        <v>5154.4499999999989</v>
      </c>
    </row>
    <row r="25" spans="2:16" x14ac:dyDescent="0.25">
      <c r="B25" s="14">
        <v>21</v>
      </c>
      <c r="C25" s="67">
        <v>43983</v>
      </c>
      <c r="D25" s="67">
        <f t="shared" si="0"/>
        <v>43586</v>
      </c>
      <c r="E25" s="14">
        <f t="shared" si="4"/>
        <v>118</v>
      </c>
      <c r="F25" s="67">
        <v>44100</v>
      </c>
      <c r="G25" s="45">
        <f t="shared" si="5"/>
        <v>2020</v>
      </c>
      <c r="H25" s="14">
        <v>408</v>
      </c>
      <c r="I25" s="14" t="s">
        <v>24</v>
      </c>
      <c r="J25" s="38">
        <v>23.75</v>
      </c>
      <c r="K25" s="14">
        <f>(122530*H25)/992</f>
        <v>50395.403225806454</v>
      </c>
      <c r="L25" s="68">
        <v>123.52</v>
      </c>
      <c r="M25" s="38">
        <f t="shared" si="1"/>
        <v>73.634999999999991</v>
      </c>
      <c r="N25" s="14">
        <f t="shared" si="6"/>
        <v>118</v>
      </c>
      <c r="O25" s="14">
        <f t="shared" si="2"/>
        <v>48144</v>
      </c>
      <c r="P25" s="14">
        <f>IF(M25="","",H25*M25)</f>
        <v>30043.079999999994</v>
      </c>
    </row>
    <row r="26" spans="2:16" x14ac:dyDescent="0.25">
      <c r="B26" s="14">
        <v>22</v>
      </c>
      <c r="C26" s="67">
        <v>43983</v>
      </c>
      <c r="D26" s="67">
        <f t="shared" si="0"/>
        <v>43586</v>
      </c>
      <c r="E26" s="14">
        <f t="shared" si="4"/>
        <v>118</v>
      </c>
      <c r="F26" s="67">
        <v>44100</v>
      </c>
      <c r="G26" s="45">
        <f t="shared" si="5"/>
        <v>2020</v>
      </c>
      <c r="H26" s="14">
        <v>514</v>
      </c>
      <c r="I26" s="14" t="s">
        <v>24</v>
      </c>
      <c r="J26" s="38">
        <v>23.75</v>
      </c>
      <c r="K26" s="14">
        <f>(122530*H26)/992</f>
        <v>63488.326612903227</v>
      </c>
      <c r="L26" s="68">
        <v>123.52</v>
      </c>
      <c r="M26" s="38">
        <f t="shared" si="1"/>
        <v>73.634999999999991</v>
      </c>
      <c r="N26" s="14">
        <f t="shared" si="6"/>
        <v>118</v>
      </c>
      <c r="O26" s="14">
        <f t="shared" si="2"/>
        <v>60652</v>
      </c>
      <c r="P26" s="14">
        <f>IF(M26="","",H26*M26)</f>
        <v>37848.389999999992</v>
      </c>
    </row>
    <row r="28" spans="2:16" x14ac:dyDescent="0.25">
      <c r="B28" s="146" t="s">
        <v>66</v>
      </c>
      <c r="C28" s="147"/>
      <c r="D28" s="147"/>
      <c r="E28" s="171"/>
    </row>
    <row r="29" spans="2:16" x14ac:dyDescent="0.25">
      <c r="B29" s="21" t="s">
        <v>15</v>
      </c>
      <c r="C29" s="52" t="s">
        <v>76</v>
      </c>
      <c r="D29" s="21">
        <v>2019</v>
      </c>
      <c r="E29" s="21">
        <v>2020</v>
      </c>
      <c r="F29" s="70"/>
      <c r="G29" s="70"/>
      <c r="I29" s="71"/>
    </row>
    <row r="30" spans="2:16" x14ac:dyDescent="0.25">
      <c r="B30" s="206" t="s">
        <v>86</v>
      </c>
      <c r="C30" s="11" t="s">
        <v>26</v>
      </c>
      <c r="D30" s="45">
        <f t="shared" ref="D30:E35" si="7">SUMIFS($O$5:$O$26,$I$5:$I$26,$C30,$G$5:$G$26,D$29)/(IF(SUMIFS($H$5:$H$26,$I$5:$I$26,$C30,$G$5:$G$26,D$29)=0,1,SUMIFS($H$5:$H$26,$I$5:$I$26,$C30,$G$5:$G$26,D$29)))</f>
        <v>0</v>
      </c>
      <c r="E30" s="45">
        <f t="shared" si="7"/>
        <v>0</v>
      </c>
      <c r="F30" s="70"/>
      <c r="G30" s="70"/>
      <c r="I30" s="73"/>
    </row>
    <row r="31" spans="2:16" x14ac:dyDescent="0.25">
      <c r="B31" s="207"/>
      <c r="C31" s="11" t="s">
        <v>27</v>
      </c>
      <c r="D31" s="45">
        <f t="shared" si="7"/>
        <v>0</v>
      </c>
      <c r="E31" s="45">
        <f t="shared" si="7"/>
        <v>0</v>
      </c>
      <c r="F31" s="70"/>
      <c r="G31" s="70"/>
      <c r="I31" s="73"/>
    </row>
    <row r="32" spans="2:16" x14ac:dyDescent="0.25">
      <c r="B32" s="207"/>
      <c r="C32" s="11" t="s">
        <v>28</v>
      </c>
      <c r="D32" s="45">
        <f t="shared" si="7"/>
        <v>0</v>
      </c>
      <c r="E32" s="45">
        <f t="shared" si="7"/>
        <v>0</v>
      </c>
      <c r="F32" s="70"/>
      <c r="G32" s="70"/>
      <c r="I32" s="73"/>
    </row>
    <row r="33" spans="2:9" x14ac:dyDescent="0.25">
      <c r="B33" s="207"/>
      <c r="C33" s="11" t="s">
        <v>29</v>
      </c>
      <c r="D33" s="45">
        <f t="shared" si="7"/>
        <v>0</v>
      </c>
      <c r="E33" s="45">
        <f t="shared" si="7"/>
        <v>0</v>
      </c>
      <c r="F33" s="70"/>
      <c r="G33" s="70"/>
      <c r="I33" s="73"/>
    </row>
    <row r="34" spans="2:9" x14ac:dyDescent="0.25">
      <c r="B34" s="207"/>
      <c r="C34" s="11" t="s">
        <v>30</v>
      </c>
      <c r="D34" s="45">
        <f t="shared" si="7"/>
        <v>0</v>
      </c>
      <c r="E34" s="45">
        <f t="shared" si="7"/>
        <v>0</v>
      </c>
      <c r="F34" s="70"/>
      <c r="G34" s="70"/>
      <c r="I34" s="73"/>
    </row>
    <row r="35" spans="2:9" x14ac:dyDescent="0.25">
      <c r="B35" s="207"/>
      <c r="C35" s="11" t="s">
        <v>78</v>
      </c>
      <c r="D35" s="45">
        <f t="shared" si="7"/>
        <v>0</v>
      </c>
      <c r="E35" s="45">
        <f t="shared" si="7"/>
        <v>0</v>
      </c>
      <c r="F35" s="70"/>
      <c r="G35" s="70"/>
      <c r="I35" s="73"/>
    </row>
    <row r="36" spans="2:9" x14ac:dyDescent="0.25">
      <c r="B36" s="208"/>
      <c r="C36" s="11" t="s">
        <v>24</v>
      </c>
      <c r="D36" s="45">
        <f>SUMIFS($O$5:$O$26,$I$5:$I$26,$C36,$G$5:$G$26,D$29)/(IF(SUMIFS($H$5:$H$26,$I$5:$I$26,$C36,$G$5:$G$26,D$29)=0,1,SUMIFS($H$5:$H$26,$I$5:$I$26,$C36,$G$5:$G$26,D$29)))</f>
        <v>106.3427354976051</v>
      </c>
      <c r="E36" s="45">
        <f>SUMIFS($O$5:$O$26,$I$5:$I$26,$C36,$G$5:$G$26,E$29)/(IF(SUMIFS($H$5:$H$26,$I$5:$I$26,$C36,$G$5:$G$26,E$29)=0,1,SUMIFS($H$5:$H$26,$I$5:$I$26,$C36,$G$5:$G$26,E$29)))</f>
        <v>125.74743906746733</v>
      </c>
      <c r="F36" s="70"/>
      <c r="G36" s="70"/>
      <c r="I36" s="73"/>
    </row>
    <row r="37" spans="2:9" x14ac:dyDescent="0.25">
      <c r="B37" s="170" t="s">
        <v>122</v>
      </c>
      <c r="C37" s="11" t="s">
        <v>26</v>
      </c>
      <c r="D37" s="45">
        <f t="shared" ref="D37:E42" si="8">SUMIFS($P$5:$P$26,$I$5:$I$26,$C37,$G$5:$G$26,D$29)/IF(SUMIFS($H$5:$H$26,$I$5:$I$26,$C37,$G$5:$G$26,D$29)=0,1,SUMIFS($H$5:$H$26,$I$5:$I$26,$C37,$G$5:$G$26,D$29))</f>
        <v>0</v>
      </c>
      <c r="E37" s="45">
        <f t="shared" si="8"/>
        <v>0</v>
      </c>
      <c r="F37" s="70"/>
      <c r="G37" s="70"/>
      <c r="I37" s="74"/>
    </row>
    <row r="38" spans="2:9" x14ac:dyDescent="0.25">
      <c r="B38" s="170"/>
      <c r="C38" s="11" t="s">
        <v>27</v>
      </c>
      <c r="D38" s="45">
        <f t="shared" si="8"/>
        <v>0</v>
      </c>
      <c r="E38" s="45">
        <f t="shared" si="8"/>
        <v>0</v>
      </c>
      <c r="F38" s="70"/>
      <c r="H38" s="71"/>
    </row>
    <row r="39" spans="2:9" x14ac:dyDescent="0.25">
      <c r="B39" s="170"/>
      <c r="C39" s="11" t="s">
        <v>28</v>
      </c>
      <c r="D39" s="45">
        <f t="shared" si="8"/>
        <v>0</v>
      </c>
      <c r="E39" s="45">
        <f t="shared" si="8"/>
        <v>0</v>
      </c>
      <c r="F39" s="70"/>
    </row>
    <row r="40" spans="2:9" x14ac:dyDescent="0.25">
      <c r="B40" s="170"/>
      <c r="C40" s="11" t="s">
        <v>29</v>
      </c>
      <c r="D40" s="45">
        <f t="shared" si="8"/>
        <v>0</v>
      </c>
      <c r="E40" s="45">
        <f t="shared" si="8"/>
        <v>0</v>
      </c>
      <c r="F40" s="70"/>
    </row>
    <row r="41" spans="2:9" x14ac:dyDescent="0.25">
      <c r="B41" s="170"/>
      <c r="C41" s="11" t="s">
        <v>30</v>
      </c>
      <c r="D41" s="45">
        <f t="shared" si="8"/>
        <v>0</v>
      </c>
      <c r="E41" s="45">
        <f t="shared" si="8"/>
        <v>0</v>
      </c>
      <c r="F41" s="70"/>
    </row>
    <row r="42" spans="2:9" x14ac:dyDescent="0.25">
      <c r="B42" s="170"/>
      <c r="C42" s="11" t="s">
        <v>78</v>
      </c>
      <c r="D42" s="45">
        <f t="shared" si="8"/>
        <v>0</v>
      </c>
      <c r="E42" s="45">
        <f t="shared" si="8"/>
        <v>0</v>
      </c>
    </row>
    <row r="43" spans="2:9" x14ac:dyDescent="0.25">
      <c r="B43" s="170"/>
      <c r="C43" s="11" t="s">
        <v>24</v>
      </c>
      <c r="D43" s="45">
        <f>SUMIFS($P$5:$P$26,$I$5:$I$26,$C43,$G$5:$G$26,D$29)/IF(SUMIFS($H$5:$H$26,$I$5:$I$26,$C43,$G$5:$G$26,D$29)=0,1,SUMIFS($H$5:$H$26,$I$5:$I$26,$C43,$G$5:$G$26,D$29))</f>
        <v>85.114784273549759</v>
      </c>
      <c r="E43" s="45">
        <f>SUMIFS($P$5:$P$26,$I$5:$I$26,$C43,$G$5:$G$26,E$29)/IF(SUMIFS($H$5:$H$26,$I$5:$I$26,$C43,$G$5:$G$26,E$29)=0,1,SUMIFS($H$5:$H$26,$I$5:$I$26,$C43,$G$5:$G$26,E$29))</f>
        <v>79.247479689155782</v>
      </c>
    </row>
  </sheetData>
  <mergeCells count="3">
    <mergeCell ref="B28:E28"/>
    <mergeCell ref="B30:B36"/>
    <mergeCell ref="B37:B43"/>
  </mergeCells>
  <dataValidations count="1">
    <dataValidation type="list" allowBlank="1" showInputMessage="1" showErrorMessage="1" sqref="I65534:I65555 WVQ983038:WVQ983059 WLU983038:WLU983059 WBY983038:WBY983059 VSC983038:VSC983059 VIG983038:VIG983059 UYK983038:UYK983059 UOO983038:UOO983059 UES983038:UES983059 TUW983038:TUW983059 TLA983038:TLA983059 TBE983038:TBE983059 SRI983038:SRI983059 SHM983038:SHM983059 RXQ983038:RXQ983059 RNU983038:RNU983059 RDY983038:RDY983059 QUC983038:QUC983059 QKG983038:QKG983059 QAK983038:QAK983059 PQO983038:PQO983059 PGS983038:PGS983059 OWW983038:OWW983059 ONA983038:ONA983059 ODE983038:ODE983059 NTI983038:NTI983059 NJM983038:NJM983059 MZQ983038:MZQ983059 MPU983038:MPU983059 MFY983038:MFY983059 LWC983038:LWC983059 LMG983038:LMG983059 LCK983038:LCK983059 KSO983038:KSO983059 KIS983038:KIS983059 JYW983038:JYW983059 JPA983038:JPA983059 JFE983038:JFE983059 IVI983038:IVI983059 ILM983038:ILM983059 IBQ983038:IBQ983059 HRU983038:HRU983059 HHY983038:HHY983059 GYC983038:GYC983059 GOG983038:GOG983059 GEK983038:GEK983059 FUO983038:FUO983059 FKS983038:FKS983059 FAW983038:FAW983059 ERA983038:ERA983059 EHE983038:EHE983059 DXI983038:DXI983059 DNM983038:DNM983059 DDQ983038:DDQ983059 CTU983038:CTU983059 CJY983038:CJY983059 CAC983038:CAC983059 BQG983038:BQG983059 BGK983038:BGK983059 AWO983038:AWO983059 AMS983038:AMS983059 ACW983038:ACW983059 TA983038:TA983059 JE983038:JE983059 I983038:I983059 WVQ917502:WVQ917523 WLU917502:WLU917523 WBY917502:WBY917523 VSC917502:VSC917523 VIG917502:VIG917523 UYK917502:UYK917523 UOO917502:UOO917523 UES917502:UES917523 TUW917502:TUW917523 TLA917502:TLA917523 TBE917502:TBE917523 SRI917502:SRI917523 SHM917502:SHM917523 RXQ917502:RXQ917523 RNU917502:RNU917523 RDY917502:RDY917523 QUC917502:QUC917523 QKG917502:QKG917523 QAK917502:QAK917523 PQO917502:PQO917523 PGS917502:PGS917523 OWW917502:OWW917523 ONA917502:ONA917523 ODE917502:ODE917523 NTI917502:NTI917523 NJM917502:NJM917523 MZQ917502:MZQ917523 MPU917502:MPU917523 MFY917502:MFY917523 LWC917502:LWC917523 LMG917502:LMG917523 LCK917502:LCK917523 KSO917502:KSO917523 KIS917502:KIS917523 JYW917502:JYW917523 JPA917502:JPA917523 JFE917502:JFE917523 IVI917502:IVI917523 ILM917502:ILM917523 IBQ917502:IBQ917523 HRU917502:HRU917523 HHY917502:HHY917523 GYC917502:GYC917523 GOG917502:GOG917523 GEK917502:GEK917523 FUO917502:FUO917523 FKS917502:FKS917523 FAW917502:FAW917523 ERA917502:ERA917523 EHE917502:EHE917523 DXI917502:DXI917523 DNM917502:DNM917523 DDQ917502:DDQ917523 CTU917502:CTU917523 CJY917502:CJY917523 CAC917502:CAC917523 BQG917502:BQG917523 BGK917502:BGK917523 AWO917502:AWO917523 AMS917502:AMS917523 ACW917502:ACW917523 TA917502:TA917523 JE917502:JE917523 I917502:I917523 WVQ851966:WVQ851987 WLU851966:WLU851987 WBY851966:WBY851987 VSC851966:VSC851987 VIG851966:VIG851987 UYK851966:UYK851987 UOO851966:UOO851987 UES851966:UES851987 TUW851966:TUW851987 TLA851966:TLA851987 TBE851966:TBE851987 SRI851966:SRI851987 SHM851966:SHM851987 RXQ851966:RXQ851987 RNU851966:RNU851987 RDY851966:RDY851987 QUC851966:QUC851987 QKG851966:QKG851987 QAK851966:QAK851987 PQO851966:PQO851987 PGS851966:PGS851987 OWW851966:OWW851987 ONA851966:ONA851987 ODE851966:ODE851987 NTI851966:NTI851987 NJM851966:NJM851987 MZQ851966:MZQ851987 MPU851966:MPU851987 MFY851966:MFY851987 LWC851966:LWC851987 LMG851966:LMG851987 LCK851966:LCK851987 KSO851966:KSO851987 KIS851966:KIS851987 JYW851966:JYW851987 JPA851966:JPA851987 JFE851966:JFE851987 IVI851966:IVI851987 ILM851966:ILM851987 IBQ851966:IBQ851987 HRU851966:HRU851987 HHY851966:HHY851987 GYC851966:GYC851987 GOG851966:GOG851987 GEK851966:GEK851987 FUO851966:FUO851987 FKS851966:FKS851987 FAW851966:FAW851987 ERA851966:ERA851987 EHE851966:EHE851987 DXI851966:DXI851987 DNM851966:DNM851987 DDQ851966:DDQ851987 CTU851966:CTU851987 CJY851966:CJY851987 CAC851966:CAC851987 BQG851966:BQG851987 BGK851966:BGK851987 AWO851966:AWO851987 AMS851966:AMS851987 ACW851966:ACW851987 TA851966:TA851987 JE851966:JE851987 I851966:I851987 WVQ786430:WVQ786451 WLU786430:WLU786451 WBY786430:WBY786451 VSC786430:VSC786451 VIG786430:VIG786451 UYK786430:UYK786451 UOO786430:UOO786451 UES786430:UES786451 TUW786430:TUW786451 TLA786430:TLA786451 TBE786430:TBE786451 SRI786430:SRI786451 SHM786430:SHM786451 RXQ786430:RXQ786451 RNU786430:RNU786451 RDY786430:RDY786451 QUC786430:QUC786451 QKG786430:QKG786451 QAK786430:QAK786451 PQO786430:PQO786451 PGS786430:PGS786451 OWW786430:OWW786451 ONA786430:ONA786451 ODE786430:ODE786451 NTI786430:NTI786451 NJM786430:NJM786451 MZQ786430:MZQ786451 MPU786430:MPU786451 MFY786430:MFY786451 LWC786430:LWC786451 LMG786430:LMG786451 LCK786430:LCK786451 KSO786430:KSO786451 KIS786430:KIS786451 JYW786430:JYW786451 JPA786430:JPA786451 JFE786430:JFE786451 IVI786430:IVI786451 ILM786430:ILM786451 IBQ786430:IBQ786451 HRU786430:HRU786451 HHY786430:HHY786451 GYC786430:GYC786451 GOG786430:GOG786451 GEK786430:GEK786451 FUO786430:FUO786451 FKS786430:FKS786451 FAW786430:FAW786451 ERA786430:ERA786451 EHE786430:EHE786451 DXI786430:DXI786451 DNM786430:DNM786451 DDQ786430:DDQ786451 CTU786430:CTU786451 CJY786430:CJY786451 CAC786430:CAC786451 BQG786430:BQG786451 BGK786430:BGK786451 AWO786430:AWO786451 AMS786430:AMS786451 ACW786430:ACW786451 TA786430:TA786451 JE786430:JE786451 I786430:I786451 WVQ720894:WVQ720915 WLU720894:WLU720915 WBY720894:WBY720915 VSC720894:VSC720915 VIG720894:VIG720915 UYK720894:UYK720915 UOO720894:UOO720915 UES720894:UES720915 TUW720894:TUW720915 TLA720894:TLA720915 TBE720894:TBE720915 SRI720894:SRI720915 SHM720894:SHM720915 RXQ720894:RXQ720915 RNU720894:RNU720915 RDY720894:RDY720915 QUC720894:QUC720915 QKG720894:QKG720915 QAK720894:QAK720915 PQO720894:PQO720915 PGS720894:PGS720915 OWW720894:OWW720915 ONA720894:ONA720915 ODE720894:ODE720915 NTI720894:NTI720915 NJM720894:NJM720915 MZQ720894:MZQ720915 MPU720894:MPU720915 MFY720894:MFY720915 LWC720894:LWC720915 LMG720894:LMG720915 LCK720894:LCK720915 KSO720894:KSO720915 KIS720894:KIS720915 JYW720894:JYW720915 JPA720894:JPA720915 JFE720894:JFE720915 IVI720894:IVI720915 ILM720894:ILM720915 IBQ720894:IBQ720915 HRU720894:HRU720915 HHY720894:HHY720915 GYC720894:GYC720915 GOG720894:GOG720915 GEK720894:GEK720915 FUO720894:FUO720915 FKS720894:FKS720915 FAW720894:FAW720915 ERA720894:ERA720915 EHE720894:EHE720915 DXI720894:DXI720915 DNM720894:DNM720915 DDQ720894:DDQ720915 CTU720894:CTU720915 CJY720894:CJY720915 CAC720894:CAC720915 BQG720894:BQG720915 BGK720894:BGK720915 AWO720894:AWO720915 AMS720894:AMS720915 ACW720894:ACW720915 TA720894:TA720915 JE720894:JE720915 I720894:I720915 WVQ655358:WVQ655379 WLU655358:WLU655379 WBY655358:WBY655379 VSC655358:VSC655379 VIG655358:VIG655379 UYK655358:UYK655379 UOO655358:UOO655379 UES655358:UES655379 TUW655358:TUW655379 TLA655358:TLA655379 TBE655358:TBE655379 SRI655358:SRI655379 SHM655358:SHM655379 RXQ655358:RXQ655379 RNU655358:RNU655379 RDY655358:RDY655379 QUC655358:QUC655379 QKG655358:QKG655379 QAK655358:QAK655379 PQO655358:PQO655379 PGS655358:PGS655379 OWW655358:OWW655379 ONA655358:ONA655379 ODE655358:ODE655379 NTI655358:NTI655379 NJM655358:NJM655379 MZQ655358:MZQ655379 MPU655358:MPU655379 MFY655358:MFY655379 LWC655358:LWC655379 LMG655358:LMG655379 LCK655358:LCK655379 KSO655358:KSO655379 KIS655358:KIS655379 JYW655358:JYW655379 JPA655358:JPA655379 JFE655358:JFE655379 IVI655358:IVI655379 ILM655358:ILM655379 IBQ655358:IBQ655379 HRU655358:HRU655379 HHY655358:HHY655379 GYC655358:GYC655379 GOG655358:GOG655379 GEK655358:GEK655379 FUO655358:FUO655379 FKS655358:FKS655379 FAW655358:FAW655379 ERA655358:ERA655379 EHE655358:EHE655379 DXI655358:DXI655379 DNM655358:DNM655379 DDQ655358:DDQ655379 CTU655358:CTU655379 CJY655358:CJY655379 CAC655358:CAC655379 BQG655358:BQG655379 BGK655358:BGK655379 AWO655358:AWO655379 AMS655358:AMS655379 ACW655358:ACW655379 TA655358:TA655379 JE655358:JE655379 I655358:I655379 WVQ589822:WVQ589843 WLU589822:WLU589843 WBY589822:WBY589843 VSC589822:VSC589843 VIG589822:VIG589843 UYK589822:UYK589843 UOO589822:UOO589843 UES589822:UES589843 TUW589822:TUW589843 TLA589822:TLA589843 TBE589822:TBE589843 SRI589822:SRI589843 SHM589822:SHM589843 RXQ589822:RXQ589843 RNU589822:RNU589843 RDY589822:RDY589843 QUC589822:QUC589843 QKG589822:QKG589843 QAK589822:QAK589843 PQO589822:PQO589843 PGS589822:PGS589843 OWW589822:OWW589843 ONA589822:ONA589843 ODE589822:ODE589843 NTI589822:NTI589843 NJM589822:NJM589843 MZQ589822:MZQ589843 MPU589822:MPU589843 MFY589822:MFY589843 LWC589822:LWC589843 LMG589822:LMG589843 LCK589822:LCK589843 KSO589822:KSO589843 KIS589822:KIS589843 JYW589822:JYW589843 JPA589822:JPA589843 JFE589822:JFE589843 IVI589822:IVI589843 ILM589822:ILM589843 IBQ589822:IBQ589843 HRU589822:HRU589843 HHY589822:HHY589843 GYC589822:GYC589843 GOG589822:GOG589843 GEK589822:GEK589843 FUO589822:FUO589843 FKS589822:FKS589843 FAW589822:FAW589843 ERA589822:ERA589843 EHE589822:EHE589843 DXI589822:DXI589843 DNM589822:DNM589843 DDQ589822:DDQ589843 CTU589822:CTU589843 CJY589822:CJY589843 CAC589822:CAC589843 BQG589822:BQG589843 BGK589822:BGK589843 AWO589822:AWO589843 AMS589822:AMS589843 ACW589822:ACW589843 TA589822:TA589843 JE589822:JE589843 I589822:I589843 WVQ524286:WVQ524307 WLU524286:WLU524307 WBY524286:WBY524307 VSC524286:VSC524307 VIG524286:VIG524307 UYK524286:UYK524307 UOO524286:UOO524307 UES524286:UES524307 TUW524286:TUW524307 TLA524286:TLA524307 TBE524286:TBE524307 SRI524286:SRI524307 SHM524286:SHM524307 RXQ524286:RXQ524307 RNU524286:RNU524307 RDY524286:RDY524307 QUC524286:QUC524307 QKG524286:QKG524307 QAK524286:QAK524307 PQO524286:PQO524307 PGS524286:PGS524307 OWW524286:OWW524307 ONA524286:ONA524307 ODE524286:ODE524307 NTI524286:NTI524307 NJM524286:NJM524307 MZQ524286:MZQ524307 MPU524286:MPU524307 MFY524286:MFY524307 LWC524286:LWC524307 LMG524286:LMG524307 LCK524286:LCK524307 KSO524286:KSO524307 KIS524286:KIS524307 JYW524286:JYW524307 JPA524286:JPA524307 JFE524286:JFE524307 IVI524286:IVI524307 ILM524286:ILM524307 IBQ524286:IBQ524307 HRU524286:HRU524307 HHY524286:HHY524307 GYC524286:GYC524307 GOG524286:GOG524307 GEK524286:GEK524307 FUO524286:FUO524307 FKS524286:FKS524307 FAW524286:FAW524307 ERA524286:ERA524307 EHE524286:EHE524307 DXI524286:DXI524307 DNM524286:DNM524307 DDQ524286:DDQ524307 CTU524286:CTU524307 CJY524286:CJY524307 CAC524286:CAC524307 BQG524286:BQG524307 BGK524286:BGK524307 AWO524286:AWO524307 AMS524286:AMS524307 ACW524286:ACW524307 TA524286:TA524307 JE524286:JE524307 I524286:I524307 WVQ458750:WVQ458771 WLU458750:WLU458771 WBY458750:WBY458771 VSC458750:VSC458771 VIG458750:VIG458771 UYK458750:UYK458771 UOO458750:UOO458771 UES458750:UES458771 TUW458750:TUW458771 TLA458750:TLA458771 TBE458750:TBE458771 SRI458750:SRI458771 SHM458750:SHM458771 RXQ458750:RXQ458771 RNU458750:RNU458771 RDY458750:RDY458771 QUC458750:QUC458771 QKG458750:QKG458771 QAK458750:QAK458771 PQO458750:PQO458771 PGS458750:PGS458771 OWW458750:OWW458771 ONA458750:ONA458771 ODE458750:ODE458771 NTI458750:NTI458771 NJM458750:NJM458771 MZQ458750:MZQ458771 MPU458750:MPU458771 MFY458750:MFY458771 LWC458750:LWC458771 LMG458750:LMG458771 LCK458750:LCK458771 KSO458750:KSO458771 KIS458750:KIS458771 JYW458750:JYW458771 JPA458750:JPA458771 JFE458750:JFE458771 IVI458750:IVI458771 ILM458750:ILM458771 IBQ458750:IBQ458771 HRU458750:HRU458771 HHY458750:HHY458771 GYC458750:GYC458771 GOG458750:GOG458771 GEK458750:GEK458771 FUO458750:FUO458771 FKS458750:FKS458771 FAW458750:FAW458771 ERA458750:ERA458771 EHE458750:EHE458771 DXI458750:DXI458771 DNM458750:DNM458771 DDQ458750:DDQ458771 CTU458750:CTU458771 CJY458750:CJY458771 CAC458750:CAC458771 BQG458750:BQG458771 BGK458750:BGK458771 AWO458750:AWO458771 AMS458750:AMS458771 ACW458750:ACW458771 TA458750:TA458771 JE458750:JE458771 I458750:I458771 WVQ393214:WVQ393235 WLU393214:WLU393235 WBY393214:WBY393235 VSC393214:VSC393235 VIG393214:VIG393235 UYK393214:UYK393235 UOO393214:UOO393235 UES393214:UES393235 TUW393214:TUW393235 TLA393214:TLA393235 TBE393214:TBE393235 SRI393214:SRI393235 SHM393214:SHM393235 RXQ393214:RXQ393235 RNU393214:RNU393235 RDY393214:RDY393235 QUC393214:QUC393235 QKG393214:QKG393235 QAK393214:QAK393235 PQO393214:PQO393235 PGS393214:PGS393235 OWW393214:OWW393235 ONA393214:ONA393235 ODE393214:ODE393235 NTI393214:NTI393235 NJM393214:NJM393235 MZQ393214:MZQ393235 MPU393214:MPU393235 MFY393214:MFY393235 LWC393214:LWC393235 LMG393214:LMG393235 LCK393214:LCK393235 KSO393214:KSO393235 KIS393214:KIS393235 JYW393214:JYW393235 JPA393214:JPA393235 JFE393214:JFE393235 IVI393214:IVI393235 ILM393214:ILM393235 IBQ393214:IBQ393235 HRU393214:HRU393235 HHY393214:HHY393235 GYC393214:GYC393235 GOG393214:GOG393235 GEK393214:GEK393235 FUO393214:FUO393235 FKS393214:FKS393235 FAW393214:FAW393235 ERA393214:ERA393235 EHE393214:EHE393235 DXI393214:DXI393235 DNM393214:DNM393235 DDQ393214:DDQ393235 CTU393214:CTU393235 CJY393214:CJY393235 CAC393214:CAC393235 BQG393214:BQG393235 BGK393214:BGK393235 AWO393214:AWO393235 AMS393214:AMS393235 ACW393214:ACW393235 TA393214:TA393235 JE393214:JE393235 I393214:I393235 WVQ327678:WVQ327699 WLU327678:WLU327699 WBY327678:WBY327699 VSC327678:VSC327699 VIG327678:VIG327699 UYK327678:UYK327699 UOO327678:UOO327699 UES327678:UES327699 TUW327678:TUW327699 TLA327678:TLA327699 TBE327678:TBE327699 SRI327678:SRI327699 SHM327678:SHM327699 RXQ327678:RXQ327699 RNU327678:RNU327699 RDY327678:RDY327699 QUC327678:QUC327699 QKG327678:QKG327699 QAK327678:QAK327699 PQO327678:PQO327699 PGS327678:PGS327699 OWW327678:OWW327699 ONA327678:ONA327699 ODE327678:ODE327699 NTI327678:NTI327699 NJM327678:NJM327699 MZQ327678:MZQ327699 MPU327678:MPU327699 MFY327678:MFY327699 LWC327678:LWC327699 LMG327678:LMG327699 LCK327678:LCK327699 KSO327678:KSO327699 KIS327678:KIS327699 JYW327678:JYW327699 JPA327678:JPA327699 JFE327678:JFE327699 IVI327678:IVI327699 ILM327678:ILM327699 IBQ327678:IBQ327699 HRU327678:HRU327699 HHY327678:HHY327699 GYC327678:GYC327699 GOG327678:GOG327699 GEK327678:GEK327699 FUO327678:FUO327699 FKS327678:FKS327699 FAW327678:FAW327699 ERA327678:ERA327699 EHE327678:EHE327699 DXI327678:DXI327699 DNM327678:DNM327699 DDQ327678:DDQ327699 CTU327678:CTU327699 CJY327678:CJY327699 CAC327678:CAC327699 BQG327678:BQG327699 BGK327678:BGK327699 AWO327678:AWO327699 AMS327678:AMS327699 ACW327678:ACW327699 TA327678:TA327699 JE327678:JE327699 I327678:I327699 WVQ262142:WVQ262163 WLU262142:WLU262163 WBY262142:WBY262163 VSC262142:VSC262163 VIG262142:VIG262163 UYK262142:UYK262163 UOO262142:UOO262163 UES262142:UES262163 TUW262142:TUW262163 TLA262142:TLA262163 TBE262142:TBE262163 SRI262142:SRI262163 SHM262142:SHM262163 RXQ262142:RXQ262163 RNU262142:RNU262163 RDY262142:RDY262163 QUC262142:QUC262163 QKG262142:QKG262163 QAK262142:QAK262163 PQO262142:PQO262163 PGS262142:PGS262163 OWW262142:OWW262163 ONA262142:ONA262163 ODE262142:ODE262163 NTI262142:NTI262163 NJM262142:NJM262163 MZQ262142:MZQ262163 MPU262142:MPU262163 MFY262142:MFY262163 LWC262142:LWC262163 LMG262142:LMG262163 LCK262142:LCK262163 KSO262142:KSO262163 KIS262142:KIS262163 JYW262142:JYW262163 JPA262142:JPA262163 JFE262142:JFE262163 IVI262142:IVI262163 ILM262142:ILM262163 IBQ262142:IBQ262163 HRU262142:HRU262163 HHY262142:HHY262163 GYC262142:GYC262163 GOG262142:GOG262163 GEK262142:GEK262163 FUO262142:FUO262163 FKS262142:FKS262163 FAW262142:FAW262163 ERA262142:ERA262163 EHE262142:EHE262163 DXI262142:DXI262163 DNM262142:DNM262163 DDQ262142:DDQ262163 CTU262142:CTU262163 CJY262142:CJY262163 CAC262142:CAC262163 BQG262142:BQG262163 BGK262142:BGK262163 AWO262142:AWO262163 AMS262142:AMS262163 ACW262142:ACW262163 TA262142:TA262163 JE262142:JE262163 I262142:I262163 WVQ196606:WVQ196627 WLU196606:WLU196627 WBY196606:WBY196627 VSC196606:VSC196627 VIG196606:VIG196627 UYK196606:UYK196627 UOO196606:UOO196627 UES196606:UES196627 TUW196606:TUW196627 TLA196606:TLA196627 TBE196606:TBE196627 SRI196606:SRI196627 SHM196606:SHM196627 RXQ196606:RXQ196627 RNU196606:RNU196627 RDY196606:RDY196627 QUC196606:QUC196627 QKG196606:QKG196627 QAK196606:QAK196627 PQO196606:PQO196627 PGS196606:PGS196627 OWW196606:OWW196627 ONA196606:ONA196627 ODE196606:ODE196627 NTI196606:NTI196627 NJM196606:NJM196627 MZQ196606:MZQ196627 MPU196606:MPU196627 MFY196606:MFY196627 LWC196606:LWC196627 LMG196606:LMG196627 LCK196606:LCK196627 KSO196606:KSO196627 KIS196606:KIS196627 JYW196606:JYW196627 JPA196606:JPA196627 JFE196606:JFE196627 IVI196606:IVI196627 ILM196606:ILM196627 IBQ196606:IBQ196627 HRU196606:HRU196627 HHY196606:HHY196627 GYC196606:GYC196627 GOG196606:GOG196627 GEK196606:GEK196627 FUO196606:FUO196627 FKS196606:FKS196627 FAW196606:FAW196627 ERA196606:ERA196627 EHE196606:EHE196627 DXI196606:DXI196627 DNM196606:DNM196627 DDQ196606:DDQ196627 CTU196606:CTU196627 CJY196606:CJY196627 CAC196606:CAC196627 BQG196606:BQG196627 BGK196606:BGK196627 AWO196606:AWO196627 AMS196606:AMS196627 ACW196606:ACW196627 TA196606:TA196627 JE196606:JE196627 I196606:I196627 WVQ131070:WVQ131091 WLU131070:WLU131091 WBY131070:WBY131091 VSC131070:VSC131091 VIG131070:VIG131091 UYK131070:UYK131091 UOO131070:UOO131091 UES131070:UES131091 TUW131070:TUW131091 TLA131070:TLA131091 TBE131070:TBE131091 SRI131070:SRI131091 SHM131070:SHM131091 RXQ131070:RXQ131091 RNU131070:RNU131091 RDY131070:RDY131091 QUC131070:QUC131091 QKG131070:QKG131091 QAK131070:QAK131091 PQO131070:PQO131091 PGS131070:PGS131091 OWW131070:OWW131091 ONA131070:ONA131091 ODE131070:ODE131091 NTI131070:NTI131091 NJM131070:NJM131091 MZQ131070:MZQ131091 MPU131070:MPU131091 MFY131070:MFY131091 LWC131070:LWC131091 LMG131070:LMG131091 LCK131070:LCK131091 KSO131070:KSO131091 KIS131070:KIS131091 JYW131070:JYW131091 JPA131070:JPA131091 JFE131070:JFE131091 IVI131070:IVI131091 ILM131070:ILM131091 IBQ131070:IBQ131091 HRU131070:HRU131091 HHY131070:HHY131091 GYC131070:GYC131091 GOG131070:GOG131091 GEK131070:GEK131091 FUO131070:FUO131091 FKS131070:FKS131091 FAW131070:FAW131091 ERA131070:ERA131091 EHE131070:EHE131091 DXI131070:DXI131091 DNM131070:DNM131091 DDQ131070:DDQ131091 CTU131070:CTU131091 CJY131070:CJY131091 CAC131070:CAC131091 BQG131070:BQG131091 BGK131070:BGK131091 AWO131070:AWO131091 AMS131070:AMS131091 ACW131070:ACW131091 TA131070:TA131091 JE131070:JE131091 I131070:I131091 WVQ65534:WVQ65555 WLU65534:WLU65555 WBY65534:WBY65555 VSC65534:VSC65555 VIG65534:VIG65555 UYK65534:UYK65555 UOO65534:UOO65555 UES65534:UES65555 TUW65534:TUW65555 TLA65534:TLA65555 TBE65534:TBE65555 SRI65534:SRI65555 SHM65534:SHM65555 RXQ65534:RXQ65555 RNU65534:RNU65555 RDY65534:RDY65555 QUC65534:QUC65555 QKG65534:QKG65555 QAK65534:QAK65555 PQO65534:PQO65555 PGS65534:PGS65555 OWW65534:OWW65555 ONA65534:ONA65555 ODE65534:ODE65555 NTI65534:NTI65555 NJM65534:NJM65555 MZQ65534:MZQ65555 MPU65534:MPU65555 MFY65534:MFY65555 LWC65534:LWC65555 LMG65534:LMG65555 LCK65534:LCK65555 KSO65534:KSO65555 KIS65534:KIS65555 JYW65534:JYW65555 JPA65534:JPA65555 JFE65534:JFE65555 IVI65534:IVI65555 ILM65534:ILM65555 IBQ65534:IBQ65555 HRU65534:HRU65555 HHY65534:HHY65555 GYC65534:GYC65555 GOG65534:GOG65555 GEK65534:GEK65555 FUO65534:FUO65555 FKS65534:FKS65555 FAW65534:FAW65555 ERA65534:ERA65555 EHE65534:EHE65555 DXI65534:DXI65555 DNM65534:DNM65555 DDQ65534:DDQ65555 CTU65534:CTU65555 CJY65534:CJY65555 CAC65534:CAC65555 BQG65534:BQG65555 BGK65534:BGK65555 AWO65534:AWO65555 AMS65534:AMS65555 ACW65534:ACW65555 TA65534:TA65555 JE65534:JE65555 WVQ5:WVQ26 WLU5:WLU26 WBY5:WBY26 VSC5:VSC26 VIG5:VIG26 UYK5:UYK26 UOO5:UOO26 UES5:UES26 TUW5:TUW26 TLA5:TLA26 TBE5:TBE26 SRI5:SRI26 SHM5:SHM26 RXQ5:RXQ26 RNU5:RNU26 RDY5:RDY26 QUC5:QUC26 QKG5:QKG26 QAK5:QAK26 PQO5:PQO26 PGS5:PGS26 OWW5:OWW26 ONA5:ONA26 ODE5:ODE26 NTI5:NTI26 NJM5:NJM26 MZQ5:MZQ26 MPU5:MPU26 MFY5:MFY26 LWC5:LWC26 LMG5:LMG26 LCK5:LCK26 KSO5:KSO26 KIS5:KIS26 JYW5:JYW26 JPA5:JPA26 JFE5:JFE26 IVI5:IVI26 ILM5:ILM26 IBQ5:IBQ26 HRU5:HRU26 HHY5:HHY26 GYC5:GYC26 GOG5:GOG26 GEK5:GEK26 FUO5:FUO26 FKS5:FKS26 FAW5:FAW26 ERA5:ERA26 EHE5:EHE26 DXI5:DXI26 DNM5:DNM26 DDQ5:DDQ26 CTU5:CTU26 CJY5:CJY26 CAC5:CAC26 BQG5:BQG26 BGK5:BGK26 AWO5:AWO26 AMS5:AMS26 ACW5:ACW26 TA5:TA26 JE5:JE26 I5:I26" xr:uid="{F616F598-C111-4F16-8D6D-C8CCE87E1B0C}">
      <formula1>#REF!</formula1>
    </dataValidation>
  </dataValidations>
  <pageMargins left="0.511811024" right="0.511811024" top="0.78740157499999996" bottom="0.78740157499999996" header="0.31496062000000002" footer="0.31496062000000002"/>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0C3BB-A2D3-435A-9005-1E87058DD3F5}">
  <sheetPr>
    <tabColor theme="0" tint="-0.249977111117893"/>
  </sheetPr>
  <dimension ref="A1:X35"/>
  <sheetViews>
    <sheetView showGridLines="0" zoomScale="80" zoomScaleNormal="80" workbookViewId="0">
      <selection activeCell="B2" sqref="B2:H2"/>
    </sheetView>
  </sheetViews>
  <sheetFormatPr defaultRowHeight="14.25" x14ac:dyDescent="0.25"/>
  <cols>
    <col min="1" max="1" width="2.85546875" style="65" customWidth="1"/>
    <col min="2" max="8" width="11.28515625" style="65" customWidth="1"/>
    <col min="9" max="9" width="10" style="65" customWidth="1"/>
    <col min="10" max="10" width="43.85546875" style="65" customWidth="1"/>
    <col min="11" max="11" width="17.42578125" style="65" customWidth="1"/>
    <col min="12" max="13" width="15.7109375" style="65" customWidth="1"/>
    <col min="14" max="14" width="9.5703125" style="65" customWidth="1"/>
    <col min="15" max="15" width="21.140625" style="65" customWidth="1"/>
    <col min="16" max="16" width="40.140625" style="65" customWidth="1"/>
    <col min="17" max="17" width="9" style="65" customWidth="1"/>
    <col min="18" max="18" width="15.5703125" style="65" customWidth="1"/>
    <col min="19" max="19" width="24.42578125" style="65" customWidth="1"/>
    <col min="20" max="20" width="9.140625" style="65"/>
    <col min="21" max="21" width="12.7109375" style="65" bestFit="1" customWidth="1"/>
    <col min="22" max="22" width="64" style="65" bestFit="1" customWidth="1"/>
    <col min="23" max="23" width="7" style="65" bestFit="1" customWidth="1"/>
    <col min="24" max="24" width="11.28515625" style="65" bestFit="1" customWidth="1"/>
    <col min="25" max="256" width="9.140625" style="65"/>
    <col min="257" max="257" width="2.85546875" style="65" customWidth="1"/>
    <col min="258" max="264" width="11.28515625" style="65" customWidth="1"/>
    <col min="265" max="265" width="10" style="65" customWidth="1"/>
    <col min="266" max="266" width="43.85546875" style="65" customWidth="1"/>
    <col min="267" max="267" width="17.42578125" style="65" customWidth="1"/>
    <col min="268" max="269" width="15.7109375" style="65" customWidth="1"/>
    <col min="270" max="270" width="9.5703125" style="65" customWidth="1"/>
    <col min="271" max="271" width="21.140625" style="65" customWidth="1"/>
    <col min="272" max="272" width="40.140625" style="65" customWidth="1"/>
    <col min="273" max="273" width="9" style="65" customWidth="1"/>
    <col min="274" max="274" width="10.42578125" style="65" bestFit="1" customWidth="1"/>
    <col min="275" max="275" width="24.42578125" style="65" customWidth="1"/>
    <col min="276" max="276" width="9.140625" style="65"/>
    <col min="277" max="277" width="12.7109375" style="65" bestFit="1" customWidth="1"/>
    <col min="278" max="278" width="64" style="65" bestFit="1" customWidth="1"/>
    <col min="279" max="279" width="7" style="65" bestFit="1" customWidth="1"/>
    <col min="280" max="280" width="11.28515625" style="65" bestFit="1" customWidth="1"/>
    <col min="281" max="512" width="9.140625" style="65"/>
    <col min="513" max="513" width="2.85546875" style="65" customWidth="1"/>
    <col min="514" max="520" width="11.28515625" style="65" customWidth="1"/>
    <col min="521" max="521" width="10" style="65" customWidth="1"/>
    <col min="522" max="522" width="43.85546875" style="65" customWidth="1"/>
    <col min="523" max="523" width="17.42578125" style="65" customWidth="1"/>
    <col min="524" max="525" width="15.7109375" style="65" customWidth="1"/>
    <col min="526" max="526" width="9.5703125" style="65" customWidth="1"/>
    <col min="527" max="527" width="21.140625" style="65" customWidth="1"/>
    <col min="528" max="528" width="40.140625" style="65" customWidth="1"/>
    <col min="529" max="529" width="9" style="65" customWidth="1"/>
    <col min="530" max="530" width="10.42578125" style="65" bestFit="1" customWidth="1"/>
    <col min="531" max="531" width="24.42578125" style="65" customWidth="1"/>
    <col min="532" max="532" width="9.140625" style="65"/>
    <col min="533" max="533" width="12.7109375" style="65" bestFit="1" customWidth="1"/>
    <col min="534" max="534" width="64" style="65" bestFit="1" customWidth="1"/>
    <col min="535" max="535" width="7" style="65" bestFit="1" customWidth="1"/>
    <col min="536" max="536" width="11.28515625" style="65" bestFit="1" customWidth="1"/>
    <col min="537" max="768" width="9.140625" style="65"/>
    <col min="769" max="769" width="2.85546875" style="65" customWidth="1"/>
    <col min="770" max="776" width="11.28515625" style="65" customWidth="1"/>
    <col min="777" max="777" width="10" style="65" customWidth="1"/>
    <col min="778" max="778" width="43.85546875" style="65" customWidth="1"/>
    <col min="779" max="779" width="17.42578125" style="65" customWidth="1"/>
    <col min="780" max="781" width="15.7109375" style="65" customWidth="1"/>
    <col min="782" max="782" width="9.5703125" style="65" customWidth="1"/>
    <col min="783" max="783" width="21.140625" style="65" customWidth="1"/>
    <col min="784" max="784" width="40.140625" style="65" customWidth="1"/>
    <col min="785" max="785" width="9" style="65" customWidth="1"/>
    <col min="786" max="786" width="10.42578125" style="65" bestFit="1" customWidth="1"/>
    <col min="787" max="787" width="24.42578125" style="65" customWidth="1"/>
    <col min="788" max="788" width="9.140625" style="65"/>
    <col min="789" max="789" width="12.7109375" style="65" bestFit="1" customWidth="1"/>
    <col min="790" max="790" width="64" style="65" bestFit="1" customWidth="1"/>
    <col min="791" max="791" width="7" style="65" bestFit="1" customWidth="1"/>
    <col min="792" max="792" width="11.28515625" style="65" bestFit="1" customWidth="1"/>
    <col min="793" max="1024" width="9.140625" style="65"/>
    <col min="1025" max="1025" width="2.85546875" style="65" customWidth="1"/>
    <col min="1026" max="1032" width="11.28515625" style="65" customWidth="1"/>
    <col min="1033" max="1033" width="10" style="65" customWidth="1"/>
    <col min="1034" max="1034" width="43.85546875" style="65" customWidth="1"/>
    <col min="1035" max="1035" width="17.42578125" style="65" customWidth="1"/>
    <col min="1036" max="1037" width="15.7109375" style="65" customWidth="1"/>
    <col min="1038" max="1038" width="9.5703125" style="65" customWidth="1"/>
    <col min="1039" max="1039" width="21.140625" style="65" customWidth="1"/>
    <col min="1040" max="1040" width="40.140625" style="65" customWidth="1"/>
    <col min="1041" max="1041" width="9" style="65" customWidth="1"/>
    <col min="1042" max="1042" width="10.42578125" style="65" bestFit="1" customWidth="1"/>
    <col min="1043" max="1043" width="24.42578125" style="65" customWidth="1"/>
    <col min="1044" max="1044" width="9.140625" style="65"/>
    <col min="1045" max="1045" width="12.7109375" style="65" bestFit="1" customWidth="1"/>
    <col min="1046" max="1046" width="64" style="65" bestFit="1" customWidth="1"/>
    <col min="1047" max="1047" width="7" style="65" bestFit="1" customWidth="1"/>
    <col min="1048" max="1048" width="11.28515625" style="65" bestFit="1" customWidth="1"/>
    <col min="1049" max="1280" width="9.140625" style="65"/>
    <col min="1281" max="1281" width="2.85546875" style="65" customWidth="1"/>
    <col min="1282" max="1288" width="11.28515625" style="65" customWidth="1"/>
    <col min="1289" max="1289" width="10" style="65" customWidth="1"/>
    <col min="1290" max="1290" width="43.85546875" style="65" customWidth="1"/>
    <col min="1291" max="1291" width="17.42578125" style="65" customWidth="1"/>
    <col min="1292" max="1293" width="15.7109375" style="65" customWidth="1"/>
    <col min="1294" max="1294" width="9.5703125" style="65" customWidth="1"/>
    <col min="1295" max="1295" width="21.140625" style="65" customWidth="1"/>
    <col min="1296" max="1296" width="40.140625" style="65" customWidth="1"/>
    <col min="1297" max="1297" width="9" style="65" customWidth="1"/>
    <col min="1298" max="1298" width="10.42578125" style="65" bestFit="1" customWidth="1"/>
    <col min="1299" max="1299" width="24.42578125" style="65" customWidth="1"/>
    <col min="1300" max="1300" width="9.140625" style="65"/>
    <col min="1301" max="1301" width="12.7109375" style="65" bestFit="1" customWidth="1"/>
    <col min="1302" max="1302" width="64" style="65" bestFit="1" customWidth="1"/>
    <col min="1303" max="1303" width="7" style="65" bestFit="1" customWidth="1"/>
    <col min="1304" max="1304" width="11.28515625" style="65" bestFit="1" customWidth="1"/>
    <col min="1305" max="1536" width="9.140625" style="65"/>
    <col min="1537" max="1537" width="2.85546875" style="65" customWidth="1"/>
    <col min="1538" max="1544" width="11.28515625" style="65" customWidth="1"/>
    <col min="1545" max="1545" width="10" style="65" customWidth="1"/>
    <col min="1546" max="1546" width="43.85546875" style="65" customWidth="1"/>
    <col min="1547" max="1547" width="17.42578125" style="65" customWidth="1"/>
    <col min="1548" max="1549" width="15.7109375" style="65" customWidth="1"/>
    <col min="1550" max="1550" width="9.5703125" style="65" customWidth="1"/>
    <col min="1551" max="1551" width="21.140625" style="65" customWidth="1"/>
    <col min="1552" max="1552" width="40.140625" style="65" customWidth="1"/>
    <col min="1553" max="1553" width="9" style="65" customWidth="1"/>
    <col min="1554" max="1554" width="10.42578125" style="65" bestFit="1" customWidth="1"/>
    <col min="1555" max="1555" width="24.42578125" style="65" customWidth="1"/>
    <col min="1556" max="1556" width="9.140625" style="65"/>
    <col min="1557" max="1557" width="12.7109375" style="65" bestFit="1" customWidth="1"/>
    <col min="1558" max="1558" width="64" style="65" bestFit="1" customWidth="1"/>
    <col min="1559" max="1559" width="7" style="65" bestFit="1" customWidth="1"/>
    <col min="1560" max="1560" width="11.28515625" style="65" bestFit="1" customWidth="1"/>
    <col min="1561" max="1792" width="9.140625" style="65"/>
    <col min="1793" max="1793" width="2.85546875" style="65" customWidth="1"/>
    <col min="1794" max="1800" width="11.28515625" style="65" customWidth="1"/>
    <col min="1801" max="1801" width="10" style="65" customWidth="1"/>
    <col min="1802" max="1802" width="43.85546875" style="65" customWidth="1"/>
    <col min="1803" max="1803" width="17.42578125" style="65" customWidth="1"/>
    <col min="1804" max="1805" width="15.7109375" style="65" customWidth="1"/>
    <col min="1806" max="1806" width="9.5703125" style="65" customWidth="1"/>
    <col min="1807" max="1807" width="21.140625" style="65" customWidth="1"/>
    <col min="1808" max="1808" width="40.140625" style="65" customWidth="1"/>
    <col min="1809" max="1809" width="9" style="65" customWidth="1"/>
    <col min="1810" max="1810" width="10.42578125" style="65" bestFit="1" customWidth="1"/>
    <col min="1811" max="1811" width="24.42578125" style="65" customWidth="1"/>
    <col min="1812" max="1812" width="9.140625" style="65"/>
    <col min="1813" max="1813" width="12.7109375" style="65" bestFit="1" customWidth="1"/>
    <col min="1814" max="1814" width="64" style="65" bestFit="1" customWidth="1"/>
    <col min="1815" max="1815" width="7" style="65" bestFit="1" customWidth="1"/>
    <col min="1816" max="1816" width="11.28515625" style="65" bestFit="1" customWidth="1"/>
    <col min="1817" max="2048" width="9.140625" style="65"/>
    <col min="2049" max="2049" width="2.85546875" style="65" customWidth="1"/>
    <col min="2050" max="2056" width="11.28515625" style="65" customWidth="1"/>
    <col min="2057" max="2057" width="10" style="65" customWidth="1"/>
    <col min="2058" max="2058" width="43.85546875" style="65" customWidth="1"/>
    <col min="2059" max="2059" width="17.42578125" style="65" customWidth="1"/>
    <col min="2060" max="2061" width="15.7109375" style="65" customWidth="1"/>
    <col min="2062" max="2062" width="9.5703125" style="65" customWidth="1"/>
    <col min="2063" max="2063" width="21.140625" style="65" customWidth="1"/>
    <col min="2064" max="2064" width="40.140625" style="65" customWidth="1"/>
    <col min="2065" max="2065" width="9" style="65" customWidth="1"/>
    <col min="2066" max="2066" width="10.42578125" style="65" bestFit="1" customWidth="1"/>
    <col min="2067" max="2067" width="24.42578125" style="65" customWidth="1"/>
    <col min="2068" max="2068" width="9.140625" style="65"/>
    <col min="2069" max="2069" width="12.7109375" style="65" bestFit="1" customWidth="1"/>
    <col min="2070" max="2070" width="64" style="65" bestFit="1" customWidth="1"/>
    <col min="2071" max="2071" width="7" style="65" bestFit="1" customWidth="1"/>
    <col min="2072" max="2072" width="11.28515625" style="65" bestFit="1" customWidth="1"/>
    <col min="2073" max="2304" width="9.140625" style="65"/>
    <col min="2305" max="2305" width="2.85546875" style="65" customWidth="1"/>
    <col min="2306" max="2312" width="11.28515625" style="65" customWidth="1"/>
    <col min="2313" max="2313" width="10" style="65" customWidth="1"/>
    <col min="2314" max="2314" width="43.85546875" style="65" customWidth="1"/>
    <col min="2315" max="2315" width="17.42578125" style="65" customWidth="1"/>
    <col min="2316" max="2317" width="15.7109375" style="65" customWidth="1"/>
    <col min="2318" max="2318" width="9.5703125" style="65" customWidth="1"/>
    <col min="2319" max="2319" width="21.140625" style="65" customWidth="1"/>
    <col min="2320" max="2320" width="40.140625" style="65" customWidth="1"/>
    <col min="2321" max="2321" width="9" style="65" customWidth="1"/>
    <col min="2322" max="2322" width="10.42578125" style="65" bestFit="1" customWidth="1"/>
    <col min="2323" max="2323" width="24.42578125" style="65" customWidth="1"/>
    <col min="2324" max="2324" width="9.140625" style="65"/>
    <col min="2325" max="2325" width="12.7109375" style="65" bestFit="1" customWidth="1"/>
    <col min="2326" max="2326" width="64" style="65" bestFit="1" customWidth="1"/>
    <col min="2327" max="2327" width="7" style="65" bestFit="1" customWidth="1"/>
    <col min="2328" max="2328" width="11.28515625" style="65" bestFit="1" customWidth="1"/>
    <col min="2329" max="2560" width="9.140625" style="65"/>
    <col min="2561" max="2561" width="2.85546875" style="65" customWidth="1"/>
    <col min="2562" max="2568" width="11.28515625" style="65" customWidth="1"/>
    <col min="2569" max="2569" width="10" style="65" customWidth="1"/>
    <col min="2570" max="2570" width="43.85546875" style="65" customWidth="1"/>
    <col min="2571" max="2571" width="17.42578125" style="65" customWidth="1"/>
    <col min="2572" max="2573" width="15.7109375" style="65" customWidth="1"/>
    <col min="2574" max="2574" width="9.5703125" style="65" customWidth="1"/>
    <col min="2575" max="2575" width="21.140625" style="65" customWidth="1"/>
    <col min="2576" max="2576" width="40.140625" style="65" customWidth="1"/>
    <col min="2577" max="2577" width="9" style="65" customWidth="1"/>
    <col min="2578" max="2578" width="10.42578125" style="65" bestFit="1" customWidth="1"/>
    <col min="2579" max="2579" width="24.42578125" style="65" customWidth="1"/>
    <col min="2580" max="2580" width="9.140625" style="65"/>
    <col min="2581" max="2581" width="12.7109375" style="65" bestFit="1" customWidth="1"/>
    <col min="2582" max="2582" width="64" style="65" bestFit="1" customWidth="1"/>
    <col min="2583" max="2583" width="7" style="65" bestFit="1" customWidth="1"/>
    <col min="2584" max="2584" width="11.28515625" style="65" bestFit="1" customWidth="1"/>
    <col min="2585" max="2816" width="9.140625" style="65"/>
    <col min="2817" max="2817" width="2.85546875" style="65" customWidth="1"/>
    <col min="2818" max="2824" width="11.28515625" style="65" customWidth="1"/>
    <col min="2825" max="2825" width="10" style="65" customWidth="1"/>
    <col min="2826" max="2826" width="43.85546875" style="65" customWidth="1"/>
    <col min="2827" max="2827" width="17.42578125" style="65" customWidth="1"/>
    <col min="2828" max="2829" width="15.7109375" style="65" customWidth="1"/>
    <col min="2830" max="2830" width="9.5703125" style="65" customWidth="1"/>
    <col min="2831" max="2831" width="21.140625" style="65" customWidth="1"/>
    <col min="2832" max="2832" width="40.140625" style="65" customWidth="1"/>
    <col min="2833" max="2833" width="9" style="65" customWidth="1"/>
    <col min="2834" max="2834" width="10.42578125" style="65" bestFit="1" customWidth="1"/>
    <col min="2835" max="2835" width="24.42578125" style="65" customWidth="1"/>
    <col min="2836" max="2836" width="9.140625" style="65"/>
    <col min="2837" max="2837" width="12.7109375" style="65" bestFit="1" customWidth="1"/>
    <col min="2838" max="2838" width="64" style="65" bestFit="1" customWidth="1"/>
    <col min="2839" max="2839" width="7" style="65" bestFit="1" customWidth="1"/>
    <col min="2840" max="2840" width="11.28515625" style="65" bestFit="1" customWidth="1"/>
    <col min="2841" max="3072" width="9.140625" style="65"/>
    <col min="3073" max="3073" width="2.85546875" style="65" customWidth="1"/>
    <col min="3074" max="3080" width="11.28515625" style="65" customWidth="1"/>
    <col min="3081" max="3081" width="10" style="65" customWidth="1"/>
    <col min="3082" max="3082" width="43.85546875" style="65" customWidth="1"/>
    <col min="3083" max="3083" width="17.42578125" style="65" customWidth="1"/>
    <col min="3084" max="3085" width="15.7109375" style="65" customWidth="1"/>
    <col min="3086" max="3086" width="9.5703125" style="65" customWidth="1"/>
    <col min="3087" max="3087" width="21.140625" style="65" customWidth="1"/>
    <col min="3088" max="3088" width="40.140625" style="65" customWidth="1"/>
    <col min="3089" max="3089" width="9" style="65" customWidth="1"/>
    <col min="3090" max="3090" width="10.42578125" style="65" bestFit="1" customWidth="1"/>
    <col min="3091" max="3091" width="24.42578125" style="65" customWidth="1"/>
    <col min="3092" max="3092" width="9.140625" style="65"/>
    <col min="3093" max="3093" width="12.7109375" style="65" bestFit="1" customWidth="1"/>
    <col min="3094" max="3094" width="64" style="65" bestFit="1" customWidth="1"/>
    <col min="3095" max="3095" width="7" style="65" bestFit="1" customWidth="1"/>
    <col min="3096" max="3096" width="11.28515625" style="65" bestFit="1" customWidth="1"/>
    <col min="3097" max="3328" width="9.140625" style="65"/>
    <col min="3329" max="3329" width="2.85546875" style="65" customWidth="1"/>
    <col min="3330" max="3336" width="11.28515625" style="65" customWidth="1"/>
    <col min="3337" max="3337" width="10" style="65" customWidth="1"/>
    <col min="3338" max="3338" width="43.85546875" style="65" customWidth="1"/>
    <col min="3339" max="3339" width="17.42578125" style="65" customWidth="1"/>
    <col min="3340" max="3341" width="15.7109375" style="65" customWidth="1"/>
    <col min="3342" max="3342" width="9.5703125" style="65" customWidth="1"/>
    <col min="3343" max="3343" width="21.140625" style="65" customWidth="1"/>
    <col min="3344" max="3344" width="40.140625" style="65" customWidth="1"/>
    <col min="3345" max="3345" width="9" style="65" customWidth="1"/>
    <col min="3346" max="3346" width="10.42578125" style="65" bestFit="1" customWidth="1"/>
    <col min="3347" max="3347" width="24.42578125" style="65" customWidth="1"/>
    <col min="3348" max="3348" width="9.140625" style="65"/>
    <col min="3349" max="3349" width="12.7109375" style="65" bestFit="1" customWidth="1"/>
    <col min="3350" max="3350" width="64" style="65" bestFit="1" customWidth="1"/>
    <col min="3351" max="3351" width="7" style="65" bestFit="1" customWidth="1"/>
    <col min="3352" max="3352" width="11.28515625" style="65" bestFit="1" customWidth="1"/>
    <col min="3353" max="3584" width="9.140625" style="65"/>
    <col min="3585" max="3585" width="2.85546875" style="65" customWidth="1"/>
    <col min="3586" max="3592" width="11.28515625" style="65" customWidth="1"/>
    <col min="3593" max="3593" width="10" style="65" customWidth="1"/>
    <col min="3594" max="3594" width="43.85546875" style="65" customWidth="1"/>
    <col min="3595" max="3595" width="17.42578125" style="65" customWidth="1"/>
    <col min="3596" max="3597" width="15.7109375" style="65" customWidth="1"/>
    <col min="3598" max="3598" width="9.5703125" style="65" customWidth="1"/>
    <col min="3599" max="3599" width="21.140625" style="65" customWidth="1"/>
    <col min="3600" max="3600" width="40.140625" style="65" customWidth="1"/>
    <col min="3601" max="3601" width="9" style="65" customWidth="1"/>
    <col min="3602" max="3602" width="10.42578125" style="65" bestFit="1" customWidth="1"/>
    <col min="3603" max="3603" width="24.42578125" style="65" customWidth="1"/>
    <col min="3604" max="3604" width="9.140625" style="65"/>
    <col min="3605" max="3605" width="12.7109375" style="65" bestFit="1" customWidth="1"/>
    <col min="3606" max="3606" width="64" style="65" bestFit="1" customWidth="1"/>
    <col min="3607" max="3607" width="7" style="65" bestFit="1" customWidth="1"/>
    <col min="3608" max="3608" width="11.28515625" style="65" bestFit="1" customWidth="1"/>
    <col min="3609" max="3840" width="9.140625" style="65"/>
    <col min="3841" max="3841" width="2.85546875" style="65" customWidth="1"/>
    <col min="3842" max="3848" width="11.28515625" style="65" customWidth="1"/>
    <col min="3849" max="3849" width="10" style="65" customWidth="1"/>
    <col min="3850" max="3850" width="43.85546875" style="65" customWidth="1"/>
    <col min="3851" max="3851" width="17.42578125" style="65" customWidth="1"/>
    <col min="3852" max="3853" width="15.7109375" style="65" customWidth="1"/>
    <col min="3854" max="3854" width="9.5703125" style="65" customWidth="1"/>
    <col min="3855" max="3855" width="21.140625" style="65" customWidth="1"/>
    <col min="3856" max="3856" width="40.140625" style="65" customWidth="1"/>
    <col min="3857" max="3857" width="9" style="65" customWidth="1"/>
    <col min="3858" max="3858" width="10.42578125" style="65" bestFit="1" customWidth="1"/>
    <col min="3859" max="3859" width="24.42578125" style="65" customWidth="1"/>
    <col min="3860" max="3860" width="9.140625" style="65"/>
    <col min="3861" max="3861" width="12.7109375" style="65" bestFit="1" customWidth="1"/>
    <col min="3862" max="3862" width="64" style="65" bestFit="1" customWidth="1"/>
    <col min="3863" max="3863" width="7" style="65" bestFit="1" customWidth="1"/>
    <col min="3864" max="3864" width="11.28515625" style="65" bestFit="1" customWidth="1"/>
    <col min="3865" max="4096" width="9.140625" style="65"/>
    <col min="4097" max="4097" width="2.85546875" style="65" customWidth="1"/>
    <col min="4098" max="4104" width="11.28515625" style="65" customWidth="1"/>
    <col min="4105" max="4105" width="10" style="65" customWidth="1"/>
    <col min="4106" max="4106" width="43.85546875" style="65" customWidth="1"/>
    <col min="4107" max="4107" width="17.42578125" style="65" customWidth="1"/>
    <col min="4108" max="4109" width="15.7109375" style="65" customWidth="1"/>
    <col min="4110" max="4110" width="9.5703125" style="65" customWidth="1"/>
    <col min="4111" max="4111" width="21.140625" style="65" customWidth="1"/>
    <col min="4112" max="4112" width="40.140625" style="65" customWidth="1"/>
    <col min="4113" max="4113" width="9" style="65" customWidth="1"/>
    <col min="4114" max="4114" width="10.42578125" style="65" bestFit="1" customWidth="1"/>
    <col min="4115" max="4115" width="24.42578125" style="65" customWidth="1"/>
    <col min="4116" max="4116" width="9.140625" style="65"/>
    <col min="4117" max="4117" width="12.7109375" style="65" bestFit="1" customWidth="1"/>
    <col min="4118" max="4118" width="64" style="65" bestFit="1" customWidth="1"/>
    <col min="4119" max="4119" width="7" style="65" bestFit="1" customWidth="1"/>
    <col min="4120" max="4120" width="11.28515625" style="65" bestFit="1" customWidth="1"/>
    <col min="4121" max="4352" width="9.140625" style="65"/>
    <col min="4353" max="4353" width="2.85546875" style="65" customWidth="1"/>
    <col min="4354" max="4360" width="11.28515625" style="65" customWidth="1"/>
    <col min="4361" max="4361" width="10" style="65" customWidth="1"/>
    <col min="4362" max="4362" width="43.85546875" style="65" customWidth="1"/>
    <col min="4363" max="4363" width="17.42578125" style="65" customWidth="1"/>
    <col min="4364" max="4365" width="15.7109375" style="65" customWidth="1"/>
    <col min="4366" max="4366" width="9.5703125" style="65" customWidth="1"/>
    <col min="4367" max="4367" width="21.140625" style="65" customWidth="1"/>
    <col min="4368" max="4368" width="40.140625" style="65" customWidth="1"/>
    <col min="4369" max="4369" width="9" style="65" customWidth="1"/>
    <col min="4370" max="4370" width="10.42578125" style="65" bestFit="1" customWidth="1"/>
    <col min="4371" max="4371" width="24.42578125" style="65" customWidth="1"/>
    <col min="4372" max="4372" width="9.140625" style="65"/>
    <col min="4373" max="4373" width="12.7109375" style="65" bestFit="1" customWidth="1"/>
    <col min="4374" max="4374" width="64" style="65" bestFit="1" customWidth="1"/>
    <col min="4375" max="4375" width="7" style="65" bestFit="1" customWidth="1"/>
    <col min="4376" max="4376" width="11.28515625" style="65" bestFit="1" customWidth="1"/>
    <col min="4377" max="4608" width="9.140625" style="65"/>
    <col min="4609" max="4609" width="2.85546875" style="65" customWidth="1"/>
    <col min="4610" max="4616" width="11.28515625" style="65" customWidth="1"/>
    <col min="4617" max="4617" width="10" style="65" customWidth="1"/>
    <col min="4618" max="4618" width="43.85546875" style="65" customWidth="1"/>
    <col min="4619" max="4619" width="17.42578125" style="65" customWidth="1"/>
    <col min="4620" max="4621" width="15.7109375" style="65" customWidth="1"/>
    <col min="4622" max="4622" width="9.5703125" style="65" customWidth="1"/>
    <col min="4623" max="4623" width="21.140625" style="65" customWidth="1"/>
    <col min="4624" max="4624" width="40.140625" style="65" customWidth="1"/>
    <col min="4625" max="4625" width="9" style="65" customWidth="1"/>
    <col min="4626" max="4626" width="10.42578125" style="65" bestFit="1" customWidth="1"/>
    <col min="4627" max="4627" width="24.42578125" style="65" customWidth="1"/>
    <col min="4628" max="4628" width="9.140625" style="65"/>
    <col min="4629" max="4629" width="12.7109375" style="65" bestFit="1" customWidth="1"/>
    <col min="4630" max="4630" width="64" style="65" bestFit="1" customWidth="1"/>
    <col min="4631" max="4631" width="7" style="65" bestFit="1" customWidth="1"/>
    <col min="4632" max="4632" width="11.28515625" style="65" bestFit="1" customWidth="1"/>
    <col min="4633" max="4864" width="9.140625" style="65"/>
    <col min="4865" max="4865" width="2.85546875" style="65" customWidth="1"/>
    <col min="4866" max="4872" width="11.28515625" style="65" customWidth="1"/>
    <col min="4873" max="4873" width="10" style="65" customWidth="1"/>
    <col min="4874" max="4874" width="43.85546875" style="65" customWidth="1"/>
    <col min="4875" max="4875" width="17.42578125" style="65" customWidth="1"/>
    <col min="4876" max="4877" width="15.7109375" style="65" customWidth="1"/>
    <col min="4878" max="4878" width="9.5703125" style="65" customWidth="1"/>
    <col min="4879" max="4879" width="21.140625" style="65" customWidth="1"/>
    <col min="4880" max="4880" width="40.140625" style="65" customWidth="1"/>
    <col min="4881" max="4881" width="9" style="65" customWidth="1"/>
    <col min="4882" max="4882" width="10.42578125" style="65" bestFit="1" customWidth="1"/>
    <col min="4883" max="4883" width="24.42578125" style="65" customWidth="1"/>
    <col min="4884" max="4884" width="9.140625" style="65"/>
    <col min="4885" max="4885" width="12.7109375" style="65" bestFit="1" customWidth="1"/>
    <col min="4886" max="4886" width="64" style="65" bestFit="1" customWidth="1"/>
    <col min="4887" max="4887" width="7" style="65" bestFit="1" customWidth="1"/>
    <col min="4888" max="4888" width="11.28515625" style="65" bestFit="1" customWidth="1"/>
    <col min="4889" max="5120" width="9.140625" style="65"/>
    <col min="5121" max="5121" width="2.85546875" style="65" customWidth="1"/>
    <col min="5122" max="5128" width="11.28515625" style="65" customWidth="1"/>
    <col min="5129" max="5129" width="10" style="65" customWidth="1"/>
    <col min="5130" max="5130" width="43.85546875" style="65" customWidth="1"/>
    <col min="5131" max="5131" width="17.42578125" style="65" customWidth="1"/>
    <col min="5132" max="5133" width="15.7109375" style="65" customWidth="1"/>
    <col min="5134" max="5134" width="9.5703125" style="65" customWidth="1"/>
    <col min="5135" max="5135" width="21.140625" style="65" customWidth="1"/>
    <col min="5136" max="5136" width="40.140625" style="65" customWidth="1"/>
    <col min="5137" max="5137" width="9" style="65" customWidth="1"/>
    <col min="5138" max="5138" width="10.42578125" style="65" bestFit="1" customWidth="1"/>
    <col min="5139" max="5139" width="24.42578125" style="65" customWidth="1"/>
    <col min="5140" max="5140" width="9.140625" style="65"/>
    <col min="5141" max="5141" width="12.7109375" style="65" bestFit="1" customWidth="1"/>
    <col min="5142" max="5142" width="64" style="65" bestFit="1" customWidth="1"/>
    <col min="5143" max="5143" width="7" style="65" bestFit="1" customWidth="1"/>
    <col min="5144" max="5144" width="11.28515625" style="65" bestFit="1" customWidth="1"/>
    <col min="5145" max="5376" width="9.140625" style="65"/>
    <col min="5377" max="5377" width="2.85546875" style="65" customWidth="1"/>
    <col min="5378" max="5384" width="11.28515625" style="65" customWidth="1"/>
    <col min="5385" max="5385" width="10" style="65" customWidth="1"/>
    <col min="5386" max="5386" width="43.85546875" style="65" customWidth="1"/>
    <col min="5387" max="5387" width="17.42578125" style="65" customWidth="1"/>
    <col min="5388" max="5389" width="15.7109375" style="65" customWidth="1"/>
    <col min="5390" max="5390" width="9.5703125" style="65" customWidth="1"/>
    <col min="5391" max="5391" width="21.140625" style="65" customWidth="1"/>
    <col min="5392" max="5392" width="40.140625" style="65" customWidth="1"/>
    <col min="5393" max="5393" width="9" style="65" customWidth="1"/>
    <col min="5394" max="5394" width="10.42578125" style="65" bestFit="1" customWidth="1"/>
    <col min="5395" max="5395" width="24.42578125" style="65" customWidth="1"/>
    <col min="5396" max="5396" width="9.140625" style="65"/>
    <col min="5397" max="5397" width="12.7109375" style="65" bestFit="1" customWidth="1"/>
    <col min="5398" max="5398" width="64" style="65" bestFit="1" customWidth="1"/>
    <col min="5399" max="5399" width="7" style="65" bestFit="1" customWidth="1"/>
    <col min="5400" max="5400" width="11.28515625" style="65" bestFit="1" customWidth="1"/>
    <col min="5401" max="5632" width="9.140625" style="65"/>
    <col min="5633" max="5633" width="2.85546875" style="65" customWidth="1"/>
    <col min="5634" max="5640" width="11.28515625" style="65" customWidth="1"/>
    <col min="5641" max="5641" width="10" style="65" customWidth="1"/>
    <col min="5642" max="5642" width="43.85546875" style="65" customWidth="1"/>
    <col min="5643" max="5643" width="17.42578125" style="65" customWidth="1"/>
    <col min="5644" max="5645" width="15.7109375" style="65" customWidth="1"/>
    <col min="5646" max="5646" width="9.5703125" style="65" customWidth="1"/>
    <col min="5647" max="5647" width="21.140625" style="65" customWidth="1"/>
    <col min="5648" max="5648" width="40.140625" style="65" customWidth="1"/>
    <col min="5649" max="5649" width="9" style="65" customWidth="1"/>
    <col min="5650" max="5650" width="10.42578125" style="65" bestFit="1" customWidth="1"/>
    <col min="5651" max="5651" width="24.42578125" style="65" customWidth="1"/>
    <col min="5652" max="5652" width="9.140625" style="65"/>
    <col min="5653" max="5653" width="12.7109375" style="65" bestFit="1" customWidth="1"/>
    <col min="5654" max="5654" width="64" style="65" bestFit="1" customWidth="1"/>
    <col min="5655" max="5655" width="7" style="65" bestFit="1" customWidth="1"/>
    <col min="5656" max="5656" width="11.28515625" style="65" bestFit="1" customWidth="1"/>
    <col min="5657" max="5888" width="9.140625" style="65"/>
    <col min="5889" max="5889" width="2.85546875" style="65" customWidth="1"/>
    <col min="5890" max="5896" width="11.28515625" style="65" customWidth="1"/>
    <col min="5897" max="5897" width="10" style="65" customWidth="1"/>
    <col min="5898" max="5898" width="43.85546875" style="65" customWidth="1"/>
    <col min="5899" max="5899" width="17.42578125" style="65" customWidth="1"/>
    <col min="5900" max="5901" width="15.7109375" style="65" customWidth="1"/>
    <col min="5902" max="5902" width="9.5703125" style="65" customWidth="1"/>
    <col min="5903" max="5903" width="21.140625" style="65" customWidth="1"/>
    <col min="5904" max="5904" width="40.140625" style="65" customWidth="1"/>
    <col min="5905" max="5905" width="9" style="65" customWidth="1"/>
    <col min="5906" max="5906" width="10.42578125" style="65" bestFit="1" customWidth="1"/>
    <col min="5907" max="5907" width="24.42578125" style="65" customWidth="1"/>
    <col min="5908" max="5908" width="9.140625" style="65"/>
    <col min="5909" max="5909" width="12.7109375" style="65" bestFit="1" customWidth="1"/>
    <col min="5910" max="5910" width="64" style="65" bestFit="1" customWidth="1"/>
    <col min="5911" max="5911" width="7" style="65" bestFit="1" customWidth="1"/>
    <col min="5912" max="5912" width="11.28515625" style="65" bestFit="1" customWidth="1"/>
    <col min="5913" max="6144" width="9.140625" style="65"/>
    <col min="6145" max="6145" width="2.85546875" style="65" customWidth="1"/>
    <col min="6146" max="6152" width="11.28515625" style="65" customWidth="1"/>
    <col min="6153" max="6153" width="10" style="65" customWidth="1"/>
    <col min="6154" max="6154" width="43.85546875" style="65" customWidth="1"/>
    <col min="6155" max="6155" width="17.42578125" style="65" customWidth="1"/>
    <col min="6156" max="6157" width="15.7109375" style="65" customWidth="1"/>
    <col min="6158" max="6158" width="9.5703125" style="65" customWidth="1"/>
    <col min="6159" max="6159" width="21.140625" style="65" customWidth="1"/>
    <col min="6160" max="6160" width="40.140625" style="65" customWidth="1"/>
    <col min="6161" max="6161" width="9" style="65" customWidth="1"/>
    <col min="6162" max="6162" width="10.42578125" style="65" bestFit="1" customWidth="1"/>
    <col min="6163" max="6163" width="24.42578125" style="65" customWidth="1"/>
    <col min="6164" max="6164" width="9.140625" style="65"/>
    <col min="6165" max="6165" width="12.7109375" style="65" bestFit="1" customWidth="1"/>
    <col min="6166" max="6166" width="64" style="65" bestFit="1" customWidth="1"/>
    <col min="6167" max="6167" width="7" style="65" bestFit="1" customWidth="1"/>
    <col min="6168" max="6168" width="11.28515625" style="65" bestFit="1" customWidth="1"/>
    <col min="6169" max="6400" width="9.140625" style="65"/>
    <col min="6401" max="6401" width="2.85546875" style="65" customWidth="1"/>
    <col min="6402" max="6408" width="11.28515625" style="65" customWidth="1"/>
    <col min="6409" max="6409" width="10" style="65" customWidth="1"/>
    <col min="6410" max="6410" width="43.85546875" style="65" customWidth="1"/>
    <col min="6411" max="6411" width="17.42578125" style="65" customWidth="1"/>
    <col min="6412" max="6413" width="15.7109375" style="65" customWidth="1"/>
    <col min="6414" max="6414" width="9.5703125" style="65" customWidth="1"/>
    <col min="6415" max="6415" width="21.140625" style="65" customWidth="1"/>
    <col min="6416" max="6416" width="40.140625" style="65" customWidth="1"/>
    <col min="6417" max="6417" width="9" style="65" customWidth="1"/>
    <col min="6418" max="6418" width="10.42578125" style="65" bestFit="1" customWidth="1"/>
    <col min="6419" max="6419" width="24.42578125" style="65" customWidth="1"/>
    <col min="6420" max="6420" width="9.140625" style="65"/>
    <col min="6421" max="6421" width="12.7109375" style="65" bestFit="1" customWidth="1"/>
    <col min="6422" max="6422" width="64" style="65" bestFit="1" customWidth="1"/>
    <col min="6423" max="6423" width="7" style="65" bestFit="1" customWidth="1"/>
    <col min="6424" max="6424" width="11.28515625" style="65" bestFit="1" customWidth="1"/>
    <col min="6425" max="6656" width="9.140625" style="65"/>
    <col min="6657" max="6657" width="2.85546875" style="65" customWidth="1"/>
    <col min="6658" max="6664" width="11.28515625" style="65" customWidth="1"/>
    <col min="6665" max="6665" width="10" style="65" customWidth="1"/>
    <col min="6666" max="6666" width="43.85546875" style="65" customWidth="1"/>
    <col min="6667" max="6667" width="17.42578125" style="65" customWidth="1"/>
    <col min="6668" max="6669" width="15.7109375" style="65" customWidth="1"/>
    <col min="6670" max="6670" width="9.5703125" style="65" customWidth="1"/>
    <col min="6671" max="6671" width="21.140625" style="65" customWidth="1"/>
    <col min="6672" max="6672" width="40.140625" style="65" customWidth="1"/>
    <col min="6673" max="6673" width="9" style="65" customWidth="1"/>
    <col min="6674" max="6674" width="10.42578125" style="65" bestFit="1" customWidth="1"/>
    <col min="6675" max="6675" width="24.42578125" style="65" customWidth="1"/>
    <col min="6676" max="6676" width="9.140625" style="65"/>
    <col min="6677" max="6677" width="12.7109375" style="65" bestFit="1" customWidth="1"/>
    <col min="6678" max="6678" width="64" style="65" bestFit="1" customWidth="1"/>
    <col min="6679" max="6679" width="7" style="65" bestFit="1" customWidth="1"/>
    <col min="6680" max="6680" width="11.28515625" style="65" bestFit="1" customWidth="1"/>
    <col min="6681" max="6912" width="9.140625" style="65"/>
    <col min="6913" max="6913" width="2.85546875" style="65" customWidth="1"/>
    <col min="6914" max="6920" width="11.28515625" style="65" customWidth="1"/>
    <col min="6921" max="6921" width="10" style="65" customWidth="1"/>
    <col min="6922" max="6922" width="43.85546875" style="65" customWidth="1"/>
    <col min="6923" max="6923" width="17.42578125" style="65" customWidth="1"/>
    <col min="6924" max="6925" width="15.7109375" style="65" customWidth="1"/>
    <col min="6926" max="6926" width="9.5703125" style="65" customWidth="1"/>
    <col min="6927" max="6927" width="21.140625" style="65" customWidth="1"/>
    <col min="6928" max="6928" width="40.140625" style="65" customWidth="1"/>
    <col min="6929" max="6929" width="9" style="65" customWidth="1"/>
    <col min="6930" max="6930" width="10.42578125" style="65" bestFit="1" customWidth="1"/>
    <col min="6931" max="6931" width="24.42578125" style="65" customWidth="1"/>
    <col min="6932" max="6932" width="9.140625" style="65"/>
    <col min="6933" max="6933" width="12.7109375" style="65" bestFit="1" customWidth="1"/>
    <col min="6934" max="6934" width="64" style="65" bestFit="1" customWidth="1"/>
    <col min="6935" max="6935" width="7" style="65" bestFit="1" customWidth="1"/>
    <col min="6936" max="6936" width="11.28515625" style="65" bestFit="1" customWidth="1"/>
    <col min="6937" max="7168" width="9.140625" style="65"/>
    <col min="7169" max="7169" width="2.85546875" style="65" customWidth="1"/>
    <col min="7170" max="7176" width="11.28515625" style="65" customWidth="1"/>
    <col min="7177" max="7177" width="10" style="65" customWidth="1"/>
    <col min="7178" max="7178" width="43.85546875" style="65" customWidth="1"/>
    <col min="7179" max="7179" width="17.42578125" style="65" customWidth="1"/>
    <col min="7180" max="7181" width="15.7109375" style="65" customWidth="1"/>
    <col min="7182" max="7182" width="9.5703125" style="65" customWidth="1"/>
    <col min="7183" max="7183" width="21.140625" style="65" customWidth="1"/>
    <col min="7184" max="7184" width="40.140625" style="65" customWidth="1"/>
    <col min="7185" max="7185" width="9" style="65" customWidth="1"/>
    <col min="7186" max="7186" width="10.42578125" style="65" bestFit="1" customWidth="1"/>
    <col min="7187" max="7187" width="24.42578125" style="65" customWidth="1"/>
    <col min="7188" max="7188" width="9.140625" style="65"/>
    <col min="7189" max="7189" width="12.7109375" style="65" bestFit="1" customWidth="1"/>
    <col min="7190" max="7190" width="64" style="65" bestFit="1" customWidth="1"/>
    <col min="7191" max="7191" width="7" style="65" bestFit="1" customWidth="1"/>
    <col min="7192" max="7192" width="11.28515625" style="65" bestFit="1" customWidth="1"/>
    <col min="7193" max="7424" width="9.140625" style="65"/>
    <col min="7425" max="7425" width="2.85546875" style="65" customWidth="1"/>
    <col min="7426" max="7432" width="11.28515625" style="65" customWidth="1"/>
    <col min="7433" max="7433" width="10" style="65" customWidth="1"/>
    <col min="7434" max="7434" width="43.85546875" style="65" customWidth="1"/>
    <col min="7435" max="7435" width="17.42578125" style="65" customWidth="1"/>
    <col min="7436" max="7437" width="15.7109375" style="65" customWidth="1"/>
    <col min="7438" max="7438" width="9.5703125" style="65" customWidth="1"/>
    <col min="7439" max="7439" width="21.140625" style="65" customWidth="1"/>
    <col min="7440" max="7440" width="40.140625" style="65" customWidth="1"/>
    <col min="7441" max="7441" width="9" style="65" customWidth="1"/>
    <col min="7442" max="7442" width="10.42578125" style="65" bestFit="1" customWidth="1"/>
    <col min="7443" max="7443" width="24.42578125" style="65" customWidth="1"/>
    <col min="7444" max="7444" width="9.140625" style="65"/>
    <col min="7445" max="7445" width="12.7109375" style="65" bestFit="1" customWidth="1"/>
    <col min="7446" max="7446" width="64" style="65" bestFit="1" customWidth="1"/>
    <col min="7447" max="7447" width="7" style="65" bestFit="1" customWidth="1"/>
    <col min="7448" max="7448" width="11.28515625" style="65" bestFit="1" customWidth="1"/>
    <col min="7449" max="7680" width="9.140625" style="65"/>
    <col min="7681" max="7681" width="2.85546875" style="65" customWidth="1"/>
    <col min="7682" max="7688" width="11.28515625" style="65" customWidth="1"/>
    <col min="7689" max="7689" width="10" style="65" customWidth="1"/>
    <col min="7690" max="7690" width="43.85546875" style="65" customWidth="1"/>
    <col min="7691" max="7691" width="17.42578125" style="65" customWidth="1"/>
    <col min="7692" max="7693" width="15.7109375" style="65" customWidth="1"/>
    <col min="7694" max="7694" width="9.5703125" style="65" customWidth="1"/>
    <col min="7695" max="7695" width="21.140625" style="65" customWidth="1"/>
    <col min="7696" max="7696" width="40.140625" style="65" customWidth="1"/>
    <col min="7697" max="7697" width="9" style="65" customWidth="1"/>
    <col min="7698" max="7698" width="10.42578125" style="65" bestFit="1" customWidth="1"/>
    <col min="7699" max="7699" width="24.42578125" style="65" customWidth="1"/>
    <col min="7700" max="7700" width="9.140625" style="65"/>
    <col min="7701" max="7701" width="12.7109375" style="65" bestFit="1" customWidth="1"/>
    <col min="7702" max="7702" width="64" style="65" bestFit="1" customWidth="1"/>
    <col min="7703" max="7703" width="7" style="65" bestFit="1" customWidth="1"/>
    <col min="7704" max="7704" width="11.28515625" style="65" bestFit="1" customWidth="1"/>
    <col min="7705" max="7936" width="9.140625" style="65"/>
    <col min="7937" max="7937" width="2.85546875" style="65" customWidth="1"/>
    <col min="7938" max="7944" width="11.28515625" style="65" customWidth="1"/>
    <col min="7945" max="7945" width="10" style="65" customWidth="1"/>
    <col min="7946" max="7946" width="43.85546875" style="65" customWidth="1"/>
    <col min="7947" max="7947" width="17.42578125" style="65" customWidth="1"/>
    <col min="7948" max="7949" width="15.7109375" style="65" customWidth="1"/>
    <col min="7950" max="7950" width="9.5703125" style="65" customWidth="1"/>
    <col min="7951" max="7951" width="21.140625" style="65" customWidth="1"/>
    <col min="7952" max="7952" width="40.140625" style="65" customWidth="1"/>
    <col min="7953" max="7953" width="9" style="65" customWidth="1"/>
    <col min="7954" max="7954" width="10.42578125" style="65" bestFit="1" customWidth="1"/>
    <col min="7955" max="7955" width="24.42578125" style="65" customWidth="1"/>
    <col min="7956" max="7956" width="9.140625" style="65"/>
    <col min="7957" max="7957" width="12.7109375" style="65" bestFit="1" customWidth="1"/>
    <col min="7958" max="7958" width="64" style="65" bestFit="1" customWidth="1"/>
    <col min="7959" max="7959" width="7" style="65" bestFit="1" customWidth="1"/>
    <col min="7960" max="7960" width="11.28515625" style="65" bestFit="1" customWidth="1"/>
    <col min="7961" max="8192" width="9.140625" style="65"/>
    <col min="8193" max="8193" width="2.85546875" style="65" customWidth="1"/>
    <col min="8194" max="8200" width="11.28515625" style="65" customWidth="1"/>
    <col min="8201" max="8201" width="10" style="65" customWidth="1"/>
    <col min="8202" max="8202" width="43.85546875" style="65" customWidth="1"/>
    <col min="8203" max="8203" width="17.42578125" style="65" customWidth="1"/>
    <col min="8204" max="8205" width="15.7109375" style="65" customWidth="1"/>
    <col min="8206" max="8206" width="9.5703125" style="65" customWidth="1"/>
    <col min="8207" max="8207" width="21.140625" style="65" customWidth="1"/>
    <col min="8208" max="8208" width="40.140625" style="65" customWidth="1"/>
    <col min="8209" max="8209" width="9" style="65" customWidth="1"/>
    <col min="8210" max="8210" width="10.42578125" style="65" bestFit="1" customWidth="1"/>
    <col min="8211" max="8211" width="24.42578125" style="65" customWidth="1"/>
    <col min="8212" max="8212" width="9.140625" style="65"/>
    <col min="8213" max="8213" width="12.7109375" style="65" bestFit="1" customWidth="1"/>
    <col min="8214" max="8214" width="64" style="65" bestFit="1" customWidth="1"/>
    <col min="8215" max="8215" width="7" style="65" bestFit="1" customWidth="1"/>
    <col min="8216" max="8216" width="11.28515625" style="65" bestFit="1" customWidth="1"/>
    <col min="8217" max="8448" width="9.140625" style="65"/>
    <col min="8449" max="8449" width="2.85546875" style="65" customWidth="1"/>
    <col min="8450" max="8456" width="11.28515625" style="65" customWidth="1"/>
    <col min="8457" max="8457" width="10" style="65" customWidth="1"/>
    <col min="8458" max="8458" width="43.85546875" style="65" customWidth="1"/>
    <col min="8459" max="8459" width="17.42578125" style="65" customWidth="1"/>
    <col min="8460" max="8461" width="15.7109375" style="65" customWidth="1"/>
    <col min="8462" max="8462" width="9.5703125" style="65" customWidth="1"/>
    <col min="8463" max="8463" width="21.140625" style="65" customWidth="1"/>
    <col min="8464" max="8464" width="40.140625" style="65" customWidth="1"/>
    <col min="8465" max="8465" width="9" style="65" customWidth="1"/>
    <col min="8466" max="8466" width="10.42578125" style="65" bestFit="1" customWidth="1"/>
    <col min="8467" max="8467" width="24.42578125" style="65" customWidth="1"/>
    <col min="8468" max="8468" width="9.140625" style="65"/>
    <col min="8469" max="8469" width="12.7109375" style="65" bestFit="1" customWidth="1"/>
    <col min="8470" max="8470" width="64" style="65" bestFit="1" customWidth="1"/>
    <col min="8471" max="8471" width="7" style="65" bestFit="1" customWidth="1"/>
    <col min="8472" max="8472" width="11.28515625" style="65" bestFit="1" customWidth="1"/>
    <col min="8473" max="8704" width="9.140625" style="65"/>
    <col min="8705" max="8705" width="2.85546875" style="65" customWidth="1"/>
    <col min="8706" max="8712" width="11.28515625" style="65" customWidth="1"/>
    <col min="8713" max="8713" width="10" style="65" customWidth="1"/>
    <col min="8714" max="8714" width="43.85546875" style="65" customWidth="1"/>
    <col min="8715" max="8715" width="17.42578125" style="65" customWidth="1"/>
    <col min="8716" max="8717" width="15.7109375" style="65" customWidth="1"/>
    <col min="8718" max="8718" width="9.5703125" style="65" customWidth="1"/>
    <col min="8719" max="8719" width="21.140625" style="65" customWidth="1"/>
    <col min="8720" max="8720" width="40.140625" style="65" customWidth="1"/>
    <col min="8721" max="8721" width="9" style="65" customWidth="1"/>
    <col min="8722" max="8722" width="10.42578125" style="65" bestFit="1" customWidth="1"/>
    <col min="8723" max="8723" width="24.42578125" style="65" customWidth="1"/>
    <col min="8724" max="8724" width="9.140625" style="65"/>
    <col min="8725" max="8725" width="12.7109375" style="65" bestFit="1" customWidth="1"/>
    <col min="8726" max="8726" width="64" style="65" bestFit="1" customWidth="1"/>
    <col min="8727" max="8727" width="7" style="65" bestFit="1" customWidth="1"/>
    <col min="8728" max="8728" width="11.28515625" style="65" bestFit="1" customWidth="1"/>
    <col min="8729" max="8960" width="9.140625" style="65"/>
    <col min="8961" max="8961" width="2.85546875" style="65" customWidth="1"/>
    <col min="8962" max="8968" width="11.28515625" style="65" customWidth="1"/>
    <col min="8969" max="8969" width="10" style="65" customWidth="1"/>
    <col min="8970" max="8970" width="43.85546875" style="65" customWidth="1"/>
    <col min="8971" max="8971" width="17.42578125" style="65" customWidth="1"/>
    <col min="8972" max="8973" width="15.7109375" style="65" customWidth="1"/>
    <col min="8974" max="8974" width="9.5703125" style="65" customWidth="1"/>
    <col min="8975" max="8975" width="21.140625" style="65" customWidth="1"/>
    <col min="8976" max="8976" width="40.140625" style="65" customWidth="1"/>
    <col min="8977" max="8977" width="9" style="65" customWidth="1"/>
    <col min="8978" max="8978" width="10.42578125" style="65" bestFit="1" customWidth="1"/>
    <col min="8979" max="8979" width="24.42578125" style="65" customWidth="1"/>
    <col min="8980" max="8980" width="9.140625" style="65"/>
    <col min="8981" max="8981" width="12.7109375" style="65" bestFit="1" customWidth="1"/>
    <col min="8982" max="8982" width="64" style="65" bestFit="1" customWidth="1"/>
    <col min="8983" max="8983" width="7" style="65" bestFit="1" customWidth="1"/>
    <col min="8984" max="8984" width="11.28515625" style="65" bestFit="1" customWidth="1"/>
    <col min="8985" max="9216" width="9.140625" style="65"/>
    <col min="9217" max="9217" width="2.85546875" style="65" customWidth="1"/>
    <col min="9218" max="9224" width="11.28515625" style="65" customWidth="1"/>
    <col min="9225" max="9225" width="10" style="65" customWidth="1"/>
    <col min="9226" max="9226" width="43.85546875" style="65" customWidth="1"/>
    <col min="9227" max="9227" width="17.42578125" style="65" customWidth="1"/>
    <col min="9228" max="9229" width="15.7109375" style="65" customWidth="1"/>
    <col min="9230" max="9230" width="9.5703125" style="65" customWidth="1"/>
    <col min="9231" max="9231" width="21.140625" style="65" customWidth="1"/>
    <col min="9232" max="9232" width="40.140625" style="65" customWidth="1"/>
    <col min="9233" max="9233" width="9" style="65" customWidth="1"/>
    <col min="9234" max="9234" width="10.42578125" style="65" bestFit="1" customWidth="1"/>
    <col min="9235" max="9235" width="24.42578125" style="65" customWidth="1"/>
    <col min="9236" max="9236" width="9.140625" style="65"/>
    <col min="9237" max="9237" width="12.7109375" style="65" bestFit="1" customWidth="1"/>
    <col min="9238" max="9238" width="64" style="65" bestFit="1" customWidth="1"/>
    <col min="9239" max="9239" width="7" style="65" bestFit="1" customWidth="1"/>
    <col min="9240" max="9240" width="11.28515625" style="65" bestFit="1" customWidth="1"/>
    <col min="9241" max="9472" width="9.140625" style="65"/>
    <col min="9473" max="9473" width="2.85546875" style="65" customWidth="1"/>
    <col min="9474" max="9480" width="11.28515625" style="65" customWidth="1"/>
    <col min="9481" max="9481" width="10" style="65" customWidth="1"/>
    <col min="9482" max="9482" width="43.85546875" style="65" customWidth="1"/>
    <col min="9483" max="9483" width="17.42578125" style="65" customWidth="1"/>
    <col min="9484" max="9485" width="15.7109375" style="65" customWidth="1"/>
    <col min="9486" max="9486" width="9.5703125" style="65" customWidth="1"/>
    <col min="9487" max="9487" width="21.140625" style="65" customWidth="1"/>
    <col min="9488" max="9488" width="40.140625" style="65" customWidth="1"/>
    <col min="9489" max="9489" width="9" style="65" customWidth="1"/>
    <col min="9490" max="9490" width="10.42578125" style="65" bestFit="1" customWidth="1"/>
    <col min="9491" max="9491" width="24.42578125" style="65" customWidth="1"/>
    <col min="9492" max="9492" width="9.140625" style="65"/>
    <col min="9493" max="9493" width="12.7109375" style="65" bestFit="1" customWidth="1"/>
    <col min="9494" max="9494" width="64" style="65" bestFit="1" customWidth="1"/>
    <col min="9495" max="9495" width="7" style="65" bestFit="1" customWidth="1"/>
    <col min="9496" max="9496" width="11.28515625" style="65" bestFit="1" customWidth="1"/>
    <col min="9497" max="9728" width="9.140625" style="65"/>
    <col min="9729" max="9729" width="2.85546875" style="65" customWidth="1"/>
    <col min="9730" max="9736" width="11.28515625" style="65" customWidth="1"/>
    <col min="9737" max="9737" width="10" style="65" customWidth="1"/>
    <col min="9738" max="9738" width="43.85546875" style="65" customWidth="1"/>
    <col min="9739" max="9739" width="17.42578125" style="65" customWidth="1"/>
    <col min="9740" max="9741" width="15.7109375" style="65" customWidth="1"/>
    <col min="9742" max="9742" width="9.5703125" style="65" customWidth="1"/>
    <col min="9743" max="9743" width="21.140625" style="65" customWidth="1"/>
    <col min="9744" max="9744" width="40.140625" style="65" customWidth="1"/>
    <col min="9745" max="9745" width="9" style="65" customWidth="1"/>
    <col min="9746" max="9746" width="10.42578125" style="65" bestFit="1" customWidth="1"/>
    <col min="9747" max="9747" width="24.42578125" style="65" customWidth="1"/>
    <col min="9748" max="9748" width="9.140625" style="65"/>
    <col min="9749" max="9749" width="12.7109375" style="65" bestFit="1" customWidth="1"/>
    <col min="9750" max="9750" width="64" style="65" bestFit="1" customWidth="1"/>
    <col min="9751" max="9751" width="7" style="65" bestFit="1" customWidth="1"/>
    <col min="9752" max="9752" width="11.28515625" style="65" bestFit="1" customWidth="1"/>
    <col min="9753" max="9984" width="9.140625" style="65"/>
    <col min="9985" max="9985" width="2.85546875" style="65" customWidth="1"/>
    <col min="9986" max="9992" width="11.28515625" style="65" customWidth="1"/>
    <col min="9993" max="9993" width="10" style="65" customWidth="1"/>
    <col min="9994" max="9994" width="43.85546875" style="65" customWidth="1"/>
    <col min="9995" max="9995" width="17.42578125" style="65" customWidth="1"/>
    <col min="9996" max="9997" width="15.7109375" style="65" customWidth="1"/>
    <col min="9998" max="9998" width="9.5703125" style="65" customWidth="1"/>
    <col min="9999" max="9999" width="21.140625" style="65" customWidth="1"/>
    <col min="10000" max="10000" width="40.140625" style="65" customWidth="1"/>
    <col min="10001" max="10001" width="9" style="65" customWidth="1"/>
    <col min="10002" max="10002" width="10.42578125" style="65" bestFit="1" customWidth="1"/>
    <col min="10003" max="10003" width="24.42578125" style="65" customWidth="1"/>
    <col min="10004" max="10004" width="9.140625" style="65"/>
    <col min="10005" max="10005" width="12.7109375" style="65" bestFit="1" customWidth="1"/>
    <col min="10006" max="10006" width="64" style="65" bestFit="1" customWidth="1"/>
    <col min="10007" max="10007" width="7" style="65" bestFit="1" customWidth="1"/>
    <col min="10008" max="10008" width="11.28515625" style="65" bestFit="1" customWidth="1"/>
    <col min="10009" max="10240" width="9.140625" style="65"/>
    <col min="10241" max="10241" width="2.85546875" style="65" customWidth="1"/>
    <col min="10242" max="10248" width="11.28515625" style="65" customWidth="1"/>
    <col min="10249" max="10249" width="10" style="65" customWidth="1"/>
    <col min="10250" max="10250" width="43.85546875" style="65" customWidth="1"/>
    <col min="10251" max="10251" width="17.42578125" style="65" customWidth="1"/>
    <col min="10252" max="10253" width="15.7109375" style="65" customWidth="1"/>
    <col min="10254" max="10254" width="9.5703125" style="65" customWidth="1"/>
    <col min="10255" max="10255" width="21.140625" style="65" customWidth="1"/>
    <col min="10256" max="10256" width="40.140625" style="65" customWidth="1"/>
    <col min="10257" max="10257" width="9" style="65" customWidth="1"/>
    <col min="10258" max="10258" width="10.42578125" style="65" bestFit="1" customWidth="1"/>
    <col min="10259" max="10259" width="24.42578125" style="65" customWidth="1"/>
    <col min="10260" max="10260" width="9.140625" style="65"/>
    <col min="10261" max="10261" width="12.7109375" style="65" bestFit="1" customWidth="1"/>
    <col min="10262" max="10262" width="64" style="65" bestFit="1" customWidth="1"/>
    <col min="10263" max="10263" width="7" style="65" bestFit="1" customWidth="1"/>
    <col min="10264" max="10264" width="11.28515625" style="65" bestFit="1" customWidth="1"/>
    <col min="10265" max="10496" width="9.140625" style="65"/>
    <col min="10497" max="10497" width="2.85546875" style="65" customWidth="1"/>
    <col min="10498" max="10504" width="11.28515625" style="65" customWidth="1"/>
    <col min="10505" max="10505" width="10" style="65" customWidth="1"/>
    <col min="10506" max="10506" width="43.85546875" style="65" customWidth="1"/>
    <col min="10507" max="10507" width="17.42578125" style="65" customWidth="1"/>
    <col min="10508" max="10509" width="15.7109375" style="65" customWidth="1"/>
    <col min="10510" max="10510" width="9.5703125" style="65" customWidth="1"/>
    <col min="10511" max="10511" width="21.140625" style="65" customWidth="1"/>
    <col min="10512" max="10512" width="40.140625" style="65" customWidth="1"/>
    <col min="10513" max="10513" width="9" style="65" customWidth="1"/>
    <col min="10514" max="10514" width="10.42578125" style="65" bestFit="1" customWidth="1"/>
    <col min="10515" max="10515" width="24.42578125" style="65" customWidth="1"/>
    <col min="10516" max="10516" width="9.140625" style="65"/>
    <col min="10517" max="10517" width="12.7109375" style="65" bestFit="1" customWidth="1"/>
    <col min="10518" max="10518" width="64" style="65" bestFit="1" customWidth="1"/>
    <col min="10519" max="10519" width="7" style="65" bestFit="1" customWidth="1"/>
    <col min="10520" max="10520" width="11.28515625" style="65" bestFit="1" customWidth="1"/>
    <col min="10521" max="10752" width="9.140625" style="65"/>
    <col min="10753" max="10753" width="2.85546875" style="65" customWidth="1"/>
    <col min="10754" max="10760" width="11.28515625" style="65" customWidth="1"/>
    <col min="10761" max="10761" width="10" style="65" customWidth="1"/>
    <col min="10762" max="10762" width="43.85546875" style="65" customWidth="1"/>
    <col min="10763" max="10763" width="17.42578125" style="65" customWidth="1"/>
    <col min="10764" max="10765" width="15.7109375" style="65" customWidth="1"/>
    <col min="10766" max="10766" width="9.5703125" style="65" customWidth="1"/>
    <col min="10767" max="10767" width="21.140625" style="65" customWidth="1"/>
    <col min="10768" max="10768" width="40.140625" style="65" customWidth="1"/>
    <col min="10769" max="10769" width="9" style="65" customWidth="1"/>
    <col min="10770" max="10770" width="10.42578125" style="65" bestFit="1" customWidth="1"/>
    <col min="10771" max="10771" width="24.42578125" style="65" customWidth="1"/>
    <col min="10772" max="10772" width="9.140625" style="65"/>
    <col min="10773" max="10773" width="12.7109375" style="65" bestFit="1" customWidth="1"/>
    <col min="10774" max="10774" width="64" style="65" bestFit="1" customWidth="1"/>
    <col min="10775" max="10775" width="7" style="65" bestFit="1" customWidth="1"/>
    <col min="10776" max="10776" width="11.28515625" style="65" bestFit="1" customWidth="1"/>
    <col min="10777" max="11008" width="9.140625" style="65"/>
    <col min="11009" max="11009" width="2.85546875" style="65" customWidth="1"/>
    <col min="11010" max="11016" width="11.28515625" style="65" customWidth="1"/>
    <col min="11017" max="11017" width="10" style="65" customWidth="1"/>
    <col min="11018" max="11018" width="43.85546875" style="65" customWidth="1"/>
    <col min="11019" max="11019" width="17.42578125" style="65" customWidth="1"/>
    <col min="11020" max="11021" width="15.7109375" style="65" customWidth="1"/>
    <col min="11022" max="11022" width="9.5703125" style="65" customWidth="1"/>
    <col min="11023" max="11023" width="21.140625" style="65" customWidth="1"/>
    <col min="11024" max="11024" width="40.140625" style="65" customWidth="1"/>
    <col min="11025" max="11025" width="9" style="65" customWidth="1"/>
    <col min="11026" max="11026" width="10.42578125" style="65" bestFit="1" customWidth="1"/>
    <col min="11027" max="11027" width="24.42578125" style="65" customWidth="1"/>
    <col min="11028" max="11028" width="9.140625" style="65"/>
    <col min="11029" max="11029" width="12.7109375" style="65" bestFit="1" customWidth="1"/>
    <col min="11030" max="11030" width="64" style="65" bestFit="1" customWidth="1"/>
    <col min="11031" max="11031" width="7" style="65" bestFit="1" customWidth="1"/>
    <col min="11032" max="11032" width="11.28515625" style="65" bestFit="1" customWidth="1"/>
    <col min="11033" max="11264" width="9.140625" style="65"/>
    <col min="11265" max="11265" width="2.85546875" style="65" customWidth="1"/>
    <col min="11266" max="11272" width="11.28515625" style="65" customWidth="1"/>
    <col min="11273" max="11273" width="10" style="65" customWidth="1"/>
    <col min="11274" max="11274" width="43.85546875" style="65" customWidth="1"/>
    <col min="11275" max="11275" width="17.42578125" style="65" customWidth="1"/>
    <col min="11276" max="11277" width="15.7109375" style="65" customWidth="1"/>
    <col min="11278" max="11278" width="9.5703125" style="65" customWidth="1"/>
    <col min="11279" max="11279" width="21.140625" style="65" customWidth="1"/>
    <col min="11280" max="11280" width="40.140625" style="65" customWidth="1"/>
    <col min="11281" max="11281" width="9" style="65" customWidth="1"/>
    <col min="11282" max="11282" width="10.42578125" style="65" bestFit="1" customWidth="1"/>
    <col min="11283" max="11283" width="24.42578125" style="65" customWidth="1"/>
    <col min="11284" max="11284" width="9.140625" style="65"/>
    <col min="11285" max="11285" width="12.7109375" style="65" bestFit="1" customWidth="1"/>
    <col min="11286" max="11286" width="64" style="65" bestFit="1" customWidth="1"/>
    <col min="11287" max="11287" width="7" style="65" bestFit="1" customWidth="1"/>
    <col min="11288" max="11288" width="11.28515625" style="65" bestFit="1" customWidth="1"/>
    <col min="11289" max="11520" width="9.140625" style="65"/>
    <col min="11521" max="11521" width="2.85546875" style="65" customWidth="1"/>
    <col min="11522" max="11528" width="11.28515625" style="65" customWidth="1"/>
    <col min="11529" max="11529" width="10" style="65" customWidth="1"/>
    <col min="11530" max="11530" width="43.85546875" style="65" customWidth="1"/>
    <col min="11531" max="11531" width="17.42578125" style="65" customWidth="1"/>
    <col min="11532" max="11533" width="15.7109375" style="65" customWidth="1"/>
    <col min="11534" max="11534" width="9.5703125" style="65" customWidth="1"/>
    <col min="11535" max="11535" width="21.140625" style="65" customWidth="1"/>
    <col min="11536" max="11536" width="40.140625" style="65" customWidth="1"/>
    <col min="11537" max="11537" width="9" style="65" customWidth="1"/>
    <col min="11538" max="11538" width="10.42578125" style="65" bestFit="1" customWidth="1"/>
    <col min="11539" max="11539" width="24.42578125" style="65" customWidth="1"/>
    <col min="11540" max="11540" width="9.140625" style="65"/>
    <col min="11541" max="11541" width="12.7109375" style="65" bestFit="1" customWidth="1"/>
    <col min="11542" max="11542" width="64" style="65" bestFit="1" customWidth="1"/>
    <col min="11543" max="11543" width="7" style="65" bestFit="1" customWidth="1"/>
    <col min="11544" max="11544" width="11.28515625" style="65" bestFit="1" customWidth="1"/>
    <col min="11545" max="11776" width="9.140625" style="65"/>
    <col min="11777" max="11777" width="2.85546875" style="65" customWidth="1"/>
    <col min="11778" max="11784" width="11.28515625" style="65" customWidth="1"/>
    <col min="11785" max="11785" width="10" style="65" customWidth="1"/>
    <col min="11786" max="11786" width="43.85546875" style="65" customWidth="1"/>
    <col min="11787" max="11787" width="17.42578125" style="65" customWidth="1"/>
    <col min="11788" max="11789" width="15.7109375" style="65" customWidth="1"/>
    <col min="11790" max="11790" width="9.5703125" style="65" customWidth="1"/>
    <col min="11791" max="11791" width="21.140625" style="65" customWidth="1"/>
    <col min="11792" max="11792" width="40.140625" style="65" customWidth="1"/>
    <col min="11793" max="11793" width="9" style="65" customWidth="1"/>
    <col min="11794" max="11794" width="10.42578125" style="65" bestFit="1" customWidth="1"/>
    <col min="11795" max="11795" width="24.42578125" style="65" customWidth="1"/>
    <col min="11796" max="11796" width="9.140625" style="65"/>
    <col min="11797" max="11797" width="12.7109375" style="65" bestFit="1" customWidth="1"/>
    <col min="11798" max="11798" width="64" style="65" bestFit="1" customWidth="1"/>
    <col min="11799" max="11799" width="7" style="65" bestFit="1" customWidth="1"/>
    <col min="11800" max="11800" width="11.28515625" style="65" bestFit="1" customWidth="1"/>
    <col min="11801" max="12032" width="9.140625" style="65"/>
    <col min="12033" max="12033" width="2.85546875" style="65" customWidth="1"/>
    <col min="12034" max="12040" width="11.28515625" style="65" customWidth="1"/>
    <col min="12041" max="12041" width="10" style="65" customWidth="1"/>
    <col min="12042" max="12042" width="43.85546875" style="65" customWidth="1"/>
    <col min="12043" max="12043" width="17.42578125" style="65" customWidth="1"/>
    <col min="12044" max="12045" width="15.7109375" style="65" customWidth="1"/>
    <col min="12046" max="12046" width="9.5703125" style="65" customWidth="1"/>
    <col min="12047" max="12047" width="21.140625" style="65" customWidth="1"/>
    <col min="12048" max="12048" width="40.140625" style="65" customWidth="1"/>
    <col min="12049" max="12049" width="9" style="65" customWidth="1"/>
    <col min="12050" max="12050" width="10.42578125" style="65" bestFit="1" customWidth="1"/>
    <col min="12051" max="12051" width="24.42578125" style="65" customWidth="1"/>
    <col min="12052" max="12052" width="9.140625" style="65"/>
    <col min="12053" max="12053" width="12.7109375" style="65" bestFit="1" customWidth="1"/>
    <col min="12054" max="12054" width="64" style="65" bestFit="1" customWidth="1"/>
    <col min="12055" max="12055" width="7" style="65" bestFit="1" customWidth="1"/>
    <col min="12056" max="12056" width="11.28515625" style="65" bestFit="1" customWidth="1"/>
    <col min="12057" max="12288" width="9.140625" style="65"/>
    <col min="12289" max="12289" width="2.85546875" style="65" customWidth="1"/>
    <col min="12290" max="12296" width="11.28515625" style="65" customWidth="1"/>
    <col min="12297" max="12297" width="10" style="65" customWidth="1"/>
    <col min="12298" max="12298" width="43.85546875" style="65" customWidth="1"/>
    <col min="12299" max="12299" width="17.42578125" style="65" customWidth="1"/>
    <col min="12300" max="12301" width="15.7109375" style="65" customWidth="1"/>
    <col min="12302" max="12302" width="9.5703125" style="65" customWidth="1"/>
    <col min="12303" max="12303" width="21.140625" style="65" customWidth="1"/>
    <col min="12304" max="12304" width="40.140625" style="65" customWidth="1"/>
    <col min="12305" max="12305" width="9" style="65" customWidth="1"/>
    <col min="12306" max="12306" width="10.42578125" style="65" bestFit="1" customWidth="1"/>
    <col min="12307" max="12307" width="24.42578125" style="65" customWidth="1"/>
    <col min="12308" max="12308" width="9.140625" style="65"/>
    <col min="12309" max="12309" width="12.7109375" style="65" bestFit="1" customWidth="1"/>
    <col min="12310" max="12310" width="64" style="65" bestFit="1" customWidth="1"/>
    <col min="12311" max="12311" width="7" style="65" bestFit="1" customWidth="1"/>
    <col min="12312" max="12312" width="11.28515625" style="65" bestFit="1" customWidth="1"/>
    <col min="12313" max="12544" width="9.140625" style="65"/>
    <col min="12545" max="12545" width="2.85546875" style="65" customWidth="1"/>
    <col min="12546" max="12552" width="11.28515625" style="65" customWidth="1"/>
    <col min="12553" max="12553" width="10" style="65" customWidth="1"/>
    <col min="12554" max="12554" width="43.85546875" style="65" customWidth="1"/>
    <col min="12555" max="12555" width="17.42578125" style="65" customWidth="1"/>
    <col min="12556" max="12557" width="15.7109375" style="65" customWidth="1"/>
    <col min="12558" max="12558" width="9.5703125" style="65" customWidth="1"/>
    <col min="12559" max="12559" width="21.140625" style="65" customWidth="1"/>
    <col min="12560" max="12560" width="40.140625" style="65" customWidth="1"/>
    <col min="12561" max="12561" width="9" style="65" customWidth="1"/>
    <col min="12562" max="12562" width="10.42578125" style="65" bestFit="1" customWidth="1"/>
    <col min="12563" max="12563" width="24.42578125" style="65" customWidth="1"/>
    <col min="12564" max="12564" width="9.140625" style="65"/>
    <col min="12565" max="12565" width="12.7109375" style="65" bestFit="1" customWidth="1"/>
    <col min="12566" max="12566" width="64" style="65" bestFit="1" customWidth="1"/>
    <col min="12567" max="12567" width="7" style="65" bestFit="1" customWidth="1"/>
    <col min="12568" max="12568" width="11.28515625" style="65" bestFit="1" customWidth="1"/>
    <col min="12569" max="12800" width="9.140625" style="65"/>
    <col min="12801" max="12801" width="2.85546875" style="65" customWidth="1"/>
    <col min="12802" max="12808" width="11.28515625" style="65" customWidth="1"/>
    <col min="12809" max="12809" width="10" style="65" customWidth="1"/>
    <col min="12810" max="12810" width="43.85546875" style="65" customWidth="1"/>
    <col min="12811" max="12811" width="17.42578125" style="65" customWidth="1"/>
    <col min="12812" max="12813" width="15.7109375" style="65" customWidth="1"/>
    <col min="12814" max="12814" width="9.5703125" style="65" customWidth="1"/>
    <col min="12815" max="12815" width="21.140625" style="65" customWidth="1"/>
    <col min="12816" max="12816" width="40.140625" style="65" customWidth="1"/>
    <col min="12817" max="12817" width="9" style="65" customWidth="1"/>
    <col min="12818" max="12818" width="10.42578125" style="65" bestFit="1" customWidth="1"/>
    <col min="12819" max="12819" width="24.42578125" style="65" customWidth="1"/>
    <col min="12820" max="12820" width="9.140625" style="65"/>
    <col min="12821" max="12821" width="12.7109375" style="65" bestFit="1" customWidth="1"/>
    <col min="12822" max="12822" width="64" style="65" bestFit="1" customWidth="1"/>
    <col min="12823" max="12823" width="7" style="65" bestFit="1" customWidth="1"/>
    <col min="12824" max="12824" width="11.28515625" style="65" bestFit="1" customWidth="1"/>
    <col min="12825" max="13056" width="9.140625" style="65"/>
    <col min="13057" max="13057" width="2.85546875" style="65" customWidth="1"/>
    <col min="13058" max="13064" width="11.28515625" style="65" customWidth="1"/>
    <col min="13065" max="13065" width="10" style="65" customWidth="1"/>
    <col min="13066" max="13066" width="43.85546875" style="65" customWidth="1"/>
    <col min="13067" max="13067" width="17.42578125" style="65" customWidth="1"/>
    <col min="13068" max="13069" width="15.7109375" style="65" customWidth="1"/>
    <col min="13070" max="13070" width="9.5703125" style="65" customWidth="1"/>
    <col min="13071" max="13071" width="21.140625" style="65" customWidth="1"/>
    <col min="13072" max="13072" width="40.140625" style="65" customWidth="1"/>
    <col min="13073" max="13073" width="9" style="65" customWidth="1"/>
    <col min="13074" max="13074" width="10.42578125" style="65" bestFit="1" customWidth="1"/>
    <col min="13075" max="13075" width="24.42578125" style="65" customWidth="1"/>
    <col min="13076" max="13076" width="9.140625" style="65"/>
    <col min="13077" max="13077" width="12.7109375" style="65" bestFit="1" customWidth="1"/>
    <col min="13078" max="13078" width="64" style="65" bestFit="1" customWidth="1"/>
    <col min="13079" max="13079" width="7" style="65" bestFit="1" customWidth="1"/>
    <col min="13080" max="13080" width="11.28515625" style="65" bestFit="1" customWidth="1"/>
    <col min="13081" max="13312" width="9.140625" style="65"/>
    <col min="13313" max="13313" width="2.85546875" style="65" customWidth="1"/>
    <col min="13314" max="13320" width="11.28515625" style="65" customWidth="1"/>
    <col min="13321" max="13321" width="10" style="65" customWidth="1"/>
    <col min="13322" max="13322" width="43.85546875" style="65" customWidth="1"/>
    <col min="13323" max="13323" width="17.42578125" style="65" customWidth="1"/>
    <col min="13324" max="13325" width="15.7109375" style="65" customWidth="1"/>
    <col min="13326" max="13326" width="9.5703125" style="65" customWidth="1"/>
    <col min="13327" max="13327" width="21.140625" style="65" customWidth="1"/>
    <col min="13328" max="13328" width="40.140625" style="65" customWidth="1"/>
    <col min="13329" max="13329" width="9" style="65" customWidth="1"/>
    <col min="13330" max="13330" width="10.42578125" style="65" bestFit="1" customWidth="1"/>
    <col min="13331" max="13331" width="24.42578125" style="65" customWidth="1"/>
    <col min="13332" max="13332" width="9.140625" style="65"/>
    <col min="13333" max="13333" width="12.7109375" style="65" bestFit="1" customWidth="1"/>
    <col min="13334" max="13334" width="64" style="65" bestFit="1" customWidth="1"/>
    <col min="13335" max="13335" width="7" style="65" bestFit="1" customWidth="1"/>
    <col min="13336" max="13336" width="11.28515625" style="65" bestFit="1" customWidth="1"/>
    <col min="13337" max="13568" width="9.140625" style="65"/>
    <col min="13569" max="13569" width="2.85546875" style="65" customWidth="1"/>
    <col min="13570" max="13576" width="11.28515625" style="65" customWidth="1"/>
    <col min="13577" max="13577" width="10" style="65" customWidth="1"/>
    <col min="13578" max="13578" width="43.85546875" style="65" customWidth="1"/>
    <col min="13579" max="13579" width="17.42578125" style="65" customWidth="1"/>
    <col min="13580" max="13581" width="15.7109375" style="65" customWidth="1"/>
    <col min="13582" max="13582" width="9.5703125" style="65" customWidth="1"/>
    <col min="13583" max="13583" width="21.140625" style="65" customWidth="1"/>
    <col min="13584" max="13584" width="40.140625" style="65" customWidth="1"/>
    <col min="13585" max="13585" width="9" style="65" customWidth="1"/>
    <col min="13586" max="13586" width="10.42578125" style="65" bestFit="1" customWidth="1"/>
    <col min="13587" max="13587" width="24.42578125" style="65" customWidth="1"/>
    <col min="13588" max="13588" width="9.140625" style="65"/>
    <col min="13589" max="13589" width="12.7109375" style="65" bestFit="1" customWidth="1"/>
    <col min="13590" max="13590" width="64" style="65" bestFit="1" customWidth="1"/>
    <col min="13591" max="13591" width="7" style="65" bestFit="1" customWidth="1"/>
    <col min="13592" max="13592" width="11.28515625" style="65" bestFit="1" customWidth="1"/>
    <col min="13593" max="13824" width="9.140625" style="65"/>
    <col min="13825" max="13825" width="2.85546875" style="65" customWidth="1"/>
    <col min="13826" max="13832" width="11.28515625" style="65" customWidth="1"/>
    <col min="13833" max="13833" width="10" style="65" customWidth="1"/>
    <col min="13834" max="13834" width="43.85546875" style="65" customWidth="1"/>
    <col min="13835" max="13835" width="17.42578125" style="65" customWidth="1"/>
    <col min="13836" max="13837" width="15.7109375" style="65" customWidth="1"/>
    <col min="13838" max="13838" width="9.5703125" style="65" customWidth="1"/>
    <col min="13839" max="13839" width="21.140625" style="65" customWidth="1"/>
    <col min="13840" max="13840" width="40.140625" style="65" customWidth="1"/>
    <col min="13841" max="13841" width="9" style="65" customWidth="1"/>
    <col min="13842" max="13842" width="10.42578125" style="65" bestFit="1" customWidth="1"/>
    <col min="13843" max="13843" width="24.42578125" style="65" customWidth="1"/>
    <col min="13844" max="13844" width="9.140625" style="65"/>
    <col min="13845" max="13845" width="12.7109375" style="65" bestFit="1" customWidth="1"/>
    <col min="13846" max="13846" width="64" style="65" bestFit="1" customWidth="1"/>
    <col min="13847" max="13847" width="7" style="65" bestFit="1" customWidth="1"/>
    <col min="13848" max="13848" width="11.28515625" style="65" bestFit="1" customWidth="1"/>
    <col min="13849" max="14080" width="9.140625" style="65"/>
    <col min="14081" max="14081" width="2.85546875" style="65" customWidth="1"/>
    <col min="14082" max="14088" width="11.28515625" style="65" customWidth="1"/>
    <col min="14089" max="14089" width="10" style="65" customWidth="1"/>
    <col min="14090" max="14090" width="43.85546875" style="65" customWidth="1"/>
    <col min="14091" max="14091" width="17.42578125" style="65" customWidth="1"/>
    <col min="14092" max="14093" width="15.7109375" style="65" customWidth="1"/>
    <col min="14094" max="14094" width="9.5703125" style="65" customWidth="1"/>
    <col min="14095" max="14095" width="21.140625" style="65" customWidth="1"/>
    <col min="14096" max="14096" width="40.140625" style="65" customWidth="1"/>
    <col min="14097" max="14097" width="9" style="65" customWidth="1"/>
    <col min="14098" max="14098" width="10.42578125" style="65" bestFit="1" customWidth="1"/>
    <col min="14099" max="14099" width="24.42578125" style="65" customWidth="1"/>
    <col min="14100" max="14100" width="9.140625" style="65"/>
    <col min="14101" max="14101" width="12.7109375" style="65" bestFit="1" customWidth="1"/>
    <col min="14102" max="14102" width="64" style="65" bestFit="1" customWidth="1"/>
    <col min="14103" max="14103" width="7" style="65" bestFit="1" customWidth="1"/>
    <col min="14104" max="14104" width="11.28515625" style="65" bestFit="1" customWidth="1"/>
    <col min="14105" max="14336" width="9.140625" style="65"/>
    <col min="14337" max="14337" width="2.85546875" style="65" customWidth="1"/>
    <col min="14338" max="14344" width="11.28515625" style="65" customWidth="1"/>
    <col min="14345" max="14345" width="10" style="65" customWidth="1"/>
    <col min="14346" max="14346" width="43.85546875" style="65" customWidth="1"/>
    <col min="14347" max="14347" width="17.42578125" style="65" customWidth="1"/>
    <col min="14348" max="14349" width="15.7109375" style="65" customWidth="1"/>
    <col min="14350" max="14350" width="9.5703125" style="65" customWidth="1"/>
    <col min="14351" max="14351" width="21.140625" style="65" customWidth="1"/>
    <col min="14352" max="14352" width="40.140625" style="65" customWidth="1"/>
    <col min="14353" max="14353" width="9" style="65" customWidth="1"/>
    <col min="14354" max="14354" width="10.42578125" style="65" bestFit="1" customWidth="1"/>
    <col min="14355" max="14355" width="24.42578125" style="65" customWidth="1"/>
    <col min="14356" max="14356" width="9.140625" style="65"/>
    <col min="14357" max="14357" width="12.7109375" style="65" bestFit="1" customWidth="1"/>
    <col min="14358" max="14358" width="64" style="65" bestFit="1" customWidth="1"/>
    <col min="14359" max="14359" width="7" style="65" bestFit="1" customWidth="1"/>
    <col min="14360" max="14360" width="11.28515625" style="65" bestFit="1" customWidth="1"/>
    <col min="14361" max="14592" width="9.140625" style="65"/>
    <col min="14593" max="14593" width="2.85546875" style="65" customWidth="1"/>
    <col min="14594" max="14600" width="11.28515625" style="65" customWidth="1"/>
    <col min="14601" max="14601" width="10" style="65" customWidth="1"/>
    <col min="14602" max="14602" width="43.85546875" style="65" customWidth="1"/>
    <col min="14603" max="14603" width="17.42578125" style="65" customWidth="1"/>
    <col min="14604" max="14605" width="15.7109375" style="65" customWidth="1"/>
    <col min="14606" max="14606" width="9.5703125" style="65" customWidth="1"/>
    <col min="14607" max="14607" width="21.140625" style="65" customWidth="1"/>
    <col min="14608" max="14608" width="40.140625" style="65" customWidth="1"/>
    <col min="14609" max="14609" width="9" style="65" customWidth="1"/>
    <col min="14610" max="14610" width="10.42578125" style="65" bestFit="1" customWidth="1"/>
    <col min="14611" max="14611" width="24.42578125" style="65" customWidth="1"/>
    <col min="14612" max="14612" width="9.140625" style="65"/>
    <col min="14613" max="14613" width="12.7109375" style="65" bestFit="1" customWidth="1"/>
    <col min="14614" max="14614" width="64" style="65" bestFit="1" customWidth="1"/>
    <col min="14615" max="14615" width="7" style="65" bestFit="1" customWidth="1"/>
    <col min="14616" max="14616" width="11.28515625" style="65" bestFit="1" customWidth="1"/>
    <col min="14617" max="14848" width="9.140625" style="65"/>
    <col min="14849" max="14849" width="2.85546875" style="65" customWidth="1"/>
    <col min="14850" max="14856" width="11.28515625" style="65" customWidth="1"/>
    <col min="14857" max="14857" width="10" style="65" customWidth="1"/>
    <col min="14858" max="14858" width="43.85546875" style="65" customWidth="1"/>
    <col min="14859" max="14859" width="17.42578125" style="65" customWidth="1"/>
    <col min="14860" max="14861" width="15.7109375" style="65" customWidth="1"/>
    <col min="14862" max="14862" width="9.5703125" style="65" customWidth="1"/>
    <col min="14863" max="14863" width="21.140625" style="65" customWidth="1"/>
    <col min="14864" max="14864" width="40.140625" style="65" customWidth="1"/>
    <col min="14865" max="14865" width="9" style="65" customWidth="1"/>
    <col min="14866" max="14866" width="10.42578125" style="65" bestFit="1" customWidth="1"/>
    <col min="14867" max="14867" width="24.42578125" style="65" customWidth="1"/>
    <col min="14868" max="14868" width="9.140625" style="65"/>
    <col min="14869" max="14869" width="12.7109375" style="65" bestFit="1" customWidth="1"/>
    <col min="14870" max="14870" width="64" style="65" bestFit="1" customWidth="1"/>
    <col min="14871" max="14871" width="7" style="65" bestFit="1" customWidth="1"/>
    <col min="14872" max="14872" width="11.28515625" style="65" bestFit="1" customWidth="1"/>
    <col min="14873" max="15104" width="9.140625" style="65"/>
    <col min="15105" max="15105" width="2.85546875" style="65" customWidth="1"/>
    <col min="15106" max="15112" width="11.28515625" style="65" customWidth="1"/>
    <col min="15113" max="15113" width="10" style="65" customWidth="1"/>
    <col min="15114" max="15114" width="43.85546875" style="65" customWidth="1"/>
    <col min="15115" max="15115" width="17.42578125" style="65" customWidth="1"/>
    <col min="15116" max="15117" width="15.7109375" style="65" customWidth="1"/>
    <col min="15118" max="15118" width="9.5703125" style="65" customWidth="1"/>
    <col min="15119" max="15119" width="21.140625" style="65" customWidth="1"/>
    <col min="15120" max="15120" width="40.140625" style="65" customWidth="1"/>
    <col min="15121" max="15121" width="9" style="65" customWidth="1"/>
    <col min="15122" max="15122" width="10.42578125" style="65" bestFit="1" customWidth="1"/>
    <col min="15123" max="15123" width="24.42578125" style="65" customWidth="1"/>
    <col min="15124" max="15124" width="9.140625" style="65"/>
    <col min="15125" max="15125" width="12.7109375" style="65" bestFit="1" customWidth="1"/>
    <col min="15126" max="15126" width="64" style="65" bestFit="1" customWidth="1"/>
    <col min="15127" max="15127" width="7" style="65" bestFit="1" customWidth="1"/>
    <col min="15128" max="15128" width="11.28515625" style="65" bestFit="1" customWidth="1"/>
    <col min="15129" max="15360" width="9.140625" style="65"/>
    <col min="15361" max="15361" width="2.85546875" style="65" customWidth="1"/>
    <col min="15362" max="15368" width="11.28515625" style="65" customWidth="1"/>
    <col min="15369" max="15369" width="10" style="65" customWidth="1"/>
    <col min="15370" max="15370" width="43.85546875" style="65" customWidth="1"/>
    <col min="15371" max="15371" width="17.42578125" style="65" customWidth="1"/>
    <col min="15372" max="15373" width="15.7109375" style="65" customWidth="1"/>
    <col min="15374" max="15374" width="9.5703125" style="65" customWidth="1"/>
    <col min="15375" max="15375" width="21.140625" style="65" customWidth="1"/>
    <col min="15376" max="15376" width="40.140625" style="65" customWidth="1"/>
    <col min="15377" max="15377" width="9" style="65" customWidth="1"/>
    <col min="15378" max="15378" width="10.42578125" style="65" bestFit="1" customWidth="1"/>
    <col min="15379" max="15379" width="24.42578125" style="65" customWidth="1"/>
    <col min="15380" max="15380" width="9.140625" style="65"/>
    <col min="15381" max="15381" width="12.7109375" style="65" bestFit="1" customWidth="1"/>
    <col min="15382" max="15382" width="64" style="65" bestFit="1" customWidth="1"/>
    <col min="15383" max="15383" width="7" style="65" bestFit="1" customWidth="1"/>
    <col min="15384" max="15384" width="11.28515625" style="65" bestFit="1" customWidth="1"/>
    <col min="15385" max="15616" width="9.140625" style="65"/>
    <col min="15617" max="15617" width="2.85546875" style="65" customWidth="1"/>
    <col min="15618" max="15624" width="11.28515625" style="65" customWidth="1"/>
    <col min="15625" max="15625" width="10" style="65" customWidth="1"/>
    <col min="15626" max="15626" width="43.85546875" style="65" customWidth="1"/>
    <col min="15627" max="15627" width="17.42578125" style="65" customWidth="1"/>
    <col min="15628" max="15629" width="15.7109375" style="65" customWidth="1"/>
    <col min="15630" max="15630" width="9.5703125" style="65" customWidth="1"/>
    <col min="15631" max="15631" width="21.140625" style="65" customWidth="1"/>
    <col min="15632" max="15632" width="40.140625" style="65" customWidth="1"/>
    <col min="15633" max="15633" width="9" style="65" customWidth="1"/>
    <col min="15634" max="15634" width="10.42578125" style="65" bestFit="1" customWidth="1"/>
    <col min="15635" max="15635" width="24.42578125" style="65" customWidth="1"/>
    <col min="15636" max="15636" width="9.140625" style="65"/>
    <col min="15637" max="15637" width="12.7109375" style="65" bestFit="1" customWidth="1"/>
    <col min="15638" max="15638" width="64" style="65" bestFit="1" customWidth="1"/>
    <col min="15639" max="15639" width="7" style="65" bestFit="1" customWidth="1"/>
    <col min="15640" max="15640" width="11.28515625" style="65" bestFit="1" customWidth="1"/>
    <col min="15641" max="15872" width="9.140625" style="65"/>
    <col min="15873" max="15873" width="2.85546875" style="65" customWidth="1"/>
    <col min="15874" max="15880" width="11.28515625" style="65" customWidth="1"/>
    <col min="15881" max="15881" width="10" style="65" customWidth="1"/>
    <col min="15882" max="15882" width="43.85546875" style="65" customWidth="1"/>
    <col min="15883" max="15883" width="17.42578125" style="65" customWidth="1"/>
    <col min="15884" max="15885" width="15.7109375" style="65" customWidth="1"/>
    <col min="15886" max="15886" width="9.5703125" style="65" customWidth="1"/>
    <col min="15887" max="15887" width="21.140625" style="65" customWidth="1"/>
    <col min="15888" max="15888" width="40.140625" style="65" customWidth="1"/>
    <col min="15889" max="15889" width="9" style="65" customWidth="1"/>
    <col min="15890" max="15890" width="10.42578125" style="65" bestFit="1" customWidth="1"/>
    <col min="15891" max="15891" width="24.42578125" style="65" customWidth="1"/>
    <col min="15892" max="15892" width="9.140625" style="65"/>
    <col min="15893" max="15893" width="12.7109375" style="65" bestFit="1" customWidth="1"/>
    <col min="15894" max="15894" width="64" style="65" bestFit="1" customWidth="1"/>
    <col min="15895" max="15895" width="7" style="65" bestFit="1" customWidth="1"/>
    <col min="15896" max="15896" width="11.28515625" style="65" bestFit="1" customWidth="1"/>
    <col min="15897" max="16128" width="9.140625" style="65"/>
    <col min="16129" max="16129" width="2.85546875" style="65" customWidth="1"/>
    <col min="16130" max="16136" width="11.28515625" style="65" customWidth="1"/>
    <col min="16137" max="16137" width="10" style="65" customWidth="1"/>
    <col min="16138" max="16138" width="43.85546875" style="65" customWidth="1"/>
    <col min="16139" max="16139" width="17.42578125" style="65" customWidth="1"/>
    <col min="16140" max="16141" width="15.7109375" style="65" customWidth="1"/>
    <col min="16142" max="16142" width="9.5703125" style="65" customWidth="1"/>
    <col min="16143" max="16143" width="21.140625" style="65" customWidth="1"/>
    <col min="16144" max="16144" width="40.140625" style="65" customWidth="1"/>
    <col min="16145" max="16145" width="9" style="65" customWidth="1"/>
    <col min="16146" max="16146" width="10.42578125" style="65" bestFit="1" customWidth="1"/>
    <col min="16147" max="16147" width="24.42578125" style="65" customWidth="1"/>
    <col min="16148" max="16148" width="9.140625" style="65"/>
    <col min="16149" max="16149" width="12.7109375" style="65" bestFit="1" customWidth="1"/>
    <col min="16150" max="16150" width="64" style="65" bestFit="1" customWidth="1"/>
    <col min="16151" max="16151" width="7" style="65" bestFit="1" customWidth="1"/>
    <col min="16152" max="16152" width="11.28515625" style="65" bestFit="1" customWidth="1"/>
    <col min="16153" max="16384" width="9.140625" style="65"/>
  </cols>
  <sheetData>
    <row r="1" spans="1:24" ht="12.75" customHeight="1" x14ac:dyDescent="0.25"/>
    <row r="2" spans="1:24" ht="35.25" customHeight="1" x14ac:dyDescent="0.25">
      <c r="B2" s="170" t="s">
        <v>123</v>
      </c>
      <c r="C2" s="170"/>
      <c r="D2" s="170"/>
      <c r="E2" s="170"/>
      <c r="F2" s="170"/>
      <c r="G2" s="170"/>
      <c r="H2" s="170"/>
      <c r="J2" s="156" t="s">
        <v>124</v>
      </c>
      <c r="K2" s="156"/>
      <c r="L2" s="156"/>
      <c r="M2" s="156"/>
      <c r="O2" s="170" t="s">
        <v>125</v>
      </c>
      <c r="P2" s="170"/>
      <c r="Q2" s="170"/>
      <c r="R2" s="170"/>
      <c r="S2" s="170"/>
      <c r="U2" s="170" t="s">
        <v>126</v>
      </c>
      <c r="V2" s="170"/>
      <c r="W2" s="170"/>
      <c r="X2" s="170"/>
    </row>
    <row r="3" spans="1:24" ht="26.25" customHeight="1" x14ac:dyDescent="0.25">
      <c r="B3" s="172"/>
      <c r="C3" s="172"/>
      <c r="D3" s="172"/>
      <c r="E3" s="172"/>
      <c r="F3" s="172"/>
      <c r="G3" s="172"/>
      <c r="H3" s="172"/>
      <c r="J3" s="170" t="s">
        <v>127</v>
      </c>
      <c r="K3" s="170" t="s">
        <v>128</v>
      </c>
      <c r="L3" s="170" t="s">
        <v>129</v>
      </c>
      <c r="M3" s="170"/>
      <c r="O3" s="148" t="s">
        <v>130</v>
      </c>
      <c r="P3" s="148"/>
      <c r="Q3" s="148"/>
      <c r="R3" s="148"/>
      <c r="S3" s="148"/>
      <c r="U3" s="148" t="s">
        <v>131</v>
      </c>
      <c r="V3" s="148"/>
      <c r="W3" s="21" t="s">
        <v>68</v>
      </c>
      <c r="X3" s="21" t="s">
        <v>69</v>
      </c>
    </row>
    <row r="4" spans="1:24" ht="28.5" x14ac:dyDescent="0.25">
      <c r="B4" s="51"/>
      <c r="C4" s="51"/>
      <c r="D4" s="51"/>
      <c r="E4" s="51"/>
      <c r="F4" s="51"/>
      <c r="G4" s="51"/>
      <c r="H4" s="51"/>
      <c r="J4" s="170"/>
      <c r="K4" s="170"/>
      <c r="L4" s="26" t="s">
        <v>15</v>
      </c>
      <c r="M4" s="26" t="s">
        <v>68</v>
      </c>
      <c r="O4" s="173" t="s">
        <v>132</v>
      </c>
      <c r="P4" s="173"/>
      <c r="Q4" s="173"/>
      <c r="R4" s="19" t="s">
        <v>133</v>
      </c>
      <c r="S4" s="19" t="s">
        <v>81</v>
      </c>
      <c r="U4" s="19" t="s">
        <v>134</v>
      </c>
      <c r="V4" s="29" t="s">
        <v>135</v>
      </c>
      <c r="W4" s="19">
        <v>0</v>
      </c>
      <c r="X4" s="19" t="s">
        <v>60</v>
      </c>
    </row>
    <row r="5" spans="1:24" ht="28.5" x14ac:dyDescent="0.25">
      <c r="B5" s="148" t="s">
        <v>136</v>
      </c>
      <c r="C5" s="148"/>
      <c r="D5" s="148"/>
      <c r="E5" s="148"/>
      <c r="F5" s="148"/>
      <c r="G5" s="148"/>
      <c r="H5" s="148"/>
      <c r="J5" s="154" t="s">
        <v>137</v>
      </c>
      <c r="K5" s="154">
        <v>10.297000000000001</v>
      </c>
      <c r="L5" s="45">
        <v>2019</v>
      </c>
      <c r="M5" s="37">
        <f>'OT pump_UMAC - Santa Lúcia'!I643*'BE - Santa Lúcia'!Q51</f>
        <v>910.41666666666686</v>
      </c>
      <c r="N5" s="75"/>
      <c r="O5" s="148" t="s">
        <v>131</v>
      </c>
      <c r="P5" s="148"/>
      <c r="Q5" s="21" t="s">
        <v>15</v>
      </c>
      <c r="R5" s="21" t="s">
        <v>68</v>
      </c>
      <c r="S5" s="21" t="s">
        <v>69</v>
      </c>
      <c r="U5" s="19" t="s">
        <v>138</v>
      </c>
      <c r="V5" s="29" t="s">
        <v>139</v>
      </c>
      <c r="W5" s="19">
        <v>0</v>
      </c>
      <c r="X5" s="19" t="s">
        <v>60</v>
      </c>
    </row>
    <row r="6" spans="1:24" ht="21.75" customHeight="1" x14ac:dyDescent="0.25">
      <c r="B6" s="21" t="s">
        <v>15</v>
      </c>
      <c r="C6" s="21" t="s">
        <v>140</v>
      </c>
      <c r="D6" s="21" t="s">
        <v>141</v>
      </c>
      <c r="E6" s="21" t="s">
        <v>142</v>
      </c>
      <c r="F6" s="21" t="s">
        <v>143</v>
      </c>
      <c r="G6" s="21" t="s">
        <v>144</v>
      </c>
      <c r="H6" s="21" t="s">
        <v>145</v>
      </c>
      <c r="J6" s="155"/>
      <c r="K6" s="155"/>
      <c r="L6" s="76">
        <v>2020</v>
      </c>
      <c r="M6" s="37">
        <f>'OT pump_UMAC - Santa Lúcia'!I643*'BE - Santa Lúcia'!R51</f>
        <v>1048.9583333333335</v>
      </c>
      <c r="N6" s="75"/>
      <c r="O6" s="19" t="s">
        <v>146</v>
      </c>
      <c r="P6" s="29" t="s">
        <v>147</v>
      </c>
      <c r="Q6" s="29">
        <v>2019</v>
      </c>
      <c r="R6" s="14">
        <f>'OT pump_UMAC - Santa Lúcia'!L643*'BE - Santa Lúcia'!Q51</f>
        <v>3677.2696879432724</v>
      </c>
      <c r="S6" s="19" t="s">
        <v>148</v>
      </c>
      <c r="U6" s="19" t="s">
        <v>149</v>
      </c>
      <c r="V6" s="29" t="s">
        <v>150</v>
      </c>
      <c r="W6" s="19">
        <v>0</v>
      </c>
      <c r="X6" s="19" t="s">
        <v>60</v>
      </c>
    </row>
    <row r="7" spans="1:24" ht="18" customHeight="1" x14ac:dyDescent="0.25">
      <c r="B7" s="19">
        <v>2019</v>
      </c>
      <c r="C7" s="38">
        <f>K22</f>
        <v>3.9454244738328628</v>
      </c>
      <c r="D7" s="38">
        <f>R13</f>
        <v>411.85420504964651</v>
      </c>
      <c r="E7" s="38">
        <f>W6</f>
        <v>0</v>
      </c>
      <c r="F7" s="38">
        <f>W4</f>
        <v>0</v>
      </c>
      <c r="G7" s="38">
        <f>W5</f>
        <v>0</v>
      </c>
      <c r="H7" s="77">
        <f>SUM(C7:G7)</f>
        <v>415.79962952347938</v>
      </c>
      <c r="J7" s="154" t="s">
        <v>151</v>
      </c>
      <c r="K7" s="154">
        <v>5.516</v>
      </c>
      <c r="L7" s="19">
        <v>2019</v>
      </c>
      <c r="M7" s="37">
        <f>'OT pump_UMAC - Santa Lúcia'!F643*'BE - Santa Lúcia'!Q51</f>
        <v>397.73186033824328</v>
      </c>
      <c r="N7" s="78"/>
      <c r="O7" s="19" t="s">
        <v>152</v>
      </c>
      <c r="P7" s="29" t="s">
        <v>147</v>
      </c>
      <c r="Q7" s="29">
        <v>2020</v>
      </c>
      <c r="R7" s="14">
        <f>'OT pump_UMAC - Santa Lúcia'!L643*'BE - Santa Lúcia'!R51</f>
        <v>4236.8542056737706</v>
      </c>
      <c r="S7" s="19" t="s">
        <v>148</v>
      </c>
    </row>
    <row r="8" spans="1:24" ht="30" x14ac:dyDescent="0.25">
      <c r="A8" s="70"/>
      <c r="B8" s="19">
        <v>2020</v>
      </c>
      <c r="C8" s="38">
        <f>K23</f>
        <v>4.0451774103185389</v>
      </c>
      <c r="D8" s="38">
        <f>R14</f>
        <v>474.52767103546228</v>
      </c>
      <c r="E8" s="38">
        <f>W6</f>
        <v>0</v>
      </c>
      <c r="F8" s="38">
        <f>W4</f>
        <v>0</v>
      </c>
      <c r="G8" s="38">
        <f>W5</f>
        <v>0</v>
      </c>
      <c r="H8" s="77">
        <f>SUM(C8:G8)</f>
        <v>478.57284844578083</v>
      </c>
      <c r="J8" s="155"/>
      <c r="K8" s="155"/>
      <c r="L8" s="19">
        <v>2020</v>
      </c>
      <c r="M8" s="37">
        <f>'OT pump_UMAC - Santa Lúcia'!F643*'BE - Santa Lúcia'!R51</f>
        <v>458.25627386797595</v>
      </c>
      <c r="N8" s="78"/>
      <c r="O8" s="19" t="s">
        <v>153</v>
      </c>
      <c r="P8" s="29" t="s">
        <v>154</v>
      </c>
      <c r="Q8" s="19" t="s">
        <v>155</v>
      </c>
      <c r="R8" s="19">
        <f>IF('PE - Santa Lúcia'!R4="wet",4/1000,10/1000)</f>
        <v>4.0000000000000001E-3</v>
      </c>
      <c r="S8" s="29" t="s">
        <v>156</v>
      </c>
      <c r="U8" s="70"/>
      <c r="V8" s="70"/>
    </row>
    <row r="9" spans="1:24" ht="15.75" x14ac:dyDescent="0.25">
      <c r="A9" s="70"/>
      <c r="B9" s="43" t="s">
        <v>16</v>
      </c>
      <c r="C9" s="77">
        <f t="shared" ref="C9:H9" si="0">SUM(C7:C8)</f>
        <v>7.9906018841514017</v>
      </c>
      <c r="D9" s="77">
        <f t="shared" si="0"/>
        <v>886.38187608510884</v>
      </c>
      <c r="E9" s="77">
        <f t="shared" si="0"/>
        <v>0</v>
      </c>
      <c r="F9" s="77">
        <f t="shared" si="0"/>
        <v>0</v>
      </c>
      <c r="G9" s="77">
        <f t="shared" si="0"/>
        <v>0</v>
      </c>
      <c r="H9" s="77">
        <f t="shared" si="0"/>
        <v>894.37247796926022</v>
      </c>
      <c r="N9" s="78"/>
      <c r="O9" s="19" t="s">
        <v>80</v>
      </c>
      <c r="P9" s="29" t="s">
        <v>157</v>
      </c>
      <c r="Q9" s="19" t="s">
        <v>155</v>
      </c>
      <c r="R9" s="19">
        <f>'BE - Santa Lúcia'!M7</f>
        <v>28</v>
      </c>
      <c r="S9" s="19" t="s">
        <v>158</v>
      </c>
      <c r="U9" s="70"/>
      <c r="V9" s="70"/>
    </row>
    <row r="10" spans="1:24" x14ac:dyDescent="0.25">
      <c r="A10" s="70"/>
      <c r="B10" s="79"/>
      <c r="C10" s="80"/>
      <c r="D10" s="80"/>
      <c r="E10" s="80"/>
      <c r="F10" s="80"/>
      <c r="G10" s="80"/>
      <c r="H10" s="80"/>
      <c r="J10" s="148" t="s">
        <v>159</v>
      </c>
      <c r="K10" s="148"/>
      <c r="L10" s="148"/>
      <c r="M10" s="70"/>
      <c r="O10" s="19"/>
      <c r="P10" s="19"/>
      <c r="Q10" s="19"/>
      <c r="R10" s="19"/>
      <c r="S10" s="19"/>
      <c r="U10" s="70"/>
      <c r="V10" s="70"/>
    </row>
    <row r="11" spans="1:24" x14ac:dyDescent="0.25">
      <c r="B11" s="79"/>
      <c r="C11" s="80"/>
      <c r="D11" s="80"/>
      <c r="E11" s="80"/>
      <c r="F11" s="80"/>
      <c r="G11" s="80"/>
      <c r="H11" s="80"/>
      <c r="J11" s="52" t="s">
        <v>67</v>
      </c>
      <c r="K11" s="26" t="s">
        <v>68</v>
      </c>
      <c r="L11" s="26" t="s">
        <v>69</v>
      </c>
      <c r="M11" s="81"/>
      <c r="O11" s="19"/>
      <c r="P11" s="19"/>
      <c r="Q11" s="19"/>
      <c r="R11" s="19"/>
      <c r="S11" s="19"/>
    </row>
    <row r="12" spans="1:24" x14ac:dyDescent="0.25">
      <c r="B12" s="79"/>
      <c r="C12" s="80"/>
      <c r="D12" s="80"/>
      <c r="E12" s="80"/>
      <c r="F12" s="80"/>
      <c r="G12" s="80"/>
      <c r="H12" s="80"/>
      <c r="J12" s="174" t="s">
        <v>160</v>
      </c>
      <c r="K12" s="68">
        <f>($K$5*$M$5)+($K$7*$M$7)</f>
        <v>11568.449358292419</v>
      </c>
      <c r="L12" s="9" t="s">
        <v>161</v>
      </c>
      <c r="M12" s="78"/>
      <c r="O12" s="19"/>
      <c r="P12" s="19"/>
      <c r="Q12" s="19"/>
      <c r="R12" s="19"/>
      <c r="S12" s="19"/>
    </row>
    <row r="13" spans="1:24" ht="15.75" x14ac:dyDescent="0.25">
      <c r="J13" s="174"/>
      <c r="K13" s="68">
        <f>K12/1000</f>
        <v>11.568449358292419</v>
      </c>
      <c r="L13" s="9" t="s">
        <v>162</v>
      </c>
      <c r="M13" s="78"/>
      <c r="O13" s="19" t="s">
        <v>163</v>
      </c>
      <c r="P13" s="29" t="s">
        <v>164</v>
      </c>
      <c r="Q13" s="29">
        <v>2019</v>
      </c>
      <c r="R13" s="38">
        <f>R6*$R$8*$R$9</f>
        <v>411.85420504964651</v>
      </c>
      <c r="S13" s="19" t="s">
        <v>60</v>
      </c>
    </row>
    <row r="14" spans="1:24" ht="15.75" x14ac:dyDescent="0.25">
      <c r="J14" s="174" t="s">
        <v>165</v>
      </c>
      <c r="K14" s="68">
        <f>($K$5*$M$6)+($K$7*$M$8)</f>
        <v>13328.86556498909</v>
      </c>
      <c r="L14" s="9" t="s">
        <v>161</v>
      </c>
      <c r="M14" s="78"/>
      <c r="O14" s="19" t="s">
        <v>166</v>
      </c>
      <c r="P14" s="29" t="s">
        <v>164</v>
      </c>
      <c r="Q14" s="19">
        <v>2020</v>
      </c>
      <c r="R14" s="38">
        <f>R7*$R$8*$R$9</f>
        <v>474.52767103546228</v>
      </c>
      <c r="S14" s="19" t="s">
        <v>60</v>
      </c>
    </row>
    <row r="15" spans="1:24" ht="15.75" x14ac:dyDescent="0.25">
      <c r="J15" s="174"/>
      <c r="K15" s="68">
        <f>K14/1000</f>
        <v>13.328865564989091</v>
      </c>
      <c r="L15" s="9" t="s">
        <v>162</v>
      </c>
      <c r="M15" s="78"/>
      <c r="O15" s="43" t="s">
        <v>167</v>
      </c>
      <c r="P15" s="43" t="s">
        <v>168</v>
      </c>
      <c r="Q15" s="43" t="s">
        <v>155</v>
      </c>
      <c r="R15" s="77">
        <f>SUM(R13:R14)</f>
        <v>886.38187608510884</v>
      </c>
      <c r="S15" s="43" t="s">
        <v>61</v>
      </c>
    </row>
    <row r="16" spans="1:24" ht="30" x14ac:dyDescent="0.25">
      <c r="J16" s="29" t="s">
        <v>169</v>
      </c>
      <c r="K16" s="82">
        <f>'EF - Santa Lúcia'!L17</f>
        <v>0.31004583333333335</v>
      </c>
      <c r="L16" s="19" t="s">
        <v>170</v>
      </c>
      <c r="M16" s="78"/>
    </row>
    <row r="17" spans="10:13" ht="30" x14ac:dyDescent="0.25">
      <c r="J17" s="29" t="s">
        <v>171</v>
      </c>
      <c r="K17" s="82">
        <f>'EF - Santa Lúcia'!L35</f>
        <v>0.27589999999999998</v>
      </c>
      <c r="L17" s="19" t="s">
        <v>170</v>
      </c>
      <c r="M17" s="78"/>
    </row>
    <row r="18" spans="10:13" ht="15.75" x14ac:dyDescent="0.25">
      <c r="J18" s="9" t="s">
        <v>172</v>
      </c>
      <c r="K18" s="83">
        <v>0.1</v>
      </c>
      <c r="L18" s="9" t="s">
        <v>173</v>
      </c>
      <c r="M18" s="78"/>
    </row>
    <row r="19" spans="10:13" x14ac:dyDescent="0.25">
      <c r="M19" s="78"/>
    </row>
    <row r="20" spans="10:13" ht="15.75" x14ac:dyDescent="0.25">
      <c r="J20" s="148" t="s">
        <v>174</v>
      </c>
      <c r="K20" s="148"/>
      <c r="L20" s="148"/>
      <c r="M20" s="78"/>
    </row>
    <row r="21" spans="10:13" ht="37.5" customHeight="1" x14ac:dyDescent="0.25">
      <c r="J21" s="175"/>
      <c r="K21" s="176"/>
      <c r="L21" s="177"/>
      <c r="M21" s="78"/>
    </row>
    <row r="22" spans="10:13" ht="15.75" x14ac:dyDescent="0.25">
      <c r="J22" s="19" t="s">
        <v>175</v>
      </c>
      <c r="K22" s="68">
        <f>$K$13*K16*(1+$K$18)</f>
        <v>3.9454244738328628</v>
      </c>
      <c r="L22" s="19" t="s">
        <v>60</v>
      </c>
    </row>
    <row r="23" spans="10:13" ht="15.75" x14ac:dyDescent="0.25">
      <c r="J23" s="19" t="s">
        <v>176</v>
      </c>
      <c r="K23" s="68">
        <f>$K$15*K17*(1+$K$18)</f>
        <v>4.0451774103185389</v>
      </c>
      <c r="L23" s="19" t="s">
        <v>60</v>
      </c>
    </row>
    <row r="24" spans="10:13" ht="15.75" x14ac:dyDescent="0.25">
      <c r="J24" s="43" t="s">
        <v>177</v>
      </c>
      <c r="K24" s="68">
        <f>SUM(K22:K23)</f>
        <v>7.9906018841514017</v>
      </c>
      <c r="L24" s="19" t="s">
        <v>60</v>
      </c>
    </row>
    <row r="27" spans="10:13" x14ac:dyDescent="0.25">
      <c r="M27" s="78"/>
    </row>
    <row r="29" spans="10:13" x14ac:dyDescent="0.25">
      <c r="M29" s="70"/>
    </row>
    <row r="32" spans="10:13" x14ac:dyDescent="0.25">
      <c r="J32" s="84"/>
    </row>
    <row r="35" spans="13:13" x14ac:dyDescent="0.25">
      <c r="M35" s="79"/>
    </row>
  </sheetData>
  <mergeCells count="22">
    <mergeCell ref="J10:L10"/>
    <mergeCell ref="J12:J13"/>
    <mergeCell ref="J14:J15"/>
    <mergeCell ref="J20:L20"/>
    <mergeCell ref="J21:L21"/>
    <mergeCell ref="J7:J8"/>
    <mergeCell ref="K7:K8"/>
    <mergeCell ref="B2:H2"/>
    <mergeCell ref="J2:M2"/>
    <mergeCell ref="O2:S2"/>
    <mergeCell ref="O4:Q4"/>
    <mergeCell ref="B5:H5"/>
    <mergeCell ref="J5:J6"/>
    <mergeCell ref="K5:K6"/>
    <mergeCell ref="O5:P5"/>
    <mergeCell ref="U2:X2"/>
    <mergeCell ref="B3:H3"/>
    <mergeCell ref="J3:J4"/>
    <mergeCell ref="K3:K4"/>
    <mergeCell ref="L3:M3"/>
    <mergeCell ref="O3:S3"/>
    <mergeCell ref="U3:V3"/>
  </mergeCells>
  <dataValidations count="1">
    <dataValidation type="list" allowBlank="1" showInputMessage="1" showErrorMessage="1" sqref="R4 JN4 TJ4 ADF4 ANB4 AWX4 BGT4 BQP4 CAL4 CKH4 CUD4 DDZ4 DNV4 DXR4 EHN4 ERJ4 FBF4 FLB4 FUX4 GET4 GOP4 GYL4 HIH4 HSD4 IBZ4 ILV4 IVR4 JFN4 JPJ4 JZF4 KJB4 KSX4 LCT4 LMP4 LWL4 MGH4 MQD4 MZZ4 NJV4 NTR4 ODN4 ONJ4 OXF4 PHB4 PQX4 QAT4 QKP4 QUL4 REH4 ROD4 RXZ4 SHV4 SRR4 TBN4 TLJ4 TVF4 UFB4 UOX4 UYT4 VIP4 VSL4 WCH4 WMD4 WVZ4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xr:uid="{5BC232B4-E3E1-4118-970F-1D47E53CC1FE}">
      <formula1>"wet,dry"</formula1>
    </dataValidation>
  </dataValidations>
  <pageMargins left="0.511811024" right="0.511811024" top="0.78740157499999996" bottom="0.78740157499999996" header="0.31496062000000002" footer="0.31496062000000002"/>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23F38-F930-4284-844C-647B69BB57C5}">
  <sheetPr>
    <tabColor theme="0" tint="-0.249977111117893"/>
  </sheetPr>
  <dimension ref="B1:R1399"/>
  <sheetViews>
    <sheetView showGridLines="0" zoomScale="80" zoomScaleNormal="80" workbookViewId="0">
      <selection activeCell="B1" sqref="B1:O1"/>
    </sheetView>
  </sheetViews>
  <sheetFormatPr defaultRowHeight="14.25" x14ac:dyDescent="0.25"/>
  <cols>
    <col min="1" max="1" width="2.28515625" style="85" customWidth="1"/>
    <col min="2" max="2" width="22.28515625" style="85" customWidth="1"/>
    <col min="3" max="3" width="10.5703125" style="85" customWidth="1"/>
    <col min="4" max="4" width="22.140625" style="85" customWidth="1"/>
    <col min="5" max="5" width="22.28515625" style="85" customWidth="1"/>
    <col min="6" max="6" width="21.5703125" style="85" customWidth="1"/>
    <col min="7" max="7" width="21.28515625" style="85" customWidth="1"/>
    <col min="8" max="8" width="15.140625" style="85" customWidth="1"/>
    <col min="9" max="9" width="22.5703125" style="85" customWidth="1"/>
    <col min="10" max="11" width="21" style="85" customWidth="1"/>
    <col min="12" max="12" width="27.5703125" style="85" customWidth="1"/>
    <col min="13" max="13" width="26" style="85" customWidth="1"/>
    <col min="14" max="14" width="27.140625" style="85" customWidth="1"/>
    <col min="15" max="15" width="14.28515625" style="85" customWidth="1"/>
    <col min="16" max="17" width="20" style="85" customWidth="1"/>
    <col min="18" max="18" width="23" style="85" customWidth="1"/>
    <col min="19" max="256" width="9.140625" style="85"/>
    <col min="257" max="257" width="2.28515625" style="85" customWidth="1"/>
    <col min="258" max="258" width="22.28515625" style="85" customWidth="1"/>
    <col min="259" max="259" width="10.5703125" style="85" customWidth="1"/>
    <col min="260" max="260" width="22.140625" style="85" customWidth="1"/>
    <col min="261" max="261" width="22.28515625" style="85" customWidth="1"/>
    <col min="262" max="262" width="21.5703125" style="85" customWidth="1"/>
    <col min="263" max="263" width="21.28515625" style="85" customWidth="1"/>
    <col min="264" max="264" width="15.140625" style="85" customWidth="1"/>
    <col min="265" max="265" width="22.5703125" style="85" customWidth="1"/>
    <col min="266" max="267" width="21" style="85" customWidth="1"/>
    <col min="268" max="268" width="27.5703125" style="85" customWidth="1"/>
    <col min="269" max="269" width="26" style="85" customWidth="1"/>
    <col min="270" max="270" width="27.140625" style="85" customWidth="1"/>
    <col min="271" max="271" width="14.28515625" style="85" customWidth="1"/>
    <col min="272" max="273" width="20" style="85" customWidth="1"/>
    <col min="274" max="274" width="23" style="85" customWidth="1"/>
    <col min="275" max="512" width="9.140625" style="85"/>
    <col min="513" max="513" width="2.28515625" style="85" customWidth="1"/>
    <col min="514" max="514" width="22.28515625" style="85" customWidth="1"/>
    <col min="515" max="515" width="10.5703125" style="85" customWidth="1"/>
    <col min="516" max="516" width="22.140625" style="85" customWidth="1"/>
    <col min="517" max="517" width="22.28515625" style="85" customWidth="1"/>
    <col min="518" max="518" width="21.5703125" style="85" customWidth="1"/>
    <col min="519" max="519" width="21.28515625" style="85" customWidth="1"/>
    <col min="520" max="520" width="15.140625" style="85" customWidth="1"/>
    <col min="521" max="521" width="22.5703125" style="85" customWidth="1"/>
    <col min="522" max="523" width="21" style="85" customWidth="1"/>
    <col min="524" max="524" width="27.5703125" style="85" customWidth="1"/>
    <col min="525" max="525" width="26" style="85" customWidth="1"/>
    <col min="526" max="526" width="27.140625" style="85" customWidth="1"/>
    <col min="527" max="527" width="14.28515625" style="85" customWidth="1"/>
    <col min="528" max="529" width="20" style="85" customWidth="1"/>
    <col min="530" max="530" width="23" style="85" customWidth="1"/>
    <col min="531" max="768" width="9.140625" style="85"/>
    <col min="769" max="769" width="2.28515625" style="85" customWidth="1"/>
    <col min="770" max="770" width="22.28515625" style="85" customWidth="1"/>
    <col min="771" max="771" width="10.5703125" style="85" customWidth="1"/>
    <col min="772" max="772" width="22.140625" style="85" customWidth="1"/>
    <col min="773" max="773" width="22.28515625" style="85" customWidth="1"/>
    <col min="774" max="774" width="21.5703125" style="85" customWidth="1"/>
    <col min="775" max="775" width="21.28515625" style="85" customWidth="1"/>
    <col min="776" max="776" width="15.140625" style="85" customWidth="1"/>
    <col min="777" max="777" width="22.5703125" style="85" customWidth="1"/>
    <col min="778" max="779" width="21" style="85" customWidth="1"/>
    <col min="780" max="780" width="27.5703125" style="85" customWidth="1"/>
    <col min="781" max="781" width="26" style="85" customWidth="1"/>
    <col min="782" max="782" width="27.140625" style="85" customWidth="1"/>
    <col min="783" max="783" width="14.28515625" style="85" customWidth="1"/>
    <col min="784" max="785" width="20" style="85" customWidth="1"/>
    <col min="786" max="786" width="23" style="85" customWidth="1"/>
    <col min="787" max="1024" width="9.140625" style="85"/>
    <col min="1025" max="1025" width="2.28515625" style="85" customWidth="1"/>
    <col min="1026" max="1026" width="22.28515625" style="85" customWidth="1"/>
    <col min="1027" max="1027" width="10.5703125" style="85" customWidth="1"/>
    <col min="1028" max="1028" width="22.140625" style="85" customWidth="1"/>
    <col min="1029" max="1029" width="22.28515625" style="85" customWidth="1"/>
    <col min="1030" max="1030" width="21.5703125" style="85" customWidth="1"/>
    <col min="1031" max="1031" width="21.28515625" style="85" customWidth="1"/>
    <col min="1032" max="1032" width="15.140625" style="85" customWidth="1"/>
    <col min="1033" max="1033" width="22.5703125" style="85" customWidth="1"/>
    <col min="1034" max="1035" width="21" style="85" customWidth="1"/>
    <col min="1036" max="1036" width="27.5703125" style="85" customWidth="1"/>
    <col min="1037" max="1037" width="26" style="85" customWidth="1"/>
    <col min="1038" max="1038" width="27.140625" style="85" customWidth="1"/>
    <col min="1039" max="1039" width="14.28515625" style="85" customWidth="1"/>
    <col min="1040" max="1041" width="20" style="85" customWidth="1"/>
    <col min="1042" max="1042" width="23" style="85" customWidth="1"/>
    <col min="1043" max="1280" width="9.140625" style="85"/>
    <col min="1281" max="1281" width="2.28515625" style="85" customWidth="1"/>
    <col min="1282" max="1282" width="22.28515625" style="85" customWidth="1"/>
    <col min="1283" max="1283" width="10.5703125" style="85" customWidth="1"/>
    <col min="1284" max="1284" width="22.140625" style="85" customWidth="1"/>
    <col min="1285" max="1285" width="22.28515625" style="85" customWidth="1"/>
    <col min="1286" max="1286" width="21.5703125" style="85" customWidth="1"/>
    <col min="1287" max="1287" width="21.28515625" style="85" customWidth="1"/>
    <col min="1288" max="1288" width="15.140625" style="85" customWidth="1"/>
    <col min="1289" max="1289" width="22.5703125" style="85" customWidth="1"/>
    <col min="1290" max="1291" width="21" style="85" customWidth="1"/>
    <col min="1292" max="1292" width="27.5703125" style="85" customWidth="1"/>
    <col min="1293" max="1293" width="26" style="85" customWidth="1"/>
    <col min="1294" max="1294" width="27.140625" style="85" customWidth="1"/>
    <col min="1295" max="1295" width="14.28515625" style="85" customWidth="1"/>
    <col min="1296" max="1297" width="20" style="85" customWidth="1"/>
    <col min="1298" max="1298" width="23" style="85" customWidth="1"/>
    <col min="1299" max="1536" width="9.140625" style="85"/>
    <col min="1537" max="1537" width="2.28515625" style="85" customWidth="1"/>
    <col min="1538" max="1538" width="22.28515625" style="85" customWidth="1"/>
    <col min="1539" max="1539" width="10.5703125" style="85" customWidth="1"/>
    <col min="1540" max="1540" width="22.140625" style="85" customWidth="1"/>
    <col min="1541" max="1541" width="22.28515625" style="85" customWidth="1"/>
    <col min="1542" max="1542" width="21.5703125" style="85" customWidth="1"/>
    <col min="1543" max="1543" width="21.28515625" style="85" customWidth="1"/>
    <col min="1544" max="1544" width="15.140625" style="85" customWidth="1"/>
    <col min="1545" max="1545" width="22.5703125" style="85" customWidth="1"/>
    <col min="1546" max="1547" width="21" style="85" customWidth="1"/>
    <col min="1548" max="1548" width="27.5703125" style="85" customWidth="1"/>
    <col min="1549" max="1549" width="26" style="85" customWidth="1"/>
    <col min="1550" max="1550" width="27.140625" style="85" customWidth="1"/>
    <col min="1551" max="1551" width="14.28515625" style="85" customWidth="1"/>
    <col min="1552" max="1553" width="20" style="85" customWidth="1"/>
    <col min="1554" max="1554" width="23" style="85" customWidth="1"/>
    <col min="1555" max="1792" width="9.140625" style="85"/>
    <col min="1793" max="1793" width="2.28515625" style="85" customWidth="1"/>
    <col min="1794" max="1794" width="22.28515625" style="85" customWidth="1"/>
    <col min="1795" max="1795" width="10.5703125" style="85" customWidth="1"/>
    <col min="1796" max="1796" width="22.140625" style="85" customWidth="1"/>
    <col min="1797" max="1797" width="22.28515625" style="85" customWidth="1"/>
    <col min="1798" max="1798" width="21.5703125" style="85" customWidth="1"/>
    <col min="1799" max="1799" width="21.28515625" style="85" customWidth="1"/>
    <col min="1800" max="1800" width="15.140625" style="85" customWidth="1"/>
    <col min="1801" max="1801" width="22.5703125" style="85" customWidth="1"/>
    <col min="1802" max="1803" width="21" style="85" customWidth="1"/>
    <col min="1804" max="1804" width="27.5703125" style="85" customWidth="1"/>
    <col min="1805" max="1805" width="26" style="85" customWidth="1"/>
    <col min="1806" max="1806" width="27.140625" style="85" customWidth="1"/>
    <col min="1807" max="1807" width="14.28515625" style="85" customWidth="1"/>
    <col min="1808" max="1809" width="20" style="85" customWidth="1"/>
    <col min="1810" max="1810" width="23" style="85" customWidth="1"/>
    <col min="1811" max="2048" width="9.140625" style="85"/>
    <col min="2049" max="2049" width="2.28515625" style="85" customWidth="1"/>
    <col min="2050" max="2050" width="22.28515625" style="85" customWidth="1"/>
    <col min="2051" max="2051" width="10.5703125" style="85" customWidth="1"/>
    <col min="2052" max="2052" width="22.140625" style="85" customWidth="1"/>
    <col min="2053" max="2053" width="22.28515625" style="85" customWidth="1"/>
    <col min="2054" max="2054" width="21.5703125" style="85" customWidth="1"/>
    <col min="2055" max="2055" width="21.28515625" style="85" customWidth="1"/>
    <col min="2056" max="2056" width="15.140625" style="85" customWidth="1"/>
    <col min="2057" max="2057" width="22.5703125" style="85" customWidth="1"/>
    <col min="2058" max="2059" width="21" style="85" customWidth="1"/>
    <col min="2060" max="2060" width="27.5703125" style="85" customWidth="1"/>
    <col min="2061" max="2061" width="26" style="85" customWidth="1"/>
    <col min="2062" max="2062" width="27.140625" style="85" customWidth="1"/>
    <col min="2063" max="2063" width="14.28515625" style="85" customWidth="1"/>
    <col min="2064" max="2065" width="20" style="85" customWidth="1"/>
    <col min="2066" max="2066" width="23" style="85" customWidth="1"/>
    <col min="2067" max="2304" width="9.140625" style="85"/>
    <col min="2305" max="2305" width="2.28515625" style="85" customWidth="1"/>
    <col min="2306" max="2306" width="22.28515625" style="85" customWidth="1"/>
    <col min="2307" max="2307" width="10.5703125" style="85" customWidth="1"/>
    <col min="2308" max="2308" width="22.140625" style="85" customWidth="1"/>
    <col min="2309" max="2309" width="22.28515625" style="85" customWidth="1"/>
    <col min="2310" max="2310" width="21.5703125" style="85" customWidth="1"/>
    <col min="2311" max="2311" width="21.28515625" style="85" customWidth="1"/>
    <col min="2312" max="2312" width="15.140625" style="85" customWidth="1"/>
    <col min="2313" max="2313" width="22.5703125" style="85" customWidth="1"/>
    <col min="2314" max="2315" width="21" style="85" customWidth="1"/>
    <col min="2316" max="2316" width="27.5703125" style="85" customWidth="1"/>
    <col min="2317" max="2317" width="26" style="85" customWidth="1"/>
    <col min="2318" max="2318" width="27.140625" style="85" customWidth="1"/>
    <col min="2319" max="2319" width="14.28515625" style="85" customWidth="1"/>
    <col min="2320" max="2321" width="20" style="85" customWidth="1"/>
    <col min="2322" max="2322" width="23" style="85" customWidth="1"/>
    <col min="2323" max="2560" width="9.140625" style="85"/>
    <col min="2561" max="2561" width="2.28515625" style="85" customWidth="1"/>
    <col min="2562" max="2562" width="22.28515625" style="85" customWidth="1"/>
    <col min="2563" max="2563" width="10.5703125" style="85" customWidth="1"/>
    <col min="2564" max="2564" width="22.140625" style="85" customWidth="1"/>
    <col min="2565" max="2565" width="22.28515625" style="85" customWidth="1"/>
    <col min="2566" max="2566" width="21.5703125" style="85" customWidth="1"/>
    <col min="2567" max="2567" width="21.28515625" style="85" customWidth="1"/>
    <col min="2568" max="2568" width="15.140625" style="85" customWidth="1"/>
    <col min="2569" max="2569" width="22.5703125" style="85" customWidth="1"/>
    <col min="2570" max="2571" width="21" style="85" customWidth="1"/>
    <col min="2572" max="2572" width="27.5703125" style="85" customWidth="1"/>
    <col min="2573" max="2573" width="26" style="85" customWidth="1"/>
    <col min="2574" max="2574" width="27.140625" style="85" customWidth="1"/>
    <col min="2575" max="2575" width="14.28515625" style="85" customWidth="1"/>
    <col min="2576" max="2577" width="20" style="85" customWidth="1"/>
    <col min="2578" max="2578" width="23" style="85" customWidth="1"/>
    <col min="2579" max="2816" width="9.140625" style="85"/>
    <col min="2817" max="2817" width="2.28515625" style="85" customWidth="1"/>
    <col min="2818" max="2818" width="22.28515625" style="85" customWidth="1"/>
    <col min="2819" max="2819" width="10.5703125" style="85" customWidth="1"/>
    <col min="2820" max="2820" width="22.140625" style="85" customWidth="1"/>
    <col min="2821" max="2821" width="22.28515625" style="85" customWidth="1"/>
    <col min="2822" max="2822" width="21.5703125" style="85" customWidth="1"/>
    <col min="2823" max="2823" width="21.28515625" style="85" customWidth="1"/>
    <col min="2824" max="2824" width="15.140625" style="85" customWidth="1"/>
    <col min="2825" max="2825" width="22.5703125" style="85" customWidth="1"/>
    <col min="2826" max="2827" width="21" style="85" customWidth="1"/>
    <col min="2828" max="2828" width="27.5703125" style="85" customWidth="1"/>
    <col min="2829" max="2829" width="26" style="85" customWidth="1"/>
    <col min="2830" max="2830" width="27.140625" style="85" customWidth="1"/>
    <col min="2831" max="2831" width="14.28515625" style="85" customWidth="1"/>
    <col min="2832" max="2833" width="20" style="85" customWidth="1"/>
    <col min="2834" max="2834" width="23" style="85" customWidth="1"/>
    <col min="2835" max="3072" width="9.140625" style="85"/>
    <col min="3073" max="3073" width="2.28515625" style="85" customWidth="1"/>
    <col min="3074" max="3074" width="22.28515625" style="85" customWidth="1"/>
    <col min="3075" max="3075" width="10.5703125" style="85" customWidth="1"/>
    <col min="3076" max="3076" width="22.140625" style="85" customWidth="1"/>
    <col min="3077" max="3077" width="22.28515625" style="85" customWidth="1"/>
    <col min="3078" max="3078" width="21.5703125" style="85" customWidth="1"/>
    <col min="3079" max="3079" width="21.28515625" style="85" customWidth="1"/>
    <col min="3080" max="3080" width="15.140625" style="85" customWidth="1"/>
    <col min="3081" max="3081" width="22.5703125" style="85" customWidth="1"/>
    <col min="3082" max="3083" width="21" style="85" customWidth="1"/>
    <col min="3084" max="3084" width="27.5703125" style="85" customWidth="1"/>
    <col min="3085" max="3085" width="26" style="85" customWidth="1"/>
    <col min="3086" max="3086" width="27.140625" style="85" customWidth="1"/>
    <col min="3087" max="3087" width="14.28515625" style="85" customWidth="1"/>
    <col min="3088" max="3089" width="20" style="85" customWidth="1"/>
    <col min="3090" max="3090" width="23" style="85" customWidth="1"/>
    <col min="3091" max="3328" width="9.140625" style="85"/>
    <col min="3329" max="3329" width="2.28515625" style="85" customWidth="1"/>
    <col min="3330" max="3330" width="22.28515625" style="85" customWidth="1"/>
    <col min="3331" max="3331" width="10.5703125" style="85" customWidth="1"/>
    <col min="3332" max="3332" width="22.140625" style="85" customWidth="1"/>
    <col min="3333" max="3333" width="22.28515625" style="85" customWidth="1"/>
    <col min="3334" max="3334" width="21.5703125" style="85" customWidth="1"/>
    <col min="3335" max="3335" width="21.28515625" style="85" customWidth="1"/>
    <col min="3336" max="3336" width="15.140625" style="85" customWidth="1"/>
    <col min="3337" max="3337" width="22.5703125" style="85" customWidth="1"/>
    <col min="3338" max="3339" width="21" style="85" customWidth="1"/>
    <col min="3340" max="3340" width="27.5703125" style="85" customWidth="1"/>
    <col min="3341" max="3341" width="26" style="85" customWidth="1"/>
    <col min="3342" max="3342" width="27.140625" style="85" customWidth="1"/>
    <col min="3343" max="3343" width="14.28515625" style="85" customWidth="1"/>
    <col min="3344" max="3345" width="20" style="85" customWidth="1"/>
    <col min="3346" max="3346" width="23" style="85" customWidth="1"/>
    <col min="3347" max="3584" width="9.140625" style="85"/>
    <col min="3585" max="3585" width="2.28515625" style="85" customWidth="1"/>
    <col min="3586" max="3586" width="22.28515625" style="85" customWidth="1"/>
    <col min="3587" max="3587" width="10.5703125" style="85" customWidth="1"/>
    <col min="3588" max="3588" width="22.140625" style="85" customWidth="1"/>
    <col min="3589" max="3589" width="22.28515625" style="85" customWidth="1"/>
    <col min="3590" max="3590" width="21.5703125" style="85" customWidth="1"/>
    <col min="3591" max="3591" width="21.28515625" style="85" customWidth="1"/>
    <col min="3592" max="3592" width="15.140625" style="85" customWidth="1"/>
    <col min="3593" max="3593" width="22.5703125" style="85" customWidth="1"/>
    <col min="3594" max="3595" width="21" style="85" customWidth="1"/>
    <col min="3596" max="3596" width="27.5703125" style="85" customWidth="1"/>
    <col min="3597" max="3597" width="26" style="85" customWidth="1"/>
    <col min="3598" max="3598" width="27.140625" style="85" customWidth="1"/>
    <col min="3599" max="3599" width="14.28515625" style="85" customWidth="1"/>
    <col min="3600" max="3601" width="20" style="85" customWidth="1"/>
    <col min="3602" max="3602" width="23" style="85" customWidth="1"/>
    <col min="3603" max="3840" width="9.140625" style="85"/>
    <col min="3841" max="3841" width="2.28515625" style="85" customWidth="1"/>
    <col min="3842" max="3842" width="22.28515625" style="85" customWidth="1"/>
    <col min="3843" max="3843" width="10.5703125" style="85" customWidth="1"/>
    <col min="3844" max="3844" width="22.140625" style="85" customWidth="1"/>
    <col min="3845" max="3845" width="22.28515625" style="85" customWidth="1"/>
    <col min="3846" max="3846" width="21.5703125" style="85" customWidth="1"/>
    <col min="3847" max="3847" width="21.28515625" style="85" customWidth="1"/>
    <col min="3848" max="3848" width="15.140625" style="85" customWidth="1"/>
    <col min="3849" max="3849" width="22.5703125" style="85" customWidth="1"/>
    <col min="3850" max="3851" width="21" style="85" customWidth="1"/>
    <col min="3852" max="3852" width="27.5703125" style="85" customWidth="1"/>
    <col min="3853" max="3853" width="26" style="85" customWidth="1"/>
    <col min="3854" max="3854" width="27.140625" style="85" customWidth="1"/>
    <col min="3855" max="3855" width="14.28515625" style="85" customWidth="1"/>
    <col min="3856" max="3857" width="20" style="85" customWidth="1"/>
    <col min="3858" max="3858" width="23" style="85" customWidth="1"/>
    <col min="3859" max="4096" width="9.140625" style="85"/>
    <col min="4097" max="4097" width="2.28515625" style="85" customWidth="1"/>
    <col min="4098" max="4098" width="22.28515625" style="85" customWidth="1"/>
    <col min="4099" max="4099" width="10.5703125" style="85" customWidth="1"/>
    <col min="4100" max="4100" width="22.140625" style="85" customWidth="1"/>
    <col min="4101" max="4101" width="22.28515625" style="85" customWidth="1"/>
    <col min="4102" max="4102" width="21.5703125" style="85" customWidth="1"/>
    <col min="4103" max="4103" width="21.28515625" style="85" customWidth="1"/>
    <col min="4104" max="4104" width="15.140625" style="85" customWidth="1"/>
    <col min="4105" max="4105" width="22.5703125" style="85" customWidth="1"/>
    <col min="4106" max="4107" width="21" style="85" customWidth="1"/>
    <col min="4108" max="4108" width="27.5703125" style="85" customWidth="1"/>
    <col min="4109" max="4109" width="26" style="85" customWidth="1"/>
    <col min="4110" max="4110" width="27.140625" style="85" customWidth="1"/>
    <col min="4111" max="4111" width="14.28515625" style="85" customWidth="1"/>
    <col min="4112" max="4113" width="20" style="85" customWidth="1"/>
    <col min="4114" max="4114" width="23" style="85" customWidth="1"/>
    <col min="4115" max="4352" width="9.140625" style="85"/>
    <col min="4353" max="4353" width="2.28515625" style="85" customWidth="1"/>
    <col min="4354" max="4354" width="22.28515625" style="85" customWidth="1"/>
    <col min="4355" max="4355" width="10.5703125" style="85" customWidth="1"/>
    <col min="4356" max="4356" width="22.140625" style="85" customWidth="1"/>
    <col min="4357" max="4357" width="22.28515625" style="85" customWidth="1"/>
    <col min="4358" max="4358" width="21.5703125" style="85" customWidth="1"/>
    <col min="4359" max="4359" width="21.28515625" style="85" customWidth="1"/>
    <col min="4360" max="4360" width="15.140625" style="85" customWidth="1"/>
    <col min="4361" max="4361" width="22.5703125" style="85" customWidth="1"/>
    <col min="4362" max="4363" width="21" style="85" customWidth="1"/>
    <col min="4364" max="4364" width="27.5703125" style="85" customWidth="1"/>
    <col min="4365" max="4365" width="26" style="85" customWidth="1"/>
    <col min="4366" max="4366" width="27.140625" style="85" customWidth="1"/>
    <col min="4367" max="4367" width="14.28515625" style="85" customWidth="1"/>
    <col min="4368" max="4369" width="20" style="85" customWidth="1"/>
    <col min="4370" max="4370" width="23" style="85" customWidth="1"/>
    <col min="4371" max="4608" width="9.140625" style="85"/>
    <col min="4609" max="4609" width="2.28515625" style="85" customWidth="1"/>
    <col min="4610" max="4610" width="22.28515625" style="85" customWidth="1"/>
    <col min="4611" max="4611" width="10.5703125" style="85" customWidth="1"/>
    <col min="4612" max="4612" width="22.140625" style="85" customWidth="1"/>
    <col min="4613" max="4613" width="22.28515625" style="85" customWidth="1"/>
    <col min="4614" max="4614" width="21.5703125" style="85" customWidth="1"/>
    <col min="4615" max="4615" width="21.28515625" style="85" customWidth="1"/>
    <col min="4616" max="4616" width="15.140625" style="85" customWidth="1"/>
    <col min="4617" max="4617" width="22.5703125" style="85" customWidth="1"/>
    <col min="4618" max="4619" width="21" style="85" customWidth="1"/>
    <col min="4620" max="4620" width="27.5703125" style="85" customWidth="1"/>
    <col min="4621" max="4621" width="26" style="85" customWidth="1"/>
    <col min="4622" max="4622" width="27.140625" style="85" customWidth="1"/>
    <col min="4623" max="4623" width="14.28515625" style="85" customWidth="1"/>
    <col min="4624" max="4625" width="20" style="85" customWidth="1"/>
    <col min="4626" max="4626" width="23" style="85" customWidth="1"/>
    <col min="4627" max="4864" width="9.140625" style="85"/>
    <col min="4865" max="4865" width="2.28515625" style="85" customWidth="1"/>
    <col min="4866" max="4866" width="22.28515625" style="85" customWidth="1"/>
    <col min="4867" max="4867" width="10.5703125" style="85" customWidth="1"/>
    <col min="4868" max="4868" width="22.140625" style="85" customWidth="1"/>
    <col min="4869" max="4869" width="22.28515625" style="85" customWidth="1"/>
    <col min="4870" max="4870" width="21.5703125" style="85" customWidth="1"/>
    <col min="4871" max="4871" width="21.28515625" style="85" customWidth="1"/>
    <col min="4872" max="4872" width="15.140625" style="85" customWidth="1"/>
    <col min="4873" max="4873" width="22.5703125" style="85" customWidth="1"/>
    <col min="4874" max="4875" width="21" style="85" customWidth="1"/>
    <col min="4876" max="4876" width="27.5703125" style="85" customWidth="1"/>
    <col min="4877" max="4877" width="26" style="85" customWidth="1"/>
    <col min="4878" max="4878" width="27.140625" style="85" customWidth="1"/>
    <col min="4879" max="4879" width="14.28515625" style="85" customWidth="1"/>
    <col min="4880" max="4881" width="20" style="85" customWidth="1"/>
    <col min="4882" max="4882" width="23" style="85" customWidth="1"/>
    <col min="4883" max="5120" width="9.140625" style="85"/>
    <col min="5121" max="5121" width="2.28515625" style="85" customWidth="1"/>
    <col min="5122" max="5122" width="22.28515625" style="85" customWidth="1"/>
    <col min="5123" max="5123" width="10.5703125" style="85" customWidth="1"/>
    <col min="5124" max="5124" width="22.140625" style="85" customWidth="1"/>
    <col min="5125" max="5125" width="22.28515625" style="85" customWidth="1"/>
    <col min="5126" max="5126" width="21.5703125" style="85" customWidth="1"/>
    <col min="5127" max="5127" width="21.28515625" style="85" customWidth="1"/>
    <col min="5128" max="5128" width="15.140625" style="85" customWidth="1"/>
    <col min="5129" max="5129" width="22.5703125" style="85" customWidth="1"/>
    <col min="5130" max="5131" width="21" style="85" customWidth="1"/>
    <col min="5132" max="5132" width="27.5703125" style="85" customWidth="1"/>
    <col min="5133" max="5133" width="26" style="85" customWidth="1"/>
    <col min="5134" max="5134" width="27.140625" style="85" customWidth="1"/>
    <col min="5135" max="5135" width="14.28515625" style="85" customWidth="1"/>
    <col min="5136" max="5137" width="20" style="85" customWidth="1"/>
    <col min="5138" max="5138" width="23" style="85" customWidth="1"/>
    <col min="5139" max="5376" width="9.140625" style="85"/>
    <col min="5377" max="5377" width="2.28515625" style="85" customWidth="1"/>
    <col min="5378" max="5378" width="22.28515625" style="85" customWidth="1"/>
    <col min="5379" max="5379" width="10.5703125" style="85" customWidth="1"/>
    <col min="5380" max="5380" width="22.140625" style="85" customWidth="1"/>
    <col min="5381" max="5381" width="22.28515625" style="85" customWidth="1"/>
    <col min="5382" max="5382" width="21.5703125" style="85" customWidth="1"/>
    <col min="5383" max="5383" width="21.28515625" style="85" customWidth="1"/>
    <col min="5384" max="5384" width="15.140625" style="85" customWidth="1"/>
    <col min="5385" max="5385" width="22.5703125" style="85" customWidth="1"/>
    <col min="5386" max="5387" width="21" style="85" customWidth="1"/>
    <col min="5388" max="5388" width="27.5703125" style="85" customWidth="1"/>
    <col min="5389" max="5389" width="26" style="85" customWidth="1"/>
    <col min="5390" max="5390" width="27.140625" style="85" customWidth="1"/>
    <col min="5391" max="5391" width="14.28515625" style="85" customWidth="1"/>
    <col min="5392" max="5393" width="20" style="85" customWidth="1"/>
    <col min="5394" max="5394" width="23" style="85" customWidth="1"/>
    <col min="5395" max="5632" width="9.140625" style="85"/>
    <col min="5633" max="5633" width="2.28515625" style="85" customWidth="1"/>
    <col min="5634" max="5634" width="22.28515625" style="85" customWidth="1"/>
    <col min="5635" max="5635" width="10.5703125" style="85" customWidth="1"/>
    <col min="5636" max="5636" width="22.140625" style="85" customWidth="1"/>
    <col min="5637" max="5637" width="22.28515625" style="85" customWidth="1"/>
    <col min="5638" max="5638" width="21.5703125" style="85" customWidth="1"/>
    <col min="5639" max="5639" width="21.28515625" style="85" customWidth="1"/>
    <col min="5640" max="5640" width="15.140625" style="85" customWidth="1"/>
    <col min="5641" max="5641" width="22.5703125" style="85" customWidth="1"/>
    <col min="5642" max="5643" width="21" style="85" customWidth="1"/>
    <col min="5644" max="5644" width="27.5703125" style="85" customWidth="1"/>
    <col min="5645" max="5645" width="26" style="85" customWidth="1"/>
    <col min="5646" max="5646" width="27.140625" style="85" customWidth="1"/>
    <col min="5647" max="5647" width="14.28515625" style="85" customWidth="1"/>
    <col min="5648" max="5649" width="20" style="85" customWidth="1"/>
    <col min="5650" max="5650" width="23" style="85" customWidth="1"/>
    <col min="5651" max="5888" width="9.140625" style="85"/>
    <col min="5889" max="5889" width="2.28515625" style="85" customWidth="1"/>
    <col min="5890" max="5890" width="22.28515625" style="85" customWidth="1"/>
    <col min="5891" max="5891" width="10.5703125" style="85" customWidth="1"/>
    <col min="5892" max="5892" width="22.140625" style="85" customWidth="1"/>
    <col min="5893" max="5893" width="22.28515625" style="85" customWidth="1"/>
    <col min="5894" max="5894" width="21.5703125" style="85" customWidth="1"/>
    <col min="5895" max="5895" width="21.28515625" style="85" customWidth="1"/>
    <col min="5896" max="5896" width="15.140625" style="85" customWidth="1"/>
    <col min="5897" max="5897" width="22.5703125" style="85" customWidth="1"/>
    <col min="5898" max="5899" width="21" style="85" customWidth="1"/>
    <col min="5900" max="5900" width="27.5703125" style="85" customWidth="1"/>
    <col min="5901" max="5901" width="26" style="85" customWidth="1"/>
    <col min="5902" max="5902" width="27.140625" style="85" customWidth="1"/>
    <col min="5903" max="5903" width="14.28515625" style="85" customWidth="1"/>
    <col min="5904" max="5905" width="20" style="85" customWidth="1"/>
    <col min="5906" max="5906" width="23" style="85" customWidth="1"/>
    <col min="5907" max="6144" width="9.140625" style="85"/>
    <col min="6145" max="6145" width="2.28515625" style="85" customWidth="1"/>
    <col min="6146" max="6146" width="22.28515625" style="85" customWidth="1"/>
    <col min="6147" max="6147" width="10.5703125" style="85" customWidth="1"/>
    <col min="6148" max="6148" width="22.140625" style="85" customWidth="1"/>
    <col min="6149" max="6149" width="22.28515625" style="85" customWidth="1"/>
    <col min="6150" max="6150" width="21.5703125" style="85" customWidth="1"/>
    <col min="6151" max="6151" width="21.28515625" style="85" customWidth="1"/>
    <col min="6152" max="6152" width="15.140625" style="85" customWidth="1"/>
    <col min="6153" max="6153" width="22.5703125" style="85" customWidth="1"/>
    <col min="6154" max="6155" width="21" style="85" customWidth="1"/>
    <col min="6156" max="6156" width="27.5703125" style="85" customWidth="1"/>
    <col min="6157" max="6157" width="26" style="85" customWidth="1"/>
    <col min="6158" max="6158" width="27.140625" style="85" customWidth="1"/>
    <col min="6159" max="6159" width="14.28515625" style="85" customWidth="1"/>
    <col min="6160" max="6161" width="20" style="85" customWidth="1"/>
    <col min="6162" max="6162" width="23" style="85" customWidth="1"/>
    <col min="6163" max="6400" width="9.140625" style="85"/>
    <col min="6401" max="6401" width="2.28515625" style="85" customWidth="1"/>
    <col min="6402" max="6402" width="22.28515625" style="85" customWidth="1"/>
    <col min="6403" max="6403" width="10.5703125" style="85" customWidth="1"/>
    <col min="6404" max="6404" width="22.140625" style="85" customWidth="1"/>
    <col min="6405" max="6405" width="22.28515625" style="85" customWidth="1"/>
    <col min="6406" max="6406" width="21.5703125" style="85" customWidth="1"/>
    <col min="6407" max="6407" width="21.28515625" style="85" customWidth="1"/>
    <col min="6408" max="6408" width="15.140625" style="85" customWidth="1"/>
    <col min="6409" max="6409" width="22.5703125" style="85" customWidth="1"/>
    <col min="6410" max="6411" width="21" style="85" customWidth="1"/>
    <col min="6412" max="6412" width="27.5703125" style="85" customWidth="1"/>
    <col min="6413" max="6413" width="26" style="85" customWidth="1"/>
    <col min="6414" max="6414" width="27.140625" style="85" customWidth="1"/>
    <col min="6415" max="6415" width="14.28515625" style="85" customWidth="1"/>
    <col min="6416" max="6417" width="20" style="85" customWidth="1"/>
    <col min="6418" max="6418" width="23" style="85" customWidth="1"/>
    <col min="6419" max="6656" width="9.140625" style="85"/>
    <col min="6657" max="6657" width="2.28515625" style="85" customWidth="1"/>
    <col min="6658" max="6658" width="22.28515625" style="85" customWidth="1"/>
    <col min="6659" max="6659" width="10.5703125" style="85" customWidth="1"/>
    <col min="6660" max="6660" width="22.140625" style="85" customWidth="1"/>
    <col min="6661" max="6661" width="22.28515625" style="85" customWidth="1"/>
    <col min="6662" max="6662" width="21.5703125" style="85" customWidth="1"/>
    <col min="6663" max="6663" width="21.28515625" style="85" customWidth="1"/>
    <col min="6664" max="6664" width="15.140625" style="85" customWidth="1"/>
    <col min="6665" max="6665" width="22.5703125" style="85" customWidth="1"/>
    <col min="6666" max="6667" width="21" style="85" customWidth="1"/>
    <col min="6668" max="6668" width="27.5703125" style="85" customWidth="1"/>
    <col min="6669" max="6669" width="26" style="85" customWidth="1"/>
    <col min="6670" max="6670" width="27.140625" style="85" customWidth="1"/>
    <col min="6671" max="6671" width="14.28515625" style="85" customWidth="1"/>
    <col min="6672" max="6673" width="20" style="85" customWidth="1"/>
    <col min="6674" max="6674" width="23" style="85" customWidth="1"/>
    <col min="6675" max="6912" width="9.140625" style="85"/>
    <col min="6913" max="6913" width="2.28515625" style="85" customWidth="1"/>
    <col min="6914" max="6914" width="22.28515625" style="85" customWidth="1"/>
    <col min="6915" max="6915" width="10.5703125" style="85" customWidth="1"/>
    <col min="6916" max="6916" width="22.140625" style="85" customWidth="1"/>
    <col min="6917" max="6917" width="22.28515625" style="85" customWidth="1"/>
    <col min="6918" max="6918" width="21.5703125" style="85" customWidth="1"/>
    <col min="6919" max="6919" width="21.28515625" style="85" customWidth="1"/>
    <col min="6920" max="6920" width="15.140625" style="85" customWidth="1"/>
    <col min="6921" max="6921" width="22.5703125" style="85" customWidth="1"/>
    <col min="6922" max="6923" width="21" style="85" customWidth="1"/>
    <col min="6924" max="6924" width="27.5703125" style="85" customWidth="1"/>
    <col min="6925" max="6925" width="26" style="85" customWidth="1"/>
    <col min="6926" max="6926" width="27.140625" style="85" customWidth="1"/>
    <col min="6927" max="6927" width="14.28515625" style="85" customWidth="1"/>
    <col min="6928" max="6929" width="20" style="85" customWidth="1"/>
    <col min="6930" max="6930" width="23" style="85" customWidth="1"/>
    <col min="6931" max="7168" width="9.140625" style="85"/>
    <col min="7169" max="7169" width="2.28515625" style="85" customWidth="1"/>
    <col min="7170" max="7170" width="22.28515625" style="85" customWidth="1"/>
    <col min="7171" max="7171" width="10.5703125" style="85" customWidth="1"/>
    <col min="7172" max="7172" width="22.140625" style="85" customWidth="1"/>
    <col min="7173" max="7173" width="22.28515625" style="85" customWidth="1"/>
    <col min="7174" max="7174" width="21.5703125" style="85" customWidth="1"/>
    <col min="7175" max="7175" width="21.28515625" style="85" customWidth="1"/>
    <col min="7176" max="7176" width="15.140625" style="85" customWidth="1"/>
    <col min="7177" max="7177" width="22.5703125" style="85" customWidth="1"/>
    <col min="7178" max="7179" width="21" style="85" customWidth="1"/>
    <col min="7180" max="7180" width="27.5703125" style="85" customWidth="1"/>
    <col min="7181" max="7181" width="26" style="85" customWidth="1"/>
    <col min="7182" max="7182" width="27.140625" style="85" customWidth="1"/>
    <col min="7183" max="7183" width="14.28515625" style="85" customWidth="1"/>
    <col min="7184" max="7185" width="20" style="85" customWidth="1"/>
    <col min="7186" max="7186" width="23" style="85" customWidth="1"/>
    <col min="7187" max="7424" width="9.140625" style="85"/>
    <col min="7425" max="7425" width="2.28515625" style="85" customWidth="1"/>
    <col min="7426" max="7426" width="22.28515625" style="85" customWidth="1"/>
    <col min="7427" max="7427" width="10.5703125" style="85" customWidth="1"/>
    <col min="7428" max="7428" width="22.140625" style="85" customWidth="1"/>
    <col min="7429" max="7429" width="22.28515625" style="85" customWidth="1"/>
    <col min="7430" max="7430" width="21.5703125" style="85" customWidth="1"/>
    <col min="7431" max="7431" width="21.28515625" style="85" customWidth="1"/>
    <col min="7432" max="7432" width="15.140625" style="85" customWidth="1"/>
    <col min="7433" max="7433" width="22.5703125" style="85" customWidth="1"/>
    <col min="7434" max="7435" width="21" style="85" customWidth="1"/>
    <col min="7436" max="7436" width="27.5703125" style="85" customWidth="1"/>
    <col min="7437" max="7437" width="26" style="85" customWidth="1"/>
    <col min="7438" max="7438" width="27.140625" style="85" customWidth="1"/>
    <col min="7439" max="7439" width="14.28515625" style="85" customWidth="1"/>
    <col min="7440" max="7441" width="20" style="85" customWidth="1"/>
    <col min="7442" max="7442" width="23" style="85" customWidth="1"/>
    <col min="7443" max="7680" width="9.140625" style="85"/>
    <col min="7681" max="7681" width="2.28515625" style="85" customWidth="1"/>
    <col min="7682" max="7682" width="22.28515625" style="85" customWidth="1"/>
    <col min="7683" max="7683" width="10.5703125" style="85" customWidth="1"/>
    <col min="7684" max="7684" width="22.140625" style="85" customWidth="1"/>
    <col min="7685" max="7685" width="22.28515625" style="85" customWidth="1"/>
    <col min="7686" max="7686" width="21.5703125" style="85" customWidth="1"/>
    <col min="7687" max="7687" width="21.28515625" style="85" customWidth="1"/>
    <col min="7688" max="7688" width="15.140625" style="85" customWidth="1"/>
    <col min="7689" max="7689" width="22.5703125" style="85" customWidth="1"/>
    <col min="7690" max="7691" width="21" style="85" customWidth="1"/>
    <col min="7692" max="7692" width="27.5703125" style="85" customWidth="1"/>
    <col min="7693" max="7693" width="26" style="85" customWidth="1"/>
    <col min="7694" max="7694" width="27.140625" style="85" customWidth="1"/>
    <col min="7695" max="7695" width="14.28515625" style="85" customWidth="1"/>
    <col min="7696" max="7697" width="20" style="85" customWidth="1"/>
    <col min="7698" max="7698" width="23" style="85" customWidth="1"/>
    <col min="7699" max="7936" width="9.140625" style="85"/>
    <col min="7937" max="7937" width="2.28515625" style="85" customWidth="1"/>
    <col min="7938" max="7938" width="22.28515625" style="85" customWidth="1"/>
    <col min="7939" max="7939" width="10.5703125" style="85" customWidth="1"/>
    <col min="7940" max="7940" width="22.140625" style="85" customWidth="1"/>
    <col min="7941" max="7941" width="22.28515625" style="85" customWidth="1"/>
    <col min="7942" max="7942" width="21.5703125" style="85" customWidth="1"/>
    <col min="7943" max="7943" width="21.28515625" style="85" customWidth="1"/>
    <col min="7944" max="7944" width="15.140625" style="85" customWidth="1"/>
    <col min="7945" max="7945" width="22.5703125" style="85" customWidth="1"/>
    <col min="7946" max="7947" width="21" style="85" customWidth="1"/>
    <col min="7948" max="7948" width="27.5703125" style="85" customWidth="1"/>
    <col min="7949" max="7949" width="26" style="85" customWidth="1"/>
    <col min="7950" max="7950" width="27.140625" style="85" customWidth="1"/>
    <col min="7951" max="7951" width="14.28515625" style="85" customWidth="1"/>
    <col min="7952" max="7953" width="20" style="85" customWidth="1"/>
    <col min="7954" max="7954" width="23" style="85" customWidth="1"/>
    <col min="7955" max="8192" width="9.140625" style="85"/>
    <col min="8193" max="8193" width="2.28515625" style="85" customWidth="1"/>
    <col min="8194" max="8194" width="22.28515625" style="85" customWidth="1"/>
    <col min="8195" max="8195" width="10.5703125" style="85" customWidth="1"/>
    <col min="8196" max="8196" width="22.140625" style="85" customWidth="1"/>
    <col min="8197" max="8197" width="22.28515625" style="85" customWidth="1"/>
    <col min="8198" max="8198" width="21.5703125" style="85" customWidth="1"/>
    <col min="8199" max="8199" width="21.28515625" style="85" customWidth="1"/>
    <col min="8200" max="8200" width="15.140625" style="85" customWidth="1"/>
    <col min="8201" max="8201" width="22.5703125" style="85" customWidth="1"/>
    <col min="8202" max="8203" width="21" style="85" customWidth="1"/>
    <col min="8204" max="8204" width="27.5703125" style="85" customWidth="1"/>
    <col min="8205" max="8205" width="26" style="85" customWidth="1"/>
    <col min="8206" max="8206" width="27.140625" style="85" customWidth="1"/>
    <col min="8207" max="8207" width="14.28515625" style="85" customWidth="1"/>
    <col min="8208" max="8209" width="20" style="85" customWidth="1"/>
    <col min="8210" max="8210" width="23" style="85" customWidth="1"/>
    <col min="8211" max="8448" width="9.140625" style="85"/>
    <col min="8449" max="8449" width="2.28515625" style="85" customWidth="1"/>
    <col min="8450" max="8450" width="22.28515625" style="85" customWidth="1"/>
    <col min="8451" max="8451" width="10.5703125" style="85" customWidth="1"/>
    <col min="8452" max="8452" width="22.140625" style="85" customWidth="1"/>
    <col min="8453" max="8453" width="22.28515625" style="85" customWidth="1"/>
    <col min="8454" max="8454" width="21.5703125" style="85" customWidth="1"/>
    <col min="8455" max="8455" width="21.28515625" style="85" customWidth="1"/>
    <col min="8456" max="8456" width="15.140625" style="85" customWidth="1"/>
    <col min="8457" max="8457" width="22.5703125" style="85" customWidth="1"/>
    <col min="8458" max="8459" width="21" style="85" customWidth="1"/>
    <col min="8460" max="8460" width="27.5703125" style="85" customWidth="1"/>
    <col min="8461" max="8461" width="26" style="85" customWidth="1"/>
    <col min="8462" max="8462" width="27.140625" style="85" customWidth="1"/>
    <col min="8463" max="8463" width="14.28515625" style="85" customWidth="1"/>
    <col min="8464" max="8465" width="20" style="85" customWidth="1"/>
    <col min="8466" max="8466" width="23" style="85" customWidth="1"/>
    <col min="8467" max="8704" width="9.140625" style="85"/>
    <col min="8705" max="8705" width="2.28515625" style="85" customWidth="1"/>
    <col min="8706" max="8706" width="22.28515625" style="85" customWidth="1"/>
    <col min="8707" max="8707" width="10.5703125" style="85" customWidth="1"/>
    <col min="8708" max="8708" width="22.140625" style="85" customWidth="1"/>
    <col min="8709" max="8709" width="22.28515625" style="85" customWidth="1"/>
    <col min="8710" max="8710" width="21.5703125" style="85" customWidth="1"/>
    <col min="8711" max="8711" width="21.28515625" style="85" customWidth="1"/>
    <col min="8712" max="8712" width="15.140625" style="85" customWidth="1"/>
    <col min="8713" max="8713" width="22.5703125" style="85" customWidth="1"/>
    <col min="8714" max="8715" width="21" style="85" customWidth="1"/>
    <col min="8716" max="8716" width="27.5703125" style="85" customWidth="1"/>
    <col min="8717" max="8717" width="26" style="85" customWidth="1"/>
    <col min="8718" max="8718" width="27.140625" style="85" customWidth="1"/>
    <col min="8719" max="8719" width="14.28515625" style="85" customWidth="1"/>
    <col min="8720" max="8721" width="20" style="85" customWidth="1"/>
    <col min="8722" max="8722" width="23" style="85" customWidth="1"/>
    <col min="8723" max="8960" width="9.140625" style="85"/>
    <col min="8961" max="8961" width="2.28515625" style="85" customWidth="1"/>
    <col min="8962" max="8962" width="22.28515625" style="85" customWidth="1"/>
    <col min="8963" max="8963" width="10.5703125" style="85" customWidth="1"/>
    <col min="8964" max="8964" width="22.140625" style="85" customWidth="1"/>
    <col min="8965" max="8965" width="22.28515625" style="85" customWidth="1"/>
    <col min="8966" max="8966" width="21.5703125" style="85" customWidth="1"/>
    <col min="8967" max="8967" width="21.28515625" style="85" customWidth="1"/>
    <col min="8968" max="8968" width="15.140625" style="85" customWidth="1"/>
    <col min="8969" max="8969" width="22.5703125" style="85" customWidth="1"/>
    <col min="8970" max="8971" width="21" style="85" customWidth="1"/>
    <col min="8972" max="8972" width="27.5703125" style="85" customWidth="1"/>
    <col min="8973" max="8973" width="26" style="85" customWidth="1"/>
    <col min="8974" max="8974" width="27.140625" style="85" customWidth="1"/>
    <col min="8975" max="8975" width="14.28515625" style="85" customWidth="1"/>
    <col min="8976" max="8977" width="20" style="85" customWidth="1"/>
    <col min="8978" max="8978" width="23" style="85" customWidth="1"/>
    <col min="8979" max="9216" width="9.140625" style="85"/>
    <col min="9217" max="9217" width="2.28515625" style="85" customWidth="1"/>
    <col min="9218" max="9218" width="22.28515625" style="85" customWidth="1"/>
    <col min="9219" max="9219" width="10.5703125" style="85" customWidth="1"/>
    <col min="9220" max="9220" width="22.140625" style="85" customWidth="1"/>
    <col min="9221" max="9221" width="22.28515625" style="85" customWidth="1"/>
    <col min="9222" max="9222" width="21.5703125" style="85" customWidth="1"/>
    <col min="9223" max="9223" width="21.28515625" style="85" customWidth="1"/>
    <col min="9224" max="9224" width="15.140625" style="85" customWidth="1"/>
    <col min="9225" max="9225" width="22.5703125" style="85" customWidth="1"/>
    <col min="9226" max="9227" width="21" style="85" customWidth="1"/>
    <col min="9228" max="9228" width="27.5703125" style="85" customWidth="1"/>
    <col min="9229" max="9229" width="26" style="85" customWidth="1"/>
    <col min="9230" max="9230" width="27.140625" style="85" customWidth="1"/>
    <col min="9231" max="9231" width="14.28515625" style="85" customWidth="1"/>
    <col min="9232" max="9233" width="20" style="85" customWidth="1"/>
    <col min="9234" max="9234" width="23" style="85" customWidth="1"/>
    <col min="9235" max="9472" width="9.140625" style="85"/>
    <col min="9473" max="9473" width="2.28515625" style="85" customWidth="1"/>
    <col min="9474" max="9474" width="22.28515625" style="85" customWidth="1"/>
    <col min="9475" max="9475" width="10.5703125" style="85" customWidth="1"/>
    <col min="9476" max="9476" width="22.140625" style="85" customWidth="1"/>
    <col min="9477" max="9477" width="22.28515625" style="85" customWidth="1"/>
    <col min="9478" max="9478" width="21.5703125" style="85" customWidth="1"/>
    <col min="9479" max="9479" width="21.28515625" style="85" customWidth="1"/>
    <col min="9480" max="9480" width="15.140625" style="85" customWidth="1"/>
    <col min="9481" max="9481" width="22.5703125" style="85" customWidth="1"/>
    <col min="9482" max="9483" width="21" style="85" customWidth="1"/>
    <col min="9484" max="9484" width="27.5703125" style="85" customWidth="1"/>
    <col min="9485" max="9485" width="26" style="85" customWidth="1"/>
    <col min="9486" max="9486" width="27.140625" style="85" customWidth="1"/>
    <col min="9487" max="9487" width="14.28515625" style="85" customWidth="1"/>
    <col min="9488" max="9489" width="20" style="85" customWidth="1"/>
    <col min="9490" max="9490" width="23" style="85" customWidth="1"/>
    <col min="9491" max="9728" width="9.140625" style="85"/>
    <col min="9729" max="9729" width="2.28515625" style="85" customWidth="1"/>
    <col min="9730" max="9730" width="22.28515625" style="85" customWidth="1"/>
    <col min="9731" max="9731" width="10.5703125" style="85" customWidth="1"/>
    <col min="9732" max="9732" width="22.140625" style="85" customWidth="1"/>
    <col min="9733" max="9733" width="22.28515625" style="85" customWidth="1"/>
    <col min="9734" max="9734" width="21.5703125" style="85" customWidth="1"/>
    <col min="9735" max="9735" width="21.28515625" style="85" customWidth="1"/>
    <col min="9736" max="9736" width="15.140625" style="85" customWidth="1"/>
    <col min="9737" max="9737" width="22.5703125" style="85" customWidth="1"/>
    <col min="9738" max="9739" width="21" style="85" customWidth="1"/>
    <col min="9740" max="9740" width="27.5703125" style="85" customWidth="1"/>
    <col min="9741" max="9741" width="26" style="85" customWidth="1"/>
    <col min="9742" max="9742" width="27.140625" style="85" customWidth="1"/>
    <col min="9743" max="9743" width="14.28515625" style="85" customWidth="1"/>
    <col min="9744" max="9745" width="20" style="85" customWidth="1"/>
    <col min="9746" max="9746" width="23" style="85" customWidth="1"/>
    <col min="9747" max="9984" width="9.140625" style="85"/>
    <col min="9985" max="9985" width="2.28515625" style="85" customWidth="1"/>
    <col min="9986" max="9986" width="22.28515625" style="85" customWidth="1"/>
    <col min="9987" max="9987" width="10.5703125" style="85" customWidth="1"/>
    <col min="9988" max="9988" width="22.140625" style="85" customWidth="1"/>
    <col min="9989" max="9989" width="22.28515625" style="85" customWidth="1"/>
    <col min="9990" max="9990" width="21.5703125" style="85" customWidth="1"/>
    <col min="9991" max="9991" width="21.28515625" style="85" customWidth="1"/>
    <col min="9992" max="9992" width="15.140625" style="85" customWidth="1"/>
    <col min="9993" max="9993" width="22.5703125" style="85" customWidth="1"/>
    <col min="9994" max="9995" width="21" style="85" customWidth="1"/>
    <col min="9996" max="9996" width="27.5703125" style="85" customWidth="1"/>
    <col min="9997" max="9997" width="26" style="85" customWidth="1"/>
    <col min="9998" max="9998" width="27.140625" style="85" customWidth="1"/>
    <col min="9999" max="9999" width="14.28515625" style="85" customWidth="1"/>
    <col min="10000" max="10001" width="20" style="85" customWidth="1"/>
    <col min="10002" max="10002" width="23" style="85" customWidth="1"/>
    <col min="10003" max="10240" width="9.140625" style="85"/>
    <col min="10241" max="10241" width="2.28515625" style="85" customWidth="1"/>
    <col min="10242" max="10242" width="22.28515625" style="85" customWidth="1"/>
    <col min="10243" max="10243" width="10.5703125" style="85" customWidth="1"/>
    <col min="10244" max="10244" width="22.140625" style="85" customWidth="1"/>
    <col min="10245" max="10245" width="22.28515625" style="85" customWidth="1"/>
    <col min="10246" max="10246" width="21.5703125" style="85" customWidth="1"/>
    <col min="10247" max="10247" width="21.28515625" style="85" customWidth="1"/>
    <col min="10248" max="10248" width="15.140625" style="85" customWidth="1"/>
    <col min="10249" max="10249" width="22.5703125" style="85" customWidth="1"/>
    <col min="10250" max="10251" width="21" style="85" customWidth="1"/>
    <col min="10252" max="10252" width="27.5703125" style="85" customWidth="1"/>
    <col min="10253" max="10253" width="26" style="85" customWidth="1"/>
    <col min="10254" max="10254" width="27.140625" style="85" customWidth="1"/>
    <col min="10255" max="10255" width="14.28515625" style="85" customWidth="1"/>
    <col min="10256" max="10257" width="20" style="85" customWidth="1"/>
    <col min="10258" max="10258" width="23" style="85" customWidth="1"/>
    <col min="10259" max="10496" width="9.140625" style="85"/>
    <col min="10497" max="10497" width="2.28515625" style="85" customWidth="1"/>
    <col min="10498" max="10498" width="22.28515625" style="85" customWidth="1"/>
    <col min="10499" max="10499" width="10.5703125" style="85" customWidth="1"/>
    <col min="10500" max="10500" width="22.140625" style="85" customWidth="1"/>
    <col min="10501" max="10501" width="22.28515625" style="85" customWidth="1"/>
    <col min="10502" max="10502" width="21.5703125" style="85" customWidth="1"/>
    <col min="10503" max="10503" width="21.28515625" style="85" customWidth="1"/>
    <col min="10504" max="10504" width="15.140625" style="85" customWidth="1"/>
    <col min="10505" max="10505" width="22.5703125" style="85" customWidth="1"/>
    <col min="10506" max="10507" width="21" style="85" customWidth="1"/>
    <col min="10508" max="10508" width="27.5703125" style="85" customWidth="1"/>
    <col min="10509" max="10509" width="26" style="85" customWidth="1"/>
    <col min="10510" max="10510" width="27.140625" style="85" customWidth="1"/>
    <col min="10511" max="10511" width="14.28515625" style="85" customWidth="1"/>
    <col min="10512" max="10513" width="20" style="85" customWidth="1"/>
    <col min="10514" max="10514" width="23" style="85" customWidth="1"/>
    <col min="10515" max="10752" width="9.140625" style="85"/>
    <col min="10753" max="10753" width="2.28515625" style="85" customWidth="1"/>
    <col min="10754" max="10754" width="22.28515625" style="85" customWidth="1"/>
    <col min="10755" max="10755" width="10.5703125" style="85" customWidth="1"/>
    <col min="10756" max="10756" width="22.140625" style="85" customWidth="1"/>
    <col min="10757" max="10757" width="22.28515625" style="85" customWidth="1"/>
    <col min="10758" max="10758" width="21.5703125" style="85" customWidth="1"/>
    <col min="10759" max="10759" width="21.28515625" style="85" customWidth="1"/>
    <col min="10760" max="10760" width="15.140625" style="85" customWidth="1"/>
    <col min="10761" max="10761" width="22.5703125" style="85" customWidth="1"/>
    <col min="10762" max="10763" width="21" style="85" customWidth="1"/>
    <col min="10764" max="10764" width="27.5703125" style="85" customWidth="1"/>
    <col min="10765" max="10765" width="26" style="85" customWidth="1"/>
    <col min="10766" max="10766" width="27.140625" style="85" customWidth="1"/>
    <col min="10767" max="10767" width="14.28515625" style="85" customWidth="1"/>
    <col min="10768" max="10769" width="20" style="85" customWidth="1"/>
    <col min="10770" max="10770" width="23" style="85" customWidth="1"/>
    <col min="10771" max="11008" width="9.140625" style="85"/>
    <col min="11009" max="11009" width="2.28515625" style="85" customWidth="1"/>
    <col min="11010" max="11010" width="22.28515625" style="85" customWidth="1"/>
    <col min="11011" max="11011" width="10.5703125" style="85" customWidth="1"/>
    <col min="11012" max="11012" width="22.140625" style="85" customWidth="1"/>
    <col min="11013" max="11013" width="22.28515625" style="85" customWidth="1"/>
    <col min="11014" max="11014" width="21.5703125" style="85" customWidth="1"/>
    <col min="11015" max="11015" width="21.28515625" style="85" customWidth="1"/>
    <col min="11016" max="11016" width="15.140625" style="85" customWidth="1"/>
    <col min="11017" max="11017" width="22.5703125" style="85" customWidth="1"/>
    <col min="11018" max="11019" width="21" style="85" customWidth="1"/>
    <col min="11020" max="11020" width="27.5703125" style="85" customWidth="1"/>
    <col min="11021" max="11021" width="26" style="85" customWidth="1"/>
    <col min="11022" max="11022" width="27.140625" style="85" customWidth="1"/>
    <col min="11023" max="11023" width="14.28515625" style="85" customWidth="1"/>
    <col min="11024" max="11025" width="20" style="85" customWidth="1"/>
    <col min="11026" max="11026" width="23" style="85" customWidth="1"/>
    <col min="11027" max="11264" width="9.140625" style="85"/>
    <col min="11265" max="11265" width="2.28515625" style="85" customWidth="1"/>
    <col min="11266" max="11266" width="22.28515625" style="85" customWidth="1"/>
    <col min="11267" max="11267" width="10.5703125" style="85" customWidth="1"/>
    <col min="11268" max="11268" width="22.140625" style="85" customWidth="1"/>
    <col min="11269" max="11269" width="22.28515625" style="85" customWidth="1"/>
    <col min="11270" max="11270" width="21.5703125" style="85" customWidth="1"/>
    <col min="11271" max="11271" width="21.28515625" style="85" customWidth="1"/>
    <col min="11272" max="11272" width="15.140625" style="85" customWidth="1"/>
    <col min="11273" max="11273" width="22.5703125" style="85" customWidth="1"/>
    <col min="11274" max="11275" width="21" style="85" customWidth="1"/>
    <col min="11276" max="11276" width="27.5703125" style="85" customWidth="1"/>
    <col min="11277" max="11277" width="26" style="85" customWidth="1"/>
    <col min="11278" max="11278" width="27.140625" style="85" customWidth="1"/>
    <col min="11279" max="11279" width="14.28515625" style="85" customWidth="1"/>
    <col min="11280" max="11281" width="20" style="85" customWidth="1"/>
    <col min="11282" max="11282" width="23" style="85" customWidth="1"/>
    <col min="11283" max="11520" width="9.140625" style="85"/>
    <col min="11521" max="11521" width="2.28515625" style="85" customWidth="1"/>
    <col min="11522" max="11522" width="22.28515625" style="85" customWidth="1"/>
    <col min="11523" max="11523" width="10.5703125" style="85" customWidth="1"/>
    <col min="11524" max="11524" width="22.140625" style="85" customWidth="1"/>
    <col min="11525" max="11525" width="22.28515625" style="85" customWidth="1"/>
    <col min="11526" max="11526" width="21.5703125" style="85" customWidth="1"/>
    <col min="11527" max="11527" width="21.28515625" style="85" customWidth="1"/>
    <col min="11528" max="11528" width="15.140625" style="85" customWidth="1"/>
    <col min="11529" max="11529" width="22.5703125" style="85" customWidth="1"/>
    <col min="11530" max="11531" width="21" style="85" customWidth="1"/>
    <col min="11532" max="11532" width="27.5703125" style="85" customWidth="1"/>
    <col min="11533" max="11533" width="26" style="85" customWidth="1"/>
    <col min="11534" max="11534" width="27.140625" style="85" customWidth="1"/>
    <col min="11535" max="11535" width="14.28515625" style="85" customWidth="1"/>
    <col min="11536" max="11537" width="20" style="85" customWidth="1"/>
    <col min="11538" max="11538" width="23" style="85" customWidth="1"/>
    <col min="11539" max="11776" width="9.140625" style="85"/>
    <col min="11777" max="11777" width="2.28515625" style="85" customWidth="1"/>
    <col min="11778" max="11778" width="22.28515625" style="85" customWidth="1"/>
    <col min="11779" max="11779" width="10.5703125" style="85" customWidth="1"/>
    <col min="11780" max="11780" width="22.140625" style="85" customWidth="1"/>
    <col min="11781" max="11781" width="22.28515625" style="85" customWidth="1"/>
    <col min="11782" max="11782" width="21.5703125" style="85" customWidth="1"/>
    <col min="11783" max="11783" width="21.28515625" style="85" customWidth="1"/>
    <col min="11784" max="11784" width="15.140625" style="85" customWidth="1"/>
    <col min="11785" max="11785" width="22.5703125" style="85" customWidth="1"/>
    <col min="11786" max="11787" width="21" style="85" customWidth="1"/>
    <col min="11788" max="11788" width="27.5703125" style="85" customWidth="1"/>
    <col min="11789" max="11789" width="26" style="85" customWidth="1"/>
    <col min="11790" max="11790" width="27.140625" style="85" customWidth="1"/>
    <col min="11791" max="11791" width="14.28515625" style="85" customWidth="1"/>
    <col min="11792" max="11793" width="20" style="85" customWidth="1"/>
    <col min="11794" max="11794" width="23" style="85" customWidth="1"/>
    <col min="11795" max="12032" width="9.140625" style="85"/>
    <col min="12033" max="12033" width="2.28515625" style="85" customWidth="1"/>
    <col min="12034" max="12034" width="22.28515625" style="85" customWidth="1"/>
    <col min="12035" max="12035" width="10.5703125" style="85" customWidth="1"/>
    <col min="12036" max="12036" width="22.140625" style="85" customWidth="1"/>
    <col min="12037" max="12037" width="22.28515625" style="85" customWidth="1"/>
    <col min="12038" max="12038" width="21.5703125" style="85" customWidth="1"/>
    <col min="12039" max="12039" width="21.28515625" style="85" customWidth="1"/>
    <col min="12040" max="12040" width="15.140625" style="85" customWidth="1"/>
    <col min="12041" max="12041" width="22.5703125" style="85" customWidth="1"/>
    <col min="12042" max="12043" width="21" style="85" customWidth="1"/>
    <col min="12044" max="12044" width="27.5703125" style="85" customWidth="1"/>
    <col min="12045" max="12045" width="26" style="85" customWidth="1"/>
    <col min="12046" max="12046" width="27.140625" style="85" customWidth="1"/>
    <col min="12047" max="12047" width="14.28515625" style="85" customWidth="1"/>
    <col min="12048" max="12049" width="20" style="85" customWidth="1"/>
    <col min="12050" max="12050" width="23" style="85" customWidth="1"/>
    <col min="12051" max="12288" width="9.140625" style="85"/>
    <col min="12289" max="12289" width="2.28515625" style="85" customWidth="1"/>
    <col min="12290" max="12290" width="22.28515625" style="85" customWidth="1"/>
    <col min="12291" max="12291" width="10.5703125" style="85" customWidth="1"/>
    <col min="12292" max="12292" width="22.140625" style="85" customWidth="1"/>
    <col min="12293" max="12293" width="22.28515625" style="85" customWidth="1"/>
    <col min="12294" max="12294" width="21.5703125" style="85" customWidth="1"/>
    <col min="12295" max="12295" width="21.28515625" style="85" customWidth="1"/>
    <col min="12296" max="12296" width="15.140625" style="85" customWidth="1"/>
    <col min="12297" max="12297" width="22.5703125" style="85" customWidth="1"/>
    <col min="12298" max="12299" width="21" style="85" customWidth="1"/>
    <col min="12300" max="12300" width="27.5703125" style="85" customWidth="1"/>
    <col min="12301" max="12301" width="26" style="85" customWidth="1"/>
    <col min="12302" max="12302" width="27.140625" style="85" customWidth="1"/>
    <col min="12303" max="12303" width="14.28515625" style="85" customWidth="1"/>
    <col min="12304" max="12305" width="20" style="85" customWidth="1"/>
    <col min="12306" max="12306" width="23" style="85" customWidth="1"/>
    <col min="12307" max="12544" width="9.140625" style="85"/>
    <col min="12545" max="12545" width="2.28515625" style="85" customWidth="1"/>
    <col min="12546" max="12546" width="22.28515625" style="85" customWidth="1"/>
    <col min="12547" max="12547" width="10.5703125" style="85" customWidth="1"/>
    <col min="12548" max="12548" width="22.140625" style="85" customWidth="1"/>
    <col min="12549" max="12549" width="22.28515625" style="85" customWidth="1"/>
    <col min="12550" max="12550" width="21.5703125" style="85" customWidth="1"/>
    <col min="12551" max="12551" width="21.28515625" style="85" customWidth="1"/>
    <col min="12552" max="12552" width="15.140625" style="85" customWidth="1"/>
    <col min="12553" max="12553" width="22.5703125" style="85" customWidth="1"/>
    <col min="12554" max="12555" width="21" style="85" customWidth="1"/>
    <col min="12556" max="12556" width="27.5703125" style="85" customWidth="1"/>
    <col min="12557" max="12557" width="26" style="85" customWidth="1"/>
    <col min="12558" max="12558" width="27.140625" style="85" customWidth="1"/>
    <col min="12559" max="12559" width="14.28515625" style="85" customWidth="1"/>
    <col min="12560" max="12561" width="20" style="85" customWidth="1"/>
    <col min="12562" max="12562" width="23" style="85" customWidth="1"/>
    <col min="12563" max="12800" width="9.140625" style="85"/>
    <col min="12801" max="12801" width="2.28515625" style="85" customWidth="1"/>
    <col min="12802" max="12802" width="22.28515625" style="85" customWidth="1"/>
    <col min="12803" max="12803" width="10.5703125" style="85" customWidth="1"/>
    <col min="12804" max="12804" width="22.140625" style="85" customWidth="1"/>
    <col min="12805" max="12805" width="22.28515625" style="85" customWidth="1"/>
    <col min="12806" max="12806" width="21.5703125" style="85" customWidth="1"/>
    <col min="12807" max="12807" width="21.28515625" style="85" customWidth="1"/>
    <col min="12808" max="12808" width="15.140625" style="85" customWidth="1"/>
    <col min="12809" max="12809" width="22.5703125" style="85" customWidth="1"/>
    <col min="12810" max="12811" width="21" style="85" customWidth="1"/>
    <col min="12812" max="12812" width="27.5703125" style="85" customWidth="1"/>
    <col min="12813" max="12813" width="26" style="85" customWidth="1"/>
    <col min="12814" max="12814" width="27.140625" style="85" customWidth="1"/>
    <col min="12815" max="12815" width="14.28515625" style="85" customWidth="1"/>
    <col min="12816" max="12817" width="20" style="85" customWidth="1"/>
    <col min="12818" max="12818" width="23" style="85" customWidth="1"/>
    <col min="12819" max="13056" width="9.140625" style="85"/>
    <col min="13057" max="13057" width="2.28515625" style="85" customWidth="1"/>
    <col min="13058" max="13058" width="22.28515625" style="85" customWidth="1"/>
    <col min="13059" max="13059" width="10.5703125" style="85" customWidth="1"/>
    <col min="13060" max="13060" width="22.140625" style="85" customWidth="1"/>
    <col min="13061" max="13061" width="22.28515625" style="85" customWidth="1"/>
    <col min="13062" max="13062" width="21.5703125" style="85" customWidth="1"/>
    <col min="13063" max="13063" width="21.28515625" style="85" customWidth="1"/>
    <col min="13064" max="13064" width="15.140625" style="85" customWidth="1"/>
    <col min="13065" max="13065" width="22.5703125" style="85" customWidth="1"/>
    <col min="13066" max="13067" width="21" style="85" customWidth="1"/>
    <col min="13068" max="13068" width="27.5703125" style="85" customWidth="1"/>
    <col min="13069" max="13069" width="26" style="85" customWidth="1"/>
    <col min="13070" max="13070" width="27.140625" style="85" customWidth="1"/>
    <col min="13071" max="13071" width="14.28515625" style="85" customWidth="1"/>
    <col min="13072" max="13073" width="20" style="85" customWidth="1"/>
    <col min="13074" max="13074" width="23" style="85" customWidth="1"/>
    <col min="13075" max="13312" width="9.140625" style="85"/>
    <col min="13313" max="13313" width="2.28515625" style="85" customWidth="1"/>
    <col min="13314" max="13314" width="22.28515625" style="85" customWidth="1"/>
    <col min="13315" max="13315" width="10.5703125" style="85" customWidth="1"/>
    <col min="13316" max="13316" width="22.140625" style="85" customWidth="1"/>
    <col min="13317" max="13317" width="22.28515625" style="85" customWidth="1"/>
    <col min="13318" max="13318" width="21.5703125" style="85" customWidth="1"/>
    <col min="13319" max="13319" width="21.28515625" style="85" customWidth="1"/>
    <col min="13320" max="13320" width="15.140625" style="85" customWidth="1"/>
    <col min="13321" max="13321" width="22.5703125" style="85" customWidth="1"/>
    <col min="13322" max="13323" width="21" style="85" customWidth="1"/>
    <col min="13324" max="13324" width="27.5703125" style="85" customWidth="1"/>
    <col min="13325" max="13325" width="26" style="85" customWidth="1"/>
    <col min="13326" max="13326" width="27.140625" style="85" customWidth="1"/>
    <col min="13327" max="13327" width="14.28515625" style="85" customWidth="1"/>
    <col min="13328" max="13329" width="20" style="85" customWidth="1"/>
    <col min="13330" max="13330" width="23" style="85" customWidth="1"/>
    <col min="13331" max="13568" width="9.140625" style="85"/>
    <col min="13569" max="13569" width="2.28515625" style="85" customWidth="1"/>
    <col min="13570" max="13570" width="22.28515625" style="85" customWidth="1"/>
    <col min="13571" max="13571" width="10.5703125" style="85" customWidth="1"/>
    <col min="13572" max="13572" width="22.140625" style="85" customWidth="1"/>
    <col min="13573" max="13573" width="22.28515625" style="85" customWidth="1"/>
    <col min="13574" max="13574" width="21.5703125" style="85" customWidth="1"/>
    <col min="13575" max="13575" width="21.28515625" style="85" customWidth="1"/>
    <col min="13576" max="13576" width="15.140625" style="85" customWidth="1"/>
    <col min="13577" max="13577" width="22.5703125" style="85" customWidth="1"/>
    <col min="13578" max="13579" width="21" style="85" customWidth="1"/>
    <col min="13580" max="13580" width="27.5703125" style="85" customWidth="1"/>
    <col min="13581" max="13581" width="26" style="85" customWidth="1"/>
    <col min="13582" max="13582" width="27.140625" style="85" customWidth="1"/>
    <col min="13583" max="13583" width="14.28515625" style="85" customWidth="1"/>
    <col min="13584" max="13585" width="20" style="85" customWidth="1"/>
    <col min="13586" max="13586" width="23" style="85" customWidth="1"/>
    <col min="13587" max="13824" width="9.140625" style="85"/>
    <col min="13825" max="13825" width="2.28515625" style="85" customWidth="1"/>
    <col min="13826" max="13826" width="22.28515625" style="85" customWidth="1"/>
    <col min="13827" max="13827" width="10.5703125" style="85" customWidth="1"/>
    <col min="13828" max="13828" width="22.140625" style="85" customWidth="1"/>
    <col min="13829" max="13829" width="22.28515625" style="85" customWidth="1"/>
    <col min="13830" max="13830" width="21.5703125" style="85" customWidth="1"/>
    <col min="13831" max="13831" width="21.28515625" style="85" customWidth="1"/>
    <col min="13832" max="13832" width="15.140625" style="85" customWidth="1"/>
    <col min="13833" max="13833" width="22.5703125" style="85" customWidth="1"/>
    <col min="13834" max="13835" width="21" style="85" customWidth="1"/>
    <col min="13836" max="13836" width="27.5703125" style="85" customWidth="1"/>
    <col min="13837" max="13837" width="26" style="85" customWidth="1"/>
    <col min="13838" max="13838" width="27.140625" style="85" customWidth="1"/>
    <col min="13839" max="13839" width="14.28515625" style="85" customWidth="1"/>
    <col min="13840" max="13841" width="20" style="85" customWidth="1"/>
    <col min="13842" max="13842" width="23" style="85" customWidth="1"/>
    <col min="13843" max="14080" width="9.140625" style="85"/>
    <col min="14081" max="14081" width="2.28515625" style="85" customWidth="1"/>
    <col min="14082" max="14082" width="22.28515625" style="85" customWidth="1"/>
    <col min="14083" max="14083" width="10.5703125" style="85" customWidth="1"/>
    <col min="14084" max="14084" width="22.140625" style="85" customWidth="1"/>
    <col min="14085" max="14085" width="22.28515625" style="85" customWidth="1"/>
    <col min="14086" max="14086" width="21.5703125" style="85" customWidth="1"/>
    <col min="14087" max="14087" width="21.28515625" style="85" customWidth="1"/>
    <col min="14088" max="14088" width="15.140625" style="85" customWidth="1"/>
    <col min="14089" max="14089" width="22.5703125" style="85" customWidth="1"/>
    <col min="14090" max="14091" width="21" style="85" customWidth="1"/>
    <col min="14092" max="14092" width="27.5703125" style="85" customWidth="1"/>
    <col min="14093" max="14093" width="26" style="85" customWidth="1"/>
    <col min="14094" max="14094" width="27.140625" style="85" customWidth="1"/>
    <col min="14095" max="14095" width="14.28515625" style="85" customWidth="1"/>
    <col min="14096" max="14097" width="20" style="85" customWidth="1"/>
    <col min="14098" max="14098" width="23" style="85" customWidth="1"/>
    <col min="14099" max="14336" width="9.140625" style="85"/>
    <col min="14337" max="14337" width="2.28515625" style="85" customWidth="1"/>
    <col min="14338" max="14338" width="22.28515625" style="85" customWidth="1"/>
    <col min="14339" max="14339" width="10.5703125" style="85" customWidth="1"/>
    <col min="14340" max="14340" width="22.140625" style="85" customWidth="1"/>
    <col min="14341" max="14341" width="22.28515625" style="85" customWidth="1"/>
    <col min="14342" max="14342" width="21.5703125" style="85" customWidth="1"/>
    <col min="14343" max="14343" width="21.28515625" style="85" customWidth="1"/>
    <col min="14344" max="14344" width="15.140625" style="85" customWidth="1"/>
    <col min="14345" max="14345" width="22.5703125" style="85" customWidth="1"/>
    <col min="14346" max="14347" width="21" style="85" customWidth="1"/>
    <col min="14348" max="14348" width="27.5703125" style="85" customWidth="1"/>
    <col min="14349" max="14349" width="26" style="85" customWidth="1"/>
    <col min="14350" max="14350" width="27.140625" style="85" customWidth="1"/>
    <col min="14351" max="14351" width="14.28515625" style="85" customWidth="1"/>
    <col min="14352" max="14353" width="20" style="85" customWidth="1"/>
    <col min="14354" max="14354" width="23" style="85" customWidth="1"/>
    <col min="14355" max="14592" width="9.140625" style="85"/>
    <col min="14593" max="14593" width="2.28515625" style="85" customWidth="1"/>
    <col min="14594" max="14594" width="22.28515625" style="85" customWidth="1"/>
    <col min="14595" max="14595" width="10.5703125" style="85" customWidth="1"/>
    <col min="14596" max="14596" width="22.140625" style="85" customWidth="1"/>
    <col min="14597" max="14597" width="22.28515625" style="85" customWidth="1"/>
    <col min="14598" max="14598" width="21.5703125" style="85" customWidth="1"/>
    <col min="14599" max="14599" width="21.28515625" style="85" customWidth="1"/>
    <col min="14600" max="14600" width="15.140625" style="85" customWidth="1"/>
    <col min="14601" max="14601" width="22.5703125" style="85" customWidth="1"/>
    <col min="14602" max="14603" width="21" style="85" customWidth="1"/>
    <col min="14604" max="14604" width="27.5703125" style="85" customWidth="1"/>
    <col min="14605" max="14605" width="26" style="85" customWidth="1"/>
    <col min="14606" max="14606" width="27.140625" style="85" customWidth="1"/>
    <col min="14607" max="14607" width="14.28515625" style="85" customWidth="1"/>
    <col min="14608" max="14609" width="20" style="85" customWidth="1"/>
    <col min="14610" max="14610" width="23" style="85" customWidth="1"/>
    <col min="14611" max="14848" width="9.140625" style="85"/>
    <col min="14849" max="14849" width="2.28515625" style="85" customWidth="1"/>
    <col min="14850" max="14850" width="22.28515625" style="85" customWidth="1"/>
    <col min="14851" max="14851" width="10.5703125" style="85" customWidth="1"/>
    <col min="14852" max="14852" width="22.140625" style="85" customWidth="1"/>
    <col min="14853" max="14853" width="22.28515625" style="85" customWidth="1"/>
    <col min="14854" max="14854" width="21.5703125" style="85" customWidth="1"/>
    <col min="14855" max="14855" width="21.28515625" style="85" customWidth="1"/>
    <col min="14856" max="14856" width="15.140625" style="85" customWidth="1"/>
    <col min="14857" max="14857" width="22.5703125" style="85" customWidth="1"/>
    <col min="14858" max="14859" width="21" style="85" customWidth="1"/>
    <col min="14860" max="14860" width="27.5703125" style="85" customWidth="1"/>
    <col min="14861" max="14861" width="26" style="85" customWidth="1"/>
    <col min="14862" max="14862" width="27.140625" style="85" customWidth="1"/>
    <col min="14863" max="14863" width="14.28515625" style="85" customWidth="1"/>
    <col min="14864" max="14865" width="20" style="85" customWidth="1"/>
    <col min="14866" max="14866" width="23" style="85" customWidth="1"/>
    <col min="14867" max="15104" width="9.140625" style="85"/>
    <col min="15105" max="15105" width="2.28515625" style="85" customWidth="1"/>
    <col min="15106" max="15106" width="22.28515625" style="85" customWidth="1"/>
    <col min="15107" max="15107" width="10.5703125" style="85" customWidth="1"/>
    <col min="15108" max="15108" width="22.140625" style="85" customWidth="1"/>
    <col min="15109" max="15109" width="22.28515625" style="85" customWidth="1"/>
    <col min="15110" max="15110" width="21.5703125" style="85" customWidth="1"/>
    <col min="15111" max="15111" width="21.28515625" style="85" customWidth="1"/>
    <col min="15112" max="15112" width="15.140625" style="85" customWidth="1"/>
    <col min="15113" max="15113" width="22.5703125" style="85" customWidth="1"/>
    <col min="15114" max="15115" width="21" style="85" customWidth="1"/>
    <col min="15116" max="15116" width="27.5703125" style="85" customWidth="1"/>
    <col min="15117" max="15117" width="26" style="85" customWidth="1"/>
    <col min="15118" max="15118" width="27.140625" style="85" customWidth="1"/>
    <col min="15119" max="15119" width="14.28515625" style="85" customWidth="1"/>
    <col min="15120" max="15121" width="20" style="85" customWidth="1"/>
    <col min="15122" max="15122" width="23" style="85" customWidth="1"/>
    <col min="15123" max="15360" width="9.140625" style="85"/>
    <col min="15361" max="15361" width="2.28515625" style="85" customWidth="1"/>
    <col min="15362" max="15362" width="22.28515625" style="85" customWidth="1"/>
    <col min="15363" max="15363" width="10.5703125" style="85" customWidth="1"/>
    <col min="15364" max="15364" width="22.140625" style="85" customWidth="1"/>
    <col min="15365" max="15365" width="22.28515625" style="85" customWidth="1"/>
    <col min="15366" max="15366" width="21.5703125" style="85" customWidth="1"/>
    <col min="15367" max="15367" width="21.28515625" style="85" customWidth="1"/>
    <col min="15368" max="15368" width="15.140625" style="85" customWidth="1"/>
    <col min="15369" max="15369" width="22.5703125" style="85" customWidth="1"/>
    <col min="15370" max="15371" width="21" style="85" customWidth="1"/>
    <col min="15372" max="15372" width="27.5703125" style="85" customWidth="1"/>
    <col min="15373" max="15373" width="26" style="85" customWidth="1"/>
    <col min="15374" max="15374" width="27.140625" style="85" customWidth="1"/>
    <col min="15375" max="15375" width="14.28515625" style="85" customWidth="1"/>
    <col min="15376" max="15377" width="20" style="85" customWidth="1"/>
    <col min="15378" max="15378" width="23" style="85" customWidth="1"/>
    <col min="15379" max="15616" width="9.140625" style="85"/>
    <col min="15617" max="15617" width="2.28515625" style="85" customWidth="1"/>
    <col min="15618" max="15618" width="22.28515625" style="85" customWidth="1"/>
    <col min="15619" max="15619" width="10.5703125" style="85" customWidth="1"/>
    <col min="15620" max="15620" width="22.140625" style="85" customWidth="1"/>
    <col min="15621" max="15621" width="22.28515625" style="85" customWidth="1"/>
    <col min="15622" max="15622" width="21.5703125" style="85" customWidth="1"/>
    <col min="15623" max="15623" width="21.28515625" style="85" customWidth="1"/>
    <col min="15624" max="15624" width="15.140625" style="85" customWidth="1"/>
    <col min="15625" max="15625" width="22.5703125" style="85" customWidth="1"/>
    <col min="15626" max="15627" width="21" style="85" customWidth="1"/>
    <col min="15628" max="15628" width="27.5703125" style="85" customWidth="1"/>
    <col min="15629" max="15629" width="26" style="85" customWidth="1"/>
    <col min="15630" max="15630" width="27.140625" style="85" customWidth="1"/>
    <col min="15631" max="15631" width="14.28515625" style="85" customWidth="1"/>
    <col min="15632" max="15633" width="20" style="85" customWidth="1"/>
    <col min="15634" max="15634" width="23" style="85" customWidth="1"/>
    <col min="15635" max="15872" width="9.140625" style="85"/>
    <col min="15873" max="15873" width="2.28515625" style="85" customWidth="1"/>
    <col min="15874" max="15874" width="22.28515625" style="85" customWidth="1"/>
    <col min="15875" max="15875" width="10.5703125" style="85" customWidth="1"/>
    <col min="15876" max="15876" width="22.140625" style="85" customWidth="1"/>
    <col min="15877" max="15877" width="22.28515625" style="85" customWidth="1"/>
    <col min="15878" max="15878" width="21.5703125" style="85" customWidth="1"/>
    <col min="15879" max="15879" width="21.28515625" style="85" customWidth="1"/>
    <col min="15880" max="15880" width="15.140625" style="85" customWidth="1"/>
    <col min="15881" max="15881" width="22.5703125" style="85" customWidth="1"/>
    <col min="15882" max="15883" width="21" style="85" customWidth="1"/>
    <col min="15884" max="15884" width="27.5703125" style="85" customWidth="1"/>
    <col min="15885" max="15885" width="26" style="85" customWidth="1"/>
    <col min="15886" max="15886" width="27.140625" style="85" customWidth="1"/>
    <col min="15887" max="15887" width="14.28515625" style="85" customWidth="1"/>
    <col min="15888" max="15889" width="20" style="85" customWidth="1"/>
    <col min="15890" max="15890" width="23" style="85" customWidth="1"/>
    <col min="15891" max="16128" width="9.140625" style="85"/>
    <col min="16129" max="16129" width="2.28515625" style="85" customWidth="1"/>
    <col min="16130" max="16130" width="22.28515625" style="85" customWidth="1"/>
    <col min="16131" max="16131" width="10.5703125" style="85" customWidth="1"/>
    <col min="16132" max="16132" width="22.140625" style="85" customWidth="1"/>
    <col min="16133" max="16133" width="22.28515625" style="85" customWidth="1"/>
    <col min="16134" max="16134" width="21.5703125" style="85" customWidth="1"/>
    <col min="16135" max="16135" width="21.28515625" style="85" customWidth="1"/>
    <col min="16136" max="16136" width="15.140625" style="85" customWidth="1"/>
    <col min="16137" max="16137" width="22.5703125" style="85" customWidth="1"/>
    <col min="16138" max="16139" width="21" style="85" customWidth="1"/>
    <col min="16140" max="16140" width="27.5703125" style="85" customWidth="1"/>
    <col min="16141" max="16141" width="26" style="85" customWidth="1"/>
    <col min="16142" max="16142" width="27.140625" style="85" customWidth="1"/>
    <col min="16143" max="16143" width="14.28515625" style="85" customWidth="1"/>
    <col min="16144" max="16145" width="20" style="85" customWidth="1"/>
    <col min="16146" max="16146" width="23" style="85" customWidth="1"/>
    <col min="16147" max="16384" width="9.140625" style="85"/>
  </cols>
  <sheetData>
    <row r="1" spans="2:15" ht="21" customHeight="1" x14ac:dyDescent="0.25">
      <c r="B1" s="178" t="s">
        <v>178</v>
      </c>
      <c r="C1" s="178"/>
      <c r="D1" s="178"/>
      <c r="E1" s="178"/>
      <c r="F1" s="178"/>
      <c r="G1" s="178"/>
      <c r="H1" s="178"/>
      <c r="I1" s="178"/>
      <c r="J1" s="178"/>
      <c r="K1" s="178"/>
      <c r="L1" s="178"/>
      <c r="M1" s="178"/>
      <c r="N1" s="178"/>
      <c r="O1" s="178"/>
    </row>
    <row r="2" spans="2:15" ht="24.75" customHeight="1" x14ac:dyDescent="0.25">
      <c r="B2" s="178" t="s">
        <v>179</v>
      </c>
      <c r="C2" s="178"/>
      <c r="D2" s="178"/>
      <c r="E2" s="178"/>
      <c r="F2" s="178"/>
      <c r="G2" s="178"/>
      <c r="H2" s="86"/>
      <c r="I2" s="178" t="s">
        <v>180</v>
      </c>
      <c r="J2" s="178"/>
      <c r="K2" s="86"/>
      <c r="L2" s="178" t="s">
        <v>181</v>
      </c>
      <c r="M2" s="178"/>
      <c r="N2" s="178"/>
      <c r="O2" s="178"/>
    </row>
    <row r="3" spans="2:15" ht="18" customHeight="1" x14ac:dyDescent="0.25">
      <c r="B3" s="179" t="s">
        <v>17</v>
      </c>
      <c r="C3" s="179"/>
      <c r="D3" s="179" t="s">
        <v>182</v>
      </c>
      <c r="E3" s="179"/>
      <c r="F3" s="179" t="s">
        <v>183</v>
      </c>
      <c r="G3" s="179"/>
      <c r="H3" s="86"/>
      <c r="I3" s="178"/>
      <c r="J3" s="178"/>
      <c r="K3" s="86"/>
      <c r="L3" s="178"/>
      <c r="M3" s="178"/>
      <c r="N3" s="178"/>
      <c r="O3" s="178"/>
    </row>
    <row r="4" spans="2:15" ht="71.25" x14ac:dyDescent="0.25">
      <c r="B4" s="179"/>
      <c r="C4" s="179"/>
      <c r="D4" s="87" t="s">
        <v>184</v>
      </c>
      <c r="E4" s="87" t="s">
        <v>185</v>
      </c>
      <c r="F4" s="87" t="s">
        <v>184</v>
      </c>
      <c r="G4" s="87" t="s">
        <v>185</v>
      </c>
      <c r="H4" s="86"/>
      <c r="I4" s="87" t="s">
        <v>17</v>
      </c>
      <c r="J4" s="26" t="s">
        <v>186</v>
      </c>
      <c r="K4" s="86"/>
      <c r="L4" s="26" t="s">
        <v>187</v>
      </c>
      <c r="M4" s="26" t="s">
        <v>188</v>
      </c>
      <c r="N4" s="26" t="s">
        <v>96</v>
      </c>
      <c r="O4" s="26" t="s">
        <v>189</v>
      </c>
    </row>
    <row r="5" spans="2:15" ht="42.75" x14ac:dyDescent="0.25">
      <c r="B5" s="180" t="s">
        <v>12</v>
      </c>
      <c r="C5" s="180"/>
      <c r="D5" s="89">
        <v>2.2222222222222223E-2</v>
      </c>
      <c r="E5" s="89">
        <v>0.14583333333333334</v>
      </c>
      <c r="F5" s="90">
        <f t="shared" ref="F5:G17" si="0">(D5-INT($D$20))*24*$D$19</f>
        <v>0.66666666666666663</v>
      </c>
      <c r="G5" s="90">
        <f t="shared" si="0"/>
        <v>4.375</v>
      </c>
      <c r="H5" s="86"/>
      <c r="I5" s="88" t="s">
        <v>12</v>
      </c>
      <c r="J5" s="91">
        <v>20</v>
      </c>
      <c r="K5" s="86"/>
      <c r="L5" s="29" t="s">
        <v>190</v>
      </c>
      <c r="M5" s="92">
        <v>4.9000000000000004</v>
      </c>
      <c r="N5" s="93">
        <f>SUM('BE - Santa Lúcia'!S24,'BE - Santa Lúcia'!S30)</f>
        <v>1249.041095890411</v>
      </c>
      <c r="O5" s="68">
        <f>(M5/1000)*N5</f>
        <v>6.1203013698630153</v>
      </c>
    </row>
    <row r="6" spans="2:15" x14ac:dyDescent="0.25">
      <c r="B6" s="180" t="s">
        <v>191</v>
      </c>
      <c r="C6" s="180"/>
      <c r="D6" s="89">
        <v>3.125E-2</v>
      </c>
      <c r="E6" s="89">
        <v>0.13541666666666666</v>
      </c>
      <c r="F6" s="90">
        <f t="shared" si="0"/>
        <v>0.9375</v>
      </c>
      <c r="G6" s="90">
        <f t="shared" si="0"/>
        <v>4.0625</v>
      </c>
      <c r="H6" s="86"/>
      <c r="I6" s="88" t="s">
        <v>191</v>
      </c>
      <c r="J6" s="91">
        <v>20</v>
      </c>
      <c r="K6" s="86"/>
      <c r="L6" s="29" t="s">
        <v>27</v>
      </c>
      <c r="M6" s="92">
        <v>11</v>
      </c>
      <c r="N6" s="93">
        <f>'BE - Santa Lúcia'!S25</f>
        <v>0</v>
      </c>
      <c r="O6" s="68">
        <f>(M6/1000)*N6</f>
        <v>0</v>
      </c>
    </row>
    <row r="7" spans="2:15" x14ac:dyDescent="0.25">
      <c r="B7" s="180" t="s">
        <v>192</v>
      </c>
      <c r="C7" s="180"/>
      <c r="D7" s="89">
        <v>3.1944444444444449E-2</v>
      </c>
      <c r="E7" s="89">
        <v>0.21180555555555555</v>
      </c>
      <c r="F7" s="90">
        <f t="shared" si="0"/>
        <v>0.95833333333333348</v>
      </c>
      <c r="G7" s="90">
        <f t="shared" si="0"/>
        <v>6.3541666666666661</v>
      </c>
      <c r="H7" s="86"/>
      <c r="I7" s="88" t="s">
        <v>192</v>
      </c>
      <c r="J7" s="91">
        <v>20</v>
      </c>
      <c r="K7" s="86"/>
      <c r="L7" s="29" t="s">
        <v>56</v>
      </c>
      <c r="M7" s="92">
        <v>18</v>
      </c>
      <c r="N7" s="93">
        <f>'BE - Santa Lúcia'!S26</f>
        <v>0</v>
      </c>
      <c r="O7" s="68">
        <f>(M7/1000)*N7</f>
        <v>0</v>
      </c>
    </row>
    <row r="8" spans="2:15" x14ac:dyDescent="0.25">
      <c r="B8" s="180" t="s">
        <v>193</v>
      </c>
      <c r="C8" s="180"/>
      <c r="D8" s="89">
        <v>4.8611111111111112E-2</v>
      </c>
      <c r="E8" s="89">
        <v>0.21944444444444444</v>
      </c>
      <c r="F8" s="90">
        <f t="shared" si="0"/>
        <v>1.4583333333333335</v>
      </c>
      <c r="G8" s="90">
        <f t="shared" si="0"/>
        <v>6.583333333333333</v>
      </c>
      <c r="H8" s="86"/>
      <c r="I8" s="88" t="s">
        <v>193</v>
      </c>
      <c r="J8" s="91">
        <f>30*(60/40)</f>
        <v>45</v>
      </c>
      <c r="K8" s="86"/>
      <c r="L8" s="29" t="s">
        <v>93</v>
      </c>
      <c r="M8" s="92">
        <v>6</v>
      </c>
      <c r="N8" s="93">
        <f>'BE - Santa Lúcia'!S27</f>
        <v>0</v>
      </c>
      <c r="O8" s="68">
        <f>(M8/1000)*N8</f>
        <v>0</v>
      </c>
    </row>
    <row r="9" spans="2:15" ht="28.5" x14ac:dyDescent="0.25">
      <c r="B9" s="180" t="s">
        <v>194</v>
      </c>
      <c r="C9" s="180"/>
      <c r="D9" s="89">
        <v>1.7361111111111112E-2</v>
      </c>
      <c r="E9" s="89">
        <v>9.0277777777777776E-2</v>
      </c>
      <c r="F9" s="90">
        <f t="shared" si="0"/>
        <v>0.52083333333333337</v>
      </c>
      <c r="G9" s="90">
        <f t="shared" si="0"/>
        <v>2.708333333333333</v>
      </c>
      <c r="H9" s="86"/>
      <c r="I9" s="88" t="s">
        <v>194</v>
      </c>
      <c r="J9" s="91">
        <v>15</v>
      </c>
      <c r="K9" s="86"/>
      <c r="L9" s="29" t="s">
        <v>195</v>
      </c>
      <c r="M9" s="92">
        <v>0.95</v>
      </c>
      <c r="N9" s="93">
        <f>'BE - Santa Lúcia'!S28+'BE - Santa Lúcia'!S29</f>
        <v>0</v>
      </c>
      <c r="O9" s="68">
        <f>(M9/1000)*N9</f>
        <v>0</v>
      </c>
    </row>
    <row r="10" spans="2:15" x14ac:dyDescent="0.25">
      <c r="B10" s="180" t="s">
        <v>196</v>
      </c>
      <c r="C10" s="180"/>
      <c r="D10" s="89">
        <v>3.1944444444444449E-2</v>
      </c>
      <c r="E10" s="89">
        <v>0.13194444444444445</v>
      </c>
      <c r="F10" s="90">
        <f t="shared" si="0"/>
        <v>0.95833333333333348</v>
      </c>
      <c r="G10" s="90">
        <f t="shared" si="0"/>
        <v>3.9583333333333339</v>
      </c>
      <c r="H10" s="86"/>
      <c r="I10" s="88" t="s">
        <v>196</v>
      </c>
      <c r="J10" s="91">
        <v>15</v>
      </c>
      <c r="K10" s="86"/>
      <c r="L10" s="170" t="s">
        <v>197</v>
      </c>
      <c r="M10" s="170"/>
      <c r="N10" s="170"/>
      <c r="O10" s="94">
        <f>SUM(O5:O9)</f>
        <v>6.1203013698630153</v>
      </c>
    </row>
    <row r="11" spans="2:15" x14ac:dyDescent="0.25">
      <c r="B11" s="180" t="s">
        <v>14</v>
      </c>
      <c r="C11" s="180"/>
      <c r="D11" s="89">
        <v>2.4305555555555556E-2</v>
      </c>
      <c r="E11" s="89">
        <v>0.10972222222222222</v>
      </c>
      <c r="F11" s="90">
        <f t="shared" si="0"/>
        <v>0.72916666666666674</v>
      </c>
      <c r="G11" s="90">
        <f t="shared" si="0"/>
        <v>3.2916666666666665</v>
      </c>
      <c r="H11" s="86"/>
      <c r="I11" s="88" t="s">
        <v>14</v>
      </c>
      <c r="J11" s="91">
        <v>12</v>
      </c>
      <c r="K11" s="86"/>
      <c r="L11" s="53"/>
      <c r="M11" s="53"/>
      <c r="N11" s="86"/>
      <c r="O11" s="86"/>
    </row>
    <row r="12" spans="2:15" x14ac:dyDescent="0.25">
      <c r="B12" s="180" t="s">
        <v>198</v>
      </c>
      <c r="C12" s="180"/>
      <c r="D12" s="89">
        <v>4.1666666666666664E-2</v>
      </c>
      <c r="E12" s="89">
        <v>0.18055555555555555</v>
      </c>
      <c r="F12" s="90">
        <f t="shared" si="0"/>
        <v>1.25</v>
      </c>
      <c r="G12" s="90">
        <f t="shared" si="0"/>
        <v>5.4166666666666661</v>
      </c>
      <c r="H12" s="86"/>
      <c r="I12" s="88" t="s">
        <v>198</v>
      </c>
      <c r="J12" s="91">
        <v>35</v>
      </c>
      <c r="K12" s="86"/>
      <c r="L12" s="53"/>
      <c r="M12" s="53"/>
      <c r="N12" s="86"/>
      <c r="O12" s="86"/>
    </row>
    <row r="13" spans="2:15" x14ac:dyDescent="0.25">
      <c r="B13" s="180" t="s">
        <v>199</v>
      </c>
      <c r="C13" s="180"/>
      <c r="D13" s="89">
        <v>2.4305555555555556E-2</v>
      </c>
      <c r="E13" s="89">
        <v>0.16458333333333333</v>
      </c>
      <c r="F13" s="90">
        <f t="shared" si="0"/>
        <v>0.72916666666666674</v>
      </c>
      <c r="G13" s="90">
        <f t="shared" si="0"/>
        <v>4.9375</v>
      </c>
      <c r="H13" s="86"/>
      <c r="I13" s="88" t="s">
        <v>199</v>
      </c>
      <c r="J13" s="91">
        <v>20</v>
      </c>
      <c r="K13" s="86"/>
      <c r="L13" s="53"/>
      <c r="M13" s="53"/>
      <c r="N13" s="86"/>
      <c r="O13" s="86"/>
    </row>
    <row r="14" spans="2:15" x14ac:dyDescent="0.25">
      <c r="B14" s="180" t="s">
        <v>18</v>
      </c>
      <c r="C14" s="180"/>
      <c r="D14" s="89">
        <v>2.4305555555555556E-2</v>
      </c>
      <c r="E14" s="89">
        <v>0.1111111111111111</v>
      </c>
      <c r="F14" s="90">
        <f t="shared" si="0"/>
        <v>0.72916666666666674</v>
      </c>
      <c r="G14" s="90">
        <f t="shared" si="0"/>
        <v>3.333333333333333</v>
      </c>
      <c r="H14" s="86"/>
      <c r="I14" s="88" t="s">
        <v>18</v>
      </c>
      <c r="J14" s="91">
        <v>12</v>
      </c>
      <c r="K14" s="86"/>
      <c r="L14" s="53"/>
      <c r="M14" s="53"/>
      <c r="N14" s="86"/>
      <c r="O14" s="86"/>
    </row>
    <row r="15" spans="2:15" x14ac:dyDescent="0.25">
      <c r="B15" s="180" t="s">
        <v>200</v>
      </c>
      <c r="C15" s="180"/>
      <c r="D15" s="89">
        <v>1.7361111111111112E-2</v>
      </c>
      <c r="E15" s="89">
        <v>9.0277777777777776E-2</v>
      </c>
      <c r="F15" s="90">
        <f t="shared" si="0"/>
        <v>0.52083333333333337</v>
      </c>
      <c r="G15" s="90">
        <f t="shared" si="0"/>
        <v>2.708333333333333</v>
      </c>
      <c r="H15" s="86"/>
      <c r="I15" s="88" t="s">
        <v>200</v>
      </c>
      <c r="J15" s="91">
        <v>12</v>
      </c>
      <c r="K15" s="86"/>
      <c r="L15" s="53"/>
      <c r="M15" s="53"/>
      <c r="N15" s="86"/>
      <c r="O15" s="86"/>
    </row>
    <row r="16" spans="2:15" x14ac:dyDescent="0.25">
      <c r="B16" s="180" t="s">
        <v>201</v>
      </c>
      <c r="C16" s="180"/>
      <c r="D16" s="89">
        <v>2.2222222222222223E-2</v>
      </c>
      <c r="E16" s="89">
        <v>9.375E-2</v>
      </c>
      <c r="F16" s="90">
        <f t="shared" si="0"/>
        <v>0.66666666666666663</v>
      </c>
      <c r="G16" s="90">
        <f t="shared" si="0"/>
        <v>2.8125</v>
      </c>
      <c r="H16" s="86"/>
      <c r="I16" s="88" t="s">
        <v>201</v>
      </c>
      <c r="J16" s="91">
        <v>20</v>
      </c>
      <c r="K16" s="86"/>
      <c r="L16" s="53"/>
      <c r="M16" s="53"/>
      <c r="N16" s="86"/>
      <c r="O16" s="86"/>
    </row>
    <row r="17" spans="2:16" x14ac:dyDescent="0.25">
      <c r="B17" s="180" t="s">
        <v>19</v>
      </c>
      <c r="C17" s="180"/>
      <c r="D17" s="89">
        <v>3.1944444444444449E-2</v>
      </c>
      <c r="E17" s="89">
        <v>0.13194444444444445</v>
      </c>
      <c r="F17" s="90">
        <f t="shared" si="0"/>
        <v>0.95833333333333348</v>
      </c>
      <c r="G17" s="90">
        <f t="shared" si="0"/>
        <v>3.9583333333333339</v>
      </c>
      <c r="H17" s="86"/>
      <c r="I17" s="88" t="s">
        <v>19</v>
      </c>
      <c r="J17" s="91">
        <v>13</v>
      </c>
      <c r="K17" s="86"/>
      <c r="L17" s="53"/>
      <c r="M17" s="53"/>
      <c r="N17" s="86"/>
      <c r="O17" s="86"/>
    </row>
    <row r="19" spans="2:16" x14ac:dyDescent="0.25">
      <c r="B19" s="179" t="s">
        <v>202</v>
      </c>
      <c r="C19" s="179"/>
      <c r="D19" s="95">
        <v>1.25</v>
      </c>
      <c r="E19" s="96"/>
    </row>
    <row r="20" spans="2:16" x14ac:dyDescent="0.25">
      <c r="B20" s="179" t="s">
        <v>203</v>
      </c>
      <c r="C20" s="179"/>
      <c r="D20" s="89">
        <v>0</v>
      </c>
    </row>
    <row r="21" spans="2:16" x14ac:dyDescent="0.25">
      <c r="B21" s="179" t="s">
        <v>204</v>
      </c>
      <c r="C21" s="179"/>
      <c r="D21" s="93">
        <v>1016</v>
      </c>
    </row>
    <row r="22" spans="2:16" ht="15" thickBot="1" x14ac:dyDescent="0.3">
      <c r="B22" s="97"/>
      <c r="C22" s="97"/>
      <c r="D22" s="97"/>
      <c r="E22" s="97"/>
      <c r="F22" s="97"/>
      <c r="G22" s="97"/>
      <c r="H22" s="97"/>
      <c r="I22" s="97"/>
      <c r="J22" s="97"/>
      <c r="K22" s="97"/>
      <c r="L22" s="97"/>
      <c r="M22" s="97"/>
      <c r="N22" s="97"/>
      <c r="O22" s="97"/>
      <c r="P22" s="97"/>
    </row>
    <row r="23" spans="2:16" ht="15" thickTop="1" x14ac:dyDescent="0.25"/>
    <row r="24" spans="2:16" ht="21.75" customHeight="1" x14ac:dyDescent="0.25">
      <c r="B24" s="178" t="s">
        <v>205</v>
      </c>
      <c r="C24" s="178"/>
      <c r="D24" s="178"/>
      <c r="E24" s="178"/>
      <c r="F24" s="178"/>
      <c r="G24" s="178"/>
      <c r="H24" s="178"/>
      <c r="I24" s="178"/>
      <c r="J24" s="178"/>
      <c r="K24" s="178"/>
      <c r="L24" s="178"/>
      <c r="M24" s="178"/>
      <c r="N24" s="178"/>
      <c r="O24" s="178"/>
      <c r="P24" s="178"/>
    </row>
    <row r="25" spans="2:16" ht="18.75" customHeight="1" x14ac:dyDescent="0.25">
      <c r="B25" s="181" t="s">
        <v>17</v>
      </c>
      <c r="C25" s="181" t="s">
        <v>15</v>
      </c>
      <c r="D25" s="181" t="s">
        <v>206</v>
      </c>
      <c r="E25" s="181" t="s">
        <v>207</v>
      </c>
      <c r="F25" s="181"/>
      <c r="G25" s="181" t="s">
        <v>208</v>
      </c>
      <c r="H25" s="181"/>
      <c r="I25" s="181" t="s">
        <v>184</v>
      </c>
      <c r="J25" s="181" t="s">
        <v>185</v>
      </c>
      <c r="K25" s="181" t="s">
        <v>256</v>
      </c>
      <c r="L25" s="181" t="s">
        <v>210</v>
      </c>
      <c r="M25" s="178" t="s">
        <v>211</v>
      </c>
      <c r="N25" s="178"/>
      <c r="O25" s="178"/>
      <c r="P25" s="178"/>
    </row>
    <row r="26" spans="2:16" ht="42.75" x14ac:dyDescent="0.25">
      <c r="B26" s="181"/>
      <c r="C26" s="181"/>
      <c r="D26" s="181"/>
      <c r="E26" s="98" t="s">
        <v>212</v>
      </c>
      <c r="F26" s="98" t="s">
        <v>213</v>
      </c>
      <c r="G26" s="98" t="s">
        <v>212</v>
      </c>
      <c r="H26" s="98" t="s">
        <v>213</v>
      </c>
      <c r="I26" s="181"/>
      <c r="J26" s="181"/>
      <c r="K26" s="181"/>
      <c r="L26" s="181"/>
      <c r="M26" s="99" t="s">
        <v>214</v>
      </c>
      <c r="N26" s="99" t="s">
        <v>215</v>
      </c>
      <c r="O26" s="99" t="s">
        <v>216</v>
      </c>
      <c r="P26" s="99" t="s">
        <v>217</v>
      </c>
    </row>
    <row r="27" spans="2:16" x14ac:dyDescent="0.25">
      <c r="B27" s="88" t="str">
        <f>$B$17</f>
        <v>Sitio Santa Lúcia</v>
      </c>
      <c r="C27" s="100">
        <f>YEAR(D27)</f>
        <v>2019</v>
      </c>
      <c r="D27" s="101">
        <v>43586</v>
      </c>
      <c r="E27" s="102">
        <v>0.3125</v>
      </c>
      <c r="F27" s="103">
        <v>0.39583333333333331</v>
      </c>
      <c r="G27" s="103">
        <v>0.3125</v>
      </c>
      <c r="H27" s="103">
        <v>0.47916666666666669</v>
      </c>
      <c r="I27" s="90">
        <f>((F27-E27)-INT($D$20))*24</f>
        <v>1.9999999999999996</v>
      </c>
      <c r="J27" s="90">
        <f t="shared" ref="J27:J90" si="1">((H27-G27)-INT($D$20))*24</f>
        <v>4</v>
      </c>
      <c r="K27" s="91">
        <f>VLOOKUP(B27,$B$5:$J$17,5,FALSE)</f>
        <v>0.95833333333333348</v>
      </c>
      <c r="L27" s="91">
        <f>VLOOKUP(B27,$B$5:$J$17,6,FALSE)</f>
        <v>3.9583333333333339</v>
      </c>
      <c r="M27" s="29">
        <f>VLOOKUP(B27,$I$5:$J$17,2,FALSE)</f>
        <v>13</v>
      </c>
      <c r="N27" s="92">
        <f t="shared" ref="N27:N90" si="2">I27</f>
        <v>1.9999999999999996</v>
      </c>
      <c r="O27" s="104">
        <f t="shared" ref="O27:O90" si="3">$D$21/1000</f>
        <v>1.016</v>
      </c>
      <c r="P27" s="105">
        <f t="shared" ref="P27:P90" si="4">M27*N27*O27*0.7</f>
        <v>18.491199999999996</v>
      </c>
    </row>
    <row r="28" spans="2:16" x14ac:dyDescent="0.25">
      <c r="B28" s="88" t="str">
        <f>$B$17</f>
        <v>Sitio Santa Lúcia</v>
      </c>
      <c r="C28" s="100">
        <f t="shared" ref="C28:C91" si="5">YEAR(D28)</f>
        <v>2019</v>
      </c>
      <c r="D28" s="101">
        <v>43587</v>
      </c>
      <c r="E28" s="102">
        <v>0.29166666666666669</v>
      </c>
      <c r="F28" s="103">
        <v>0.375</v>
      </c>
      <c r="G28" s="103">
        <v>0.29166666666666669</v>
      </c>
      <c r="H28" s="103">
        <v>0.45833333333333331</v>
      </c>
      <c r="I28" s="90">
        <f t="shared" ref="I28:I91" si="6">((F28-E28)-INT($D$20))*24</f>
        <v>1.9999999999999996</v>
      </c>
      <c r="J28" s="90">
        <f t="shared" si="1"/>
        <v>3.9999999999999991</v>
      </c>
      <c r="K28" s="91">
        <f>VLOOKUP(B28,$B$5:$J$17,5,FALSE)</f>
        <v>0.95833333333333348</v>
      </c>
      <c r="L28" s="91">
        <f>VLOOKUP(B28,$B$5:$J$17,6,FALSE)</f>
        <v>3.9583333333333339</v>
      </c>
      <c r="M28" s="29">
        <f t="shared" ref="M28:M91" si="7">VLOOKUP(B28,$I$5:$J$17,2,FALSE)</f>
        <v>13</v>
      </c>
      <c r="N28" s="92">
        <f t="shared" si="2"/>
        <v>1.9999999999999996</v>
      </c>
      <c r="O28" s="104">
        <f t="shared" si="3"/>
        <v>1.016</v>
      </c>
      <c r="P28" s="105">
        <f t="shared" si="4"/>
        <v>18.491199999999996</v>
      </c>
    </row>
    <row r="29" spans="2:16" x14ac:dyDescent="0.25">
      <c r="B29" s="88" t="str">
        <f>$B$17</f>
        <v>Sitio Santa Lúcia</v>
      </c>
      <c r="C29" s="100">
        <f t="shared" si="5"/>
        <v>2019</v>
      </c>
      <c r="D29" s="101">
        <v>43588</v>
      </c>
      <c r="E29" s="102">
        <v>0.29166666666666669</v>
      </c>
      <c r="F29" s="103">
        <v>0.375</v>
      </c>
      <c r="G29" s="103">
        <v>0.29166666666666669</v>
      </c>
      <c r="H29" s="103">
        <v>0.45833333333333331</v>
      </c>
      <c r="I29" s="90">
        <f t="shared" si="6"/>
        <v>1.9999999999999996</v>
      </c>
      <c r="J29" s="90">
        <f t="shared" si="1"/>
        <v>3.9999999999999991</v>
      </c>
      <c r="K29" s="91">
        <f t="shared" ref="K29:K92" si="8">VLOOKUP(B29,$B$5:$J$17,5,FALSE)</f>
        <v>0.95833333333333348</v>
      </c>
      <c r="L29" s="91">
        <f t="shared" ref="L29:L92" si="9">VLOOKUP(B29,$B$5:$J$17,6,FALSE)</f>
        <v>3.9583333333333339</v>
      </c>
      <c r="M29" s="29">
        <f t="shared" si="7"/>
        <v>13</v>
      </c>
      <c r="N29" s="92">
        <f t="shared" si="2"/>
        <v>1.9999999999999996</v>
      </c>
      <c r="O29" s="104">
        <f t="shared" si="3"/>
        <v>1.016</v>
      </c>
      <c r="P29" s="105">
        <f t="shared" si="4"/>
        <v>18.491199999999996</v>
      </c>
    </row>
    <row r="30" spans="2:16" x14ac:dyDescent="0.25">
      <c r="B30" s="88" t="str">
        <f>$B$17</f>
        <v>Sitio Santa Lúcia</v>
      </c>
      <c r="C30" s="100">
        <f t="shared" si="5"/>
        <v>2019</v>
      </c>
      <c r="D30" s="101">
        <v>43589</v>
      </c>
      <c r="E30" s="102">
        <v>0.33333333333333331</v>
      </c>
      <c r="F30" s="103">
        <v>0.41666666666666669</v>
      </c>
      <c r="G30" s="103">
        <v>0.33333333333333331</v>
      </c>
      <c r="H30" s="103">
        <v>0.5</v>
      </c>
      <c r="I30" s="90">
        <f t="shared" si="6"/>
        <v>2.0000000000000009</v>
      </c>
      <c r="J30" s="90">
        <f t="shared" si="1"/>
        <v>4</v>
      </c>
      <c r="K30" s="91">
        <f t="shared" si="8"/>
        <v>0.95833333333333348</v>
      </c>
      <c r="L30" s="91">
        <f t="shared" si="9"/>
        <v>3.9583333333333339</v>
      </c>
      <c r="M30" s="29">
        <f t="shared" si="7"/>
        <v>13</v>
      </c>
      <c r="N30" s="92">
        <f t="shared" si="2"/>
        <v>2.0000000000000009</v>
      </c>
      <c r="O30" s="104">
        <f t="shared" si="3"/>
        <v>1.016</v>
      </c>
      <c r="P30" s="105">
        <f t="shared" si="4"/>
        <v>18.491200000000006</v>
      </c>
    </row>
    <row r="31" spans="2:16" x14ac:dyDescent="0.25">
      <c r="B31" s="88" t="str">
        <f>$B$17</f>
        <v>Sitio Santa Lúcia</v>
      </c>
      <c r="C31" s="100">
        <f t="shared" si="5"/>
        <v>2019</v>
      </c>
      <c r="D31" s="101">
        <v>43590</v>
      </c>
      <c r="E31" s="102">
        <v>0.29166666666666669</v>
      </c>
      <c r="F31" s="103">
        <v>0.375</v>
      </c>
      <c r="G31" s="103">
        <v>0.41666666666666669</v>
      </c>
      <c r="H31" s="103">
        <v>0.45833333333333331</v>
      </c>
      <c r="I31" s="90">
        <f t="shared" si="6"/>
        <v>1.9999999999999996</v>
      </c>
      <c r="J31" s="90">
        <f t="shared" si="1"/>
        <v>0.99999999999999911</v>
      </c>
      <c r="K31" s="91">
        <f t="shared" si="8"/>
        <v>0.95833333333333348</v>
      </c>
      <c r="L31" s="91">
        <f t="shared" si="9"/>
        <v>3.9583333333333339</v>
      </c>
      <c r="M31" s="29">
        <f>VLOOKUP(B31,$I$5:$J$17,2,FALSE)</f>
        <v>13</v>
      </c>
      <c r="N31" s="92">
        <f t="shared" si="2"/>
        <v>1.9999999999999996</v>
      </c>
      <c r="O31" s="104">
        <f t="shared" si="3"/>
        <v>1.016</v>
      </c>
      <c r="P31" s="105">
        <f t="shared" si="4"/>
        <v>18.491199999999996</v>
      </c>
    </row>
    <row r="32" spans="2:16" x14ac:dyDescent="0.25">
      <c r="B32" s="88" t="str">
        <f t="shared" ref="B32:B95" si="10">$B$17</f>
        <v>Sitio Santa Lúcia</v>
      </c>
      <c r="C32" s="100">
        <f t="shared" si="5"/>
        <v>2019</v>
      </c>
      <c r="D32" s="101">
        <v>43591</v>
      </c>
      <c r="E32" s="102">
        <v>0.25</v>
      </c>
      <c r="F32" s="103">
        <v>0.29166666666666669</v>
      </c>
      <c r="G32" s="103">
        <v>0.33333333333333298</v>
      </c>
      <c r="H32" s="103">
        <v>0.41666666666666669</v>
      </c>
      <c r="I32" s="90">
        <f t="shared" si="6"/>
        <v>1.0000000000000004</v>
      </c>
      <c r="J32" s="90">
        <f t="shared" si="1"/>
        <v>2.0000000000000089</v>
      </c>
      <c r="K32" s="91">
        <f t="shared" si="8"/>
        <v>0.95833333333333348</v>
      </c>
      <c r="L32" s="91">
        <f t="shared" si="9"/>
        <v>3.9583333333333339</v>
      </c>
      <c r="M32" s="29">
        <f t="shared" si="7"/>
        <v>13</v>
      </c>
      <c r="N32" s="92">
        <f t="shared" si="2"/>
        <v>1.0000000000000004</v>
      </c>
      <c r="O32" s="104">
        <f t="shared" si="3"/>
        <v>1.016</v>
      </c>
      <c r="P32" s="105">
        <f t="shared" si="4"/>
        <v>9.2456000000000031</v>
      </c>
    </row>
    <row r="33" spans="2:16" x14ac:dyDescent="0.25">
      <c r="B33" s="88" t="str">
        <f t="shared" si="10"/>
        <v>Sitio Santa Lúcia</v>
      </c>
      <c r="C33" s="100">
        <f t="shared" si="5"/>
        <v>2019</v>
      </c>
      <c r="D33" s="101">
        <v>43592</v>
      </c>
      <c r="E33" s="102">
        <v>0.29166666666666669</v>
      </c>
      <c r="F33" s="103">
        <v>0.41666666666666669</v>
      </c>
      <c r="G33" s="103">
        <v>0.45833333333333331</v>
      </c>
      <c r="H33" s="103">
        <v>0.5</v>
      </c>
      <c r="I33" s="90">
        <f t="shared" si="6"/>
        <v>3</v>
      </c>
      <c r="J33" s="90">
        <f t="shared" si="1"/>
        <v>1.0000000000000004</v>
      </c>
      <c r="K33" s="91">
        <f t="shared" si="8"/>
        <v>0.95833333333333348</v>
      </c>
      <c r="L33" s="91">
        <f t="shared" si="9"/>
        <v>3.9583333333333339</v>
      </c>
      <c r="M33" s="29">
        <f t="shared" si="7"/>
        <v>13</v>
      </c>
      <c r="N33" s="92">
        <f t="shared" si="2"/>
        <v>3</v>
      </c>
      <c r="O33" s="104">
        <f t="shared" si="3"/>
        <v>1.016</v>
      </c>
      <c r="P33" s="105">
        <f t="shared" si="4"/>
        <v>27.736799999999999</v>
      </c>
    </row>
    <row r="34" spans="2:16" x14ac:dyDescent="0.25">
      <c r="B34" s="88" t="str">
        <f t="shared" si="10"/>
        <v>Sitio Santa Lúcia</v>
      </c>
      <c r="C34" s="100">
        <f t="shared" si="5"/>
        <v>2019</v>
      </c>
      <c r="D34" s="101">
        <v>43593</v>
      </c>
      <c r="E34" s="102">
        <v>0.33333333333333298</v>
      </c>
      <c r="F34" s="103">
        <v>0.41666666666666669</v>
      </c>
      <c r="G34" s="103">
        <v>0.29166666666666669</v>
      </c>
      <c r="H34" s="103">
        <v>0.41666666666666669</v>
      </c>
      <c r="I34" s="90">
        <f t="shared" si="6"/>
        <v>2.0000000000000089</v>
      </c>
      <c r="J34" s="90">
        <f t="shared" si="1"/>
        <v>3</v>
      </c>
      <c r="K34" s="91">
        <f t="shared" si="8"/>
        <v>0.95833333333333348</v>
      </c>
      <c r="L34" s="91">
        <f t="shared" si="9"/>
        <v>3.9583333333333339</v>
      </c>
      <c r="M34" s="29">
        <f t="shared" si="7"/>
        <v>13</v>
      </c>
      <c r="N34" s="92">
        <f t="shared" si="2"/>
        <v>2.0000000000000089</v>
      </c>
      <c r="O34" s="104">
        <f t="shared" si="3"/>
        <v>1.016</v>
      </c>
      <c r="P34" s="105">
        <f t="shared" si="4"/>
        <v>18.491200000000081</v>
      </c>
    </row>
    <row r="35" spans="2:16" x14ac:dyDescent="0.25">
      <c r="B35" s="88" t="str">
        <f t="shared" si="10"/>
        <v>Sitio Santa Lúcia</v>
      </c>
      <c r="C35" s="100">
        <f t="shared" si="5"/>
        <v>2019</v>
      </c>
      <c r="D35" s="101">
        <v>43594</v>
      </c>
      <c r="E35" s="102">
        <v>0.25</v>
      </c>
      <c r="F35" s="103">
        <v>0.29166666666666669</v>
      </c>
      <c r="G35" s="103">
        <v>0.41666666666666669</v>
      </c>
      <c r="H35" s="103">
        <v>0.45833333333333331</v>
      </c>
      <c r="I35" s="90">
        <f t="shared" si="6"/>
        <v>1.0000000000000004</v>
      </c>
      <c r="J35" s="90">
        <f t="shared" si="1"/>
        <v>0.99999999999999911</v>
      </c>
      <c r="K35" s="91">
        <f t="shared" si="8"/>
        <v>0.95833333333333348</v>
      </c>
      <c r="L35" s="91">
        <f t="shared" si="9"/>
        <v>3.9583333333333339</v>
      </c>
      <c r="M35" s="29">
        <f t="shared" si="7"/>
        <v>13</v>
      </c>
      <c r="N35" s="92">
        <f t="shared" si="2"/>
        <v>1.0000000000000004</v>
      </c>
      <c r="O35" s="104">
        <f t="shared" si="3"/>
        <v>1.016</v>
      </c>
      <c r="P35" s="105">
        <f>M35*N35*O35*0.7</f>
        <v>9.2456000000000031</v>
      </c>
    </row>
    <row r="36" spans="2:16" x14ac:dyDescent="0.25">
      <c r="B36" s="88" t="str">
        <f t="shared" si="10"/>
        <v>Sitio Santa Lúcia</v>
      </c>
      <c r="C36" s="100">
        <f t="shared" si="5"/>
        <v>2019</v>
      </c>
      <c r="D36" s="101">
        <v>43595</v>
      </c>
      <c r="E36" s="102">
        <v>0.29166666666666669</v>
      </c>
      <c r="F36" s="103">
        <v>0.41666666666666669</v>
      </c>
      <c r="G36" s="103">
        <v>0.375</v>
      </c>
      <c r="H36" s="103">
        <v>0.41666666666666669</v>
      </c>
      <c r="I36" s="90">
        <f t="shared" si="6"/>
        <v>3</v>
      </c>
      <c r="J36" s="90">
        <f t="shared" si="1"/>
        <v>1.0000000000000004</v>
      </c>
      <c r="K36" s="91">
        <f t="shared" si="8"/>
        <v>0.95833333333333348</v>
      </c>
      <c r="L36" s="91">
        <f t="shared" si="9"/>
        <v>3.9583333333333339</v>
      </c>
      <c r="M36" s="29">
        <f t="shared" si="7"/>
        <v>13</v>
      </c>
      <c r="N36" s="92">
        <f t="shared" si="2"/>
        <v>3</v>
      </c>
      <c r="O36" s="104">
        <f t="shared" si="3"/>
        <v>1.016</v>
      </c>
      <c r="P36" s="105">
        <f t="shared" si="4"/>
        <v>27.736799999999999</v>
      </c>
    </row>
    <row r="37" spans="2:16" x14ac:dyDescent="0.25">
      <c r="B37" s="88" t="str">
        <f t="shared" si="10"/>
        <v>Sitio Santa Lúcia</v>
      </c>
      <c r="C37" s="100">
        <f t="shared" si="5"/>
        <v>2019</v>
      </c>
      <c r="D37" s="101">
        <v>43596</v>
      </c>
      <c r="E37" s="102">
        <v>0.41666666666666669</v>
      </c>
      <c r="F37" s="103">
        <v>0.5</v>
      </c>
      <c r="G37" s="103">
        <v>0.29166666666666669</v>
      </c>
      <c r="H37" s="103">
        <v>0.33333333333333298</v>
      </c>
      <c r="I37" s="90">
        <f t="shared" si="6"/>
        <v>1.9999999999999996</v>
      </c>
      <c r="J37" s="90">
        <f t="shared" si="1"/>
        <v>0.99999999999999112</v>
      </c>
      <c r="K37" s="91">
        <f t="shared" si="8"/>
        <v>0.95833333333333348</v>
      </c>
      <c r="L37" s="91">
        <f t="shared" si="9"/>
        <v>3.9583333333333339</v>
      </c>
      <c r="M37" s="29">
        <f t="shared" si="7"/>
        <v>13</v>
      </c>
      <c r="N37" s="92">
        <f t="shared" si="2"/>
        <v>1.9999999999999996</v>
      </c>
      <c r="O37" s="104">
        <f t="shared" si="3"/>
        <v>1.016</v>
      </c>
      <c r="P37" s="105">
        <f t="shared" si="4"/>
        <v>18.491199999999996</v>
      </c>
    </row>
    <row r="38" spans="2:16" x14ac:dyDescent="0.25">
      <c r="B38" s="88" t="str">
        <f t="shared" si="10"/>
        <v>Sitio Santa Lúcia</v>
      </c>
      <c r="C38" s="100">
        <f t="shared" si="5"/>
        <v>2019</v>
      </c>
      <c r="D38" s="101">
        <v>43597</v>
      </c>
      <c r="E38" s="102">
        <v>0.41666666666666669</v>
      </c>
      <c r="F38" s="103">
        <v>0.45833333333333331</v>
      </c>
      <c r="G38" s="103">
        <v>0.33333333333333298</v>
      </c>
      <c r="H38" s="103">
        <v>0.41666666666666669</v>
      </c>
      <c r="I38" s="90">
        <f t="shared" si="6"/>
        <v>0.99999999999999911</v>
      </c>
      <c r="J38" s="90">
        <f t="shared" si="1"/>
        <v>2.0000000000000089</v>
      </c>
      <c r="K38" s="91">
        <f t="shared" si="8"/>
        <v>0.95833333333333348</v>
      </c>
      <c r="L38" s="91">
        <f t="shared" si="9"/>
        <v>3.9583333333333339</v>
      </c>
      <c r="M38" s="29">
        <f t="shared" si="7"/>
        <v>13</v>
      </c>
      <c r="N38" s="92">
        <f t="shared" si="2"/>
        <v>0.99999999999999911</v>
      </c>
      <c r="O38" s="104">
        <f t="shared" si="3"/>
        <v>1.016</v>
      </c>
      <c r="P38" s="105">
        <f t="shared" si="4"/>
        <v>9.2455999999999925</v>
      </c>
    </row>
    <row r="39" spans="2:16" x14ac:dyDescent="0.25">
      <c r="B39" s="88" t="str">
        <f t="shared" si="10"/>
        <v>Sitio Santa Lúcia</v>
      </c>
      <c r="C39" s="100">
        <f t="shared" si="5"/>
        <v>2019</v>
      </c>
      <c r="D39" s="101">
        <v>43598</v>
      </c>
      <c r="E39" s="102">
        <v>0.41666666666666669</v>
      </c>
      <c r="F39" s="103">
        <v>0.5</v>
      </c>
      <c r="G39" s="103">
        <v>0.25</v>
      </c>
      <c r="H39" s="103">
        <v>0.29166666666666669</v>
      </c>
      <c r="I39" s="90">
        <f t="shared" si="6"/>
        <v>1.9999999999999996</v>
      </c>
      <c r="J39" s="90">
        <f t="shared" si="1"/>
        <v>1.0000000000000004</v>
      </c>
      <c r="K39" s="91">
        <f t="shared" si="8"/>
        <v>0.95833333333333348</v>
      </c>
      <c r="L39" s="91">
        <f t="shared" si="9"/>
        <v>3.9583333333333339</v>
      </c>
      <c r="M39" s="29">
        <f t="shared" si="7"/>
        <v>13</v>
      </c>
      <c r="N39" s="92">
        <f t="shared" si="2"/>
        <v>1.9999999999999996</v>
      </c>
      <c r="O39" s="104">
        <f t="shared" si="3"/>
        <v>1.016</v>
      </c>
      <c r="P39" s="105">
        <f t="shared" si="4"/>
        <v>18.491199999999996</v>
      </c>
    </row>
    <row r="40" spans="2:16" x14ac:dyDescent="0.25">
      <c r="B40" s="88" t="str">
        <f t="shared" si="10"/>
        <v>Sitio Santa Lúcia</v>
      </c>
      <c r="C40" s="100">
        <f t="shared" si="5"/>
        <v>2019</v>
      </c>
      <c r="D40" s="101">
        <v>43599</v>
      </c>
      <c r="E40" s="102">
        <v>0.29166666666666669</v>
      </c>
      <c r="F40" s="103">
        <v>0.375</v>
      </c>
      <c r="G40" s="103">
        <v>0.41666666666666669</v>
      </c>
      <c r="H40" s="103">
        <v>0.45833333333333331</v>
      </c>
      <c r="I40" s="90">
        <f t="shared" si="6"/>
        <v>1.9999999999999996</v>
      </c>
      <c r="J40" s="90">
        <f t="shared" si="1"/>
        <v>0.99999999999999911</v>
      </c>
      <c r="K40" s="91">
        <f t="shared" si="8"/>
        <v>0.95833333333333348</v>
      </c>
      <c r="L40" s="91">
        <f t="shared" si="9"/>
        <v>3.9583333333333339</v>
      </c>
      <c r="M40" s="29">
        <f t="shared" si="7"/>
        <v>13</v>
      </c>
      <c r="N40" s="92">
        <f t="shared" si="2"/>
        <v>1.9999999999999996</v>
      </c>
      <c r="O40" s="104">
        <f t="shared" si="3"/>
        <v>1.016</v>
      </c>
      <c r="P40" s="105">
        <f t="shared" si="4"/>
        <v>18.491199999999996</v>
      </c>
    </row>
    <row r="41" spans="2:16" x14ac:dyDescent="0.25">
      <c r="B41" s="88" t="str">
        <f t="shared" si="10"/>
        <v>Sitio Santa Lúcia</v>
      </c>
      <c r="C41" s="100">
        <f t="shared" si="5"/>
        <v>2019</v>
      </c>
      <c r="D41" s="101">
        <v>43600</v>
      </c>
      <c r="E41" s="102">
        <v>0.29166666666666669</v>
      </c>
      <c r="F41" s="103">
        <v>0.41666666666666669</v>
      </c>
      <c r="G41" s="103">
        <v>0.25</v>
      </c>
      <c r="H41" s="103">
        <v>0.41666666666666669</v>
      </c>
      <c r="I41" s="90">
        <f t="shared" si="6"/>
        <v>3</v>
      </c>
      <c r="J41" s="90">
        <f t="shared" si="1"/>
        <v>4</v>
      </c>
      <c r="K41" s="91">
        <f t="shared" si="8"/>
        <v>0.95833333333333348</v>
      </c>
      <c r="L41" s="91">
        <f t="shared" si="9"/>
        <v>3.9583333333333339</v>
      </c>
      <c r="M41" s="29">
        <f t="shared" si="7"/>
        <v>13</v>
      </c>
      <c r="N41" s="92">
        <f t="shared" si="2"/>
        <v>3</v>
      </c>
      <c r="O41" s="104">
        <f t="shared" si="3"/>
        <v>1.016</v>
      </c>
      <c r="P41" s="105">
        <f t="shared" si="4"/>
        <v>27.736799999999999</v>
      </c>
    </row>
    <row r="42" spans="2:16" x14ac:dyDescent="0.25">
      <c r="B42" s="88" t="str">
        <f t="shared" si="10"/>
        <v>Sitio Santa Lúcia</v>
      </c>
      <c r="C42" s="100">
        <f t="shared" si="5"/>
        <v>2019</v>
      </c>
      <c r="D42" s="101">
        <v>43601</v>
      </c>
      <c r="E42" s="102">
        <v>0.33333333333333298</v>
      </c>
      <c r="F42" s="103">
        <v>0.41666666666666669</v>
      </c>
      <c r="G42" s="103">
        <v>0.25</v>
      </c>
      <c r="H42" s="103">
        <v>0.29166666666666669</v>
      </c>
      <c r="I42" s="90">
        <f t="shared" si="6"/>
        <v>2.0000000000000089</v>
      </c>
      <c r="J42" s="90">
        <f t="shared" si="1"/>
        <v>1.0000000000000004</v>
      </c>
      <c r="K42" s="91">
        <f t="shared" si="8"/>
        <v>0.95833333333333348</v>
      </c>
      <c r="L42" s="91">
        <f t="shared" si="9"/>
        <v>3.9583333333333339</v>
      </c>
      <c r="M42" s="29">
        <f t="shared" si="7"/>
        <v>13</v>
      </c>
      <c r="N42" s="92">
        <f t="shared" si="2"/>
        <v>2.0000000000000089</v>
      </c>
      <c r="O42" s="104">
        <f t="shared" si="3"/>
        <v>1.016</v>
      </c>
      <c r="P42" s="105">
        <f t="shared" si="4"/>
        <v>18.491200000000081</v>
      </c>
    </row>
    <row r="43" spans="2:16" x14ac:dyDescent="0.25">
      <c r="B43" s="88" t="str">
        <f t="shared" si="10"/>
        <v>Sitio Santa Lúcia</v>
      </c>
      <c r="C43" s="100">
        <f t="shared" si="5"/>
        <v>2019</v>
      </c>
      <c r="D43" s="101">
        <v>43602</v>
      </c>
      <c r="E43" s="102">
        <v>0.25</v>
      </c>
      <c r="F43" s="103">
        <v>0.29166666666666669</v>
      </c>
      <c r="G43" s="103">
        <v>0.33333333333333298</v>
      </c>
      <c r="H43" s="103">
        <v>0.375</v>
      </c>
      <c r="I43" s="90">
        <f t="shared" si="6"/>
        <v>1.0000000000000004</v>
      </c>
      <c r="J43" s="90">
        <f t="shared" si="1"/>
        <v>1.0000000000000084</v>
      </c>
      <c r="K43" s="91">
        <f t="shared" si="8"/>
        <v>0.95833333333333348</v>
      </c>
      <c r="L43" s="91">
        <f t="shared" si="9"/>
        <v>3.9583333333333339</v>
      </c>
      <c r="M43" s="29">
        <f t="shared" si="7"/>
        <v>13</v>
      </c>
      <c r="N43" s="92">
        <f t="shared" si="2"/>
        <v>1.0000000000000004</v>
      </c>
      <c r="O43" s="104">
        <f t="shared" si="3"/>
        <v>1.016</v>
      </c>
      <c r="P43" s="105">
        <f t="shared" si="4"/>
        <v>9.2456000000000031</v>
      </c>
    </row>
    <row r="44" spans="2:16" x14ac:dyDescent="0.25">
      <c r="B44" s="88" t="str">
        <f t="shared" si="10"/>
        <v>Sitio Santa Lúcia</v>
      </c>
      <c r="C44" s="100">
        <f t="shared" si="5"/>
        <v>2019</v>
      </c>
      <c r="D44" s="101">
        <v>43603</v>
      </c>
      <c r="E44" s="102">
        <v>0.41666666666666669</v>
      </c>
      <c r="F44" s="103">
        <v>0.5</v>
      </c>
      <c r="G44" s="103">
        <v>0.29166666666666669</v>
      </c>
      <c r="H44" s="103">
        <v>0.375</v>
      </c>
      <c r="I44" s="90">
        <f t="shared" si="6"/>
        <v>1.9999999999999996</v>
      </c>
      <c r="J44" s="90">
        <f t="shared" si="1"/>
        <v>1.9999999999999996</v>
      </c>
      <c r="K44" s="91">
        <f t="shared" si="8"/>
        <v>0.95833333333333348</v>
      </c>
      <c r="L44" s="91">
        <f t="shared" si="9"/>
        <v>3.9583333333333339</v>
      </c>
      <c r="M44" s="29">
        <f t="shared" si="7"/>
        <v>13</v>
      </c>
      <c r="N44" s="92">
        <f t="shared" si="2"/>
        <v>1.9999999999999996</v>
      </c>
      <c r="O44" s="104">
        <f t="shared" si="3"/>
        <v>1.016</v>
      </c>
      <c r="P44" s="105">
        <f t="shared" si="4"/>
        <v>18.491199999999996</v>
      </c>
    </row>
    <row r="45" spans="2:16" x14ac:dyDescent="0.25">
      <c r="B45" s="88" t="str">
        <f t="shared" si="10"/>
        <v>Sitio Santa Lúcia</v>
      </c>
      <c r="C45" s="100">
        <f t="shared" si="5"/>
        <v>2019</v>
      </c>
      <c r="D45" s="101">
        <v>43604</v>
      </c>
      <c r="E45" s="102">
        <v>0.29166666666666669</v>
      </c>
      <c r="F45" s="103">
        <v>0.33333333333333298</v>
      </c>
      <c r="G45" s="103">
        <v>0.25</v>
      </c>
      <c r="H45" s="103">
        <v>0.3125</v>
      </c>
      <c r="I45" s="90">
        <f t="shared" si="6"/>
        <v>0.99999999999999112</v>
      </c>
      <c r="J45" s="90">
        <f t="shared" si="1"/>
        <v>1.5</v>
      </c>
      <c r="K45" s="91">
        <f t="shared" si="8"/>
        <v>0.95833333333333348</v>
      </c>
      <c r="L45" s="91">
        <f t="shared" si="9"/>
        <v>3.9583333333333339</v>
      </c>
      <c r="M45" s="29">
        <f t="shared" si="7"/>
        <v>13</v>
      </c>
      <c r="N45" s="92">
        <f t="shared" si="2"/>
        <v>0.99999999999999112</v>
      </c>
      <c r="O45" s="104">
        <f t="shared" si="3"/>
        <v>1.016</v>
      </c>
      <c r="P45" s="105">
        <f t="shared" si="4"/>
        <v>9.2455999999999179</v>
      </c>
    </row>
    <row r="46" spans="2:16" x14ac:dyDescent="0.25">
      <c r="B46" s="88" t="str">
        <f t="shared" si="10"/>
        <v>Sitio Santa Lúcia</v>
      </c>
      <c r="C46" s="100">
        <f t="shared" si="5"/>
        <v>2019</v>
      </c>
      <c r="D46" s="101">
        <v>43605</v>
      </c>
      <c r="E46" s="102">
        <v>0.25</v>
      </c>
      <c r="F46" s="103">
        <v>0.33333333333333298</v>
      </c>
      <c r="G46" s="103">
        <v>0.41666666666666669</v>
      </c>
      <c r="H46" s="103">
        <v>0.45833333333333331</v>
      </c>
      <c r="I46" s="90">
        <f t="shared" si="6"/>
        <v>1.9999999999999916</v>
      </c>
      <c r="J46" s="90">
        <f t="shared" si="1"/>
        <v>0.99999999999999911</v>
      </c>
      <c r="K46" s="91">
        <f t="shared" si="8"/>
        <v>0.95833333333333348</v>
      </c>
      <c r="L46" s="91">
        <f t="shared" si="9"/>
        <v>3.9583333333333339</v>
      </c>
      <c r="M46" s="29">
        <f t="shared" si="7"/>
        <v>13</v>
      </c>
      <c r="N46" s="92">
        <f t="shared" si="2"/>
        <v>1.9999999999999916</v>
      </c>
      <c r="O46" s="104">
        <f t="shared" si="3"/>
        <v>1.016</v>
      </c>
      <c r="P46" s="105">
        <f t="shared" si="4"/>
        <v>18.491199999999921</v>
      </c>
    </row>
    <row r="47" spans="2:16" x14ac:dyDescent="0.25">
      <c r="B47" s="88" t="str">
        <f t="shared" si="10"/>
        <v>Sitio Santa Lúcia</v>
      </c>
      <c r="C47" s="100">
        <f t="shared" si="5"/>
        <v>2019</v>
      </c>
      <c r="D47" s="101">
        <v>43606</v>
      </c>
      <c r="E47" s="102">
        <v>0.29166666666666669</v>
      </c>
      <c r="F47" s="103">
        <v>0.41666666666666669</v>
      </c>
      <c r="G47" s="103">
        <v>0.29166666666666669</v>
      </c>
      <c r="H47" s="103">
        <v>0.41666666666666669</v>
      </c>
      <c r="I47" s="90">
        <f t="shared" si="6"/>
        <v>3</v>
      </c>
      <c r="J47" s="90">
        <f t="shared" si="1"/>
        <v>3</v>
      </c>
      <c r="K47" s="91">
        <f t="shared" si="8"/>
        <v>0.95833333333333348</v>
      </c>
      <c r="L47" s="91">
        <f t="shared" si="9"/>
        <v>3.9583333333333339</v>
      </c>
      <c r="M47" s="29">
        <f t="shared" si="7"/>
        <v>13</v>
      </c>
      <c r="N47" s="92">
        <f t="shared" si="2"/>
        <v>3</v>
      </c>
      <c r="O47" s="104">
        <f t="shared" si="3"/>
        <v>1.016</v>
      </c>
      <c r="P47" s="105">
        <f t="shared" si="4"/>
        <v>27.736799999999999</v>
      </c>
    </row>
    <row r="48" spans="2:16" x14ac:dyDescent="0.25">
      <c r="B48" s="88" t="str">
        <f t="shared" si="10"/>
        <v>Sitio Santa Lúcia</v>
      </c>
      <c r="C48" s="100">
        <f t="shared" si="5"/>
        <v>2019</v>
      </c>
      <c r="D48" s="101">
        <v>43607</v>
      </c>
      <c r="E48" s="102">
        <v>0.375</v>
      </c>
      <c r="F48" s="103">
        <v>0.41666666666666669</v>
      </c>
      <c r="G48" s="103">
        <v>0.29166666666666669</v>
      </c>
      <c r="H48" s="103">
        <v>0.33333333333333298</v>
      </c>
      <c r="I48" s="90">
        <f t="shared" si="6"/>
        <v>1.0000000000000004</v>
      </c>
      <c r="J48" s="90">
        <f t="shared" si="1"/>
        <v>0.99999999999999112</v>
      </c>
      <c r="K48" s="91">
        <f t="shared" si="8"/>
        <v>0.95833333333333348</v>
      </c>
      <c r="L48" s="91">
        <f t="shared" si="9"/>
        <v>3.9583333333333339</v>
      </c>
      <c r="M48" s="29">
        <f t="shared" si="7"/>
        <v>13</v>
      </c>
      <c r="N48" s="92">
        <f t="shared" si="2"/>
        <v>1.0000000000000004</v>
      </c>
      <c r="O48" s="104">
        <f t="shared" si="3"/>
        <v>1.016</v>
      </c>
      <c r="P48" s="105">
        <f t="shared" si="4"/>
        <v>9.2456000000000031</v>
      </c>
    </row>
    <row r="49" spans="2:16" x14ac:dyDescent="0.25">
      <c r="B49" s="88" t="str">
        <f t="shared" si="10"/>
        <v>Sitio Santa Lúcia</v>
      </c>
      <c r="C49" s="100">
        <f t="shared" si="5"/>
        <v>2019</v>
      </c>
      <c r="D49" s="101">
        <v>43608</v>
      </c>
      <c r="E49" s="102">
        <v>0.25</v>
      </c>
      <c r="F49" s="103">
        <v>0.29166666666666669</v>
      </c>
      <c r="G49" s="103">
        <v>0.41666666666666669</v>
      </c>
      <c r="H49" s="103">
        <v>0.45833333333333331</v>
      </c>
      <c r="I49" s="90">
        <f t="shared" si="6"/>
        <v>1.0000000000000004</v>
      </c>
      <c r="J49" s="90">
        <f t="shared" si="1"/>
        <v>0.99999999999999911</v>
      </c>
      <c r="K49" s="91">
        <f t="shared" si="8"/>
        <v>0.95833333333333348</v>
      </c>
      <c r="L49" s="91">
        <f t="shared" si="9"/>
        <v>3.9583333333333339</v>
      </c>
      <c r="M49" s="29">
        <f t="shared" si="7"/>
        <v>13</v>
      </c>
      <c r="N49" s="92">
        <f t="shared" si="2"/>
        <v>1.0000000000000004</v>
      </c>
      <c r="O49" s="104">
        <f t="shared" si="3"/>
        <v>1.016</v>
      </c>
      <c r="P49" s="105">
        <f t="shared" si="4"/>
        <v>9.2456000000000031</v>
      </c>
    </row>
    <row r="50" spans="2:16" x14ac:dyDescent="0.25">
      <c r="B50" s="88" t="str">
        <f t="shared" si="10"/>
        <v>Sitio Santa Lúcia</v>
      </c>
      <c r="C50" s="100">
        <f t="shared" si="5"/>
        <v>2019</v>
      </c>
      <c r="D50" s="101">
        <v>43609</v>
      </c>
      <c r="E50" s="102">
        <v>0.35416666666666669</v>
      </c>
      <c r="F50" s="103">
        <v>0.41666666666666669</v>
      </c>
      <c r="G50" s="103">
        <v>0.29166666666666669</v>
      </c>
      <c r="H50" s="103">
        <v>0.41666666666666669</v>
      </c>
      <c r="I50" s="90">
        <f t="shared" si="6"/>
        <v>1.5</v>
      </c>
      <c r="J50" s="90">
        <f t="shared" si="1"/>
        <v>3</v>
      </c>
      <c r="K50" s="91">
        <f t="shared" si="8"/>
        <v>0.95833333333333348</v>
      </c>
      <c r="L50" s="91">
        <f t="shared" si="9"/>
        <v>3.9583333333333339</v>
      </c>
      <c r="M50" s="29">
        <f t="shared" si="7"/>
        <v>13</v>
      </c>
      <c r="N50" s="92">
        <f t="shared" si="2"/>
        <v>1.5</v>
      </c>
      <c r="O50" s="104">
        <f t="shared" si="3"/>
        <v>1.016</v>
      </c>
      <c r="P50" s="105">
        <f t="shared" si="4"/>
        <v>13.868399999999999</v>
      </c>
    </row>
    <row r="51" spans="2:16" x14ac:dyDescent="0.25">
      <c r="B51" s="88" t="str">
        <f t="shared" si="10"/>
        <v>Sitio Santa Lúcia</v>
      </c>
      <c r="C51" s="100">
        <f t="shared" si="5"/>
        <v>2019</v>
      </c>
      <c r="D51" s="101">
        <v>43610</v>
      </c>
      <c r="E51" s="102">
        <v>0.29166666666666669</v>
      </c>
      <c r="F51" s="103">
        <v>0.33333333333333298</v>
      </c>
      <c r="G51" s="103">
        <v>0.29166666666666669</v>
      </c>
      <c r="H51" s="103">
        <v>0.35416666666666669</v>
      </c>
      <c r="I51" s="90">
        <f t="shared" si="6"/>
        <v>0.99999999999999112</v>
      </c>
      <c r="J51" s="90">
        <f t="shared" si="1"/>
        <v>1.5</v>
      </c>
      <c r="K51" s="91">
        <f t="shared" si="8"/>
        <v>0.95833333333333348</v>
      </c>
      <c r="L51" s="91">
        <f t="shared" si="9"/>
        <v>3.9583333333333339</v>
      </c>
      <c r="M51" s="29">
        <f t="shared" si="7"/>
        <v>13</v>
      </c>
      <c r="N51" s="92">
        <f t="shared" si="2"/>
        <v>0.99999999999999112</v>
      </c>
      <c r="O51" s="104">
        <f t="shared" si="3"/>
        <v>1.016</v>
      </c>
      <c r="P51" s="105">
        <f t="shared" si="4"/>
        <v>9.2455999999999179</v>
      </c>
    </row>
    <row r="52" spans="2:16" x14ac:dyDescent="0.25">
      <c r="B52" s="88" t="str">
        <f t="shared" si="10"/>
        <v>Sitio Santa Lúcia</v>
      </c>
      <c r="C52" s="100">
        <f t="shared" si="5"/>
        <v>2019</v>
      </c>
      <c r="D52" s="101">
        <v>43611</v>
      </c>
      <c r="E52" s="102">
        <v>0.41666666666666669</v>
      </c>
      <c r="F52" s="103">
        <v>0.5</v>
      </c>
      <c r="G52" s="103">
        <v>0.33333333333333298</v>
      </c>
      <c r="H52" s="103">
        <v>0.4375</v>
      </c>
      <c r="I52" s="90">
        <f t="shared" si="6"/>
        <v>1.9999999999999996</v>
      </c>
      <c r="J52" s="90">
        <f t="shared" si="1"/>
        <v>2.5000000000000084</v>
      </c>
      <c r="K52" s="91">
        <f t="shared" si="8"/>
        <v>0.95833333333333348</v>
      </c>
      <c r="L52" s="91">
        <f t="shared" si="9"/>
        <v>3.9583333333333339</v>
      </c>
      <c r="M52" s="29">
        <f t="shared" si="7"/>
        <v>13</v>
      </c>
      <c r="N52" s="92">
        <f t="shared" si="2"/>
        <v>1.9999999999999996</v>
      </c>
      <c r="O52" s="104">
        <f t="shared" si="3"/>
        <v>1.016</v>
      </c>
      <c r="P52" s="105">
        <f t="shared" si="4"/>
        <v>18.491199999999996</v>
      </c>
    </row>
    <row r="53" spans="2:16" x14ac:dyDescent="0.25">
      <c r="B53" s="88" t="str">
        <f t="shared" si="10"/>
        <v>Sitio Santa Lúcia</v>
      </c>
      <c r="C53" s="100">
        <f t="shared" si="5"/>
        <v>2019</v>
      </c>
      <c r="D53" s="101">
        <v>43612</v>
      </c>
      <c r="E53" s="102">
        <v>0.29166666666666669</v>
      </c>
      <c r="F53" s="103">
        <v>0.33333333333333298</v>
      </c>
      <c r="G53" s="103">
        <v>0.45833333333333331</v>
      </c>
      <c r="H53" s="103">
        <v>0.5</v>
      </c>
      <c r="I53" s="90">
        <f t="shared" si="6"/>
        <v>0.99999999999999112</v>
      </c>
      <c r="J53" s="90">
        <f t="shared" si="1"/>
        <v>1.0000000000000004</v>
      </c>
      <c r="K53" s="91">
        <f t="shared" si="8"/>
        <v>0.95833333333333348</v>
      </c>
      <c r="L53" s="91">
        <f t="shared" si="9"/>
        <v>3.9583333333333339</v>
      </c>
      <c r="M53" s="29">
        <f t="shared" si="7"/>
        <v>13</v>
      </c>
      <c r="N53" s="92">
        <f t="shared" si="2"/>
        <v>0.99999999999999112</v>
      </c>
      <c r="O53" s="104">
        <f t="shared" si="3"/>
        <v>1.016</v>
      </c>
      <c r="P53" s="105">
        <f t="shared" si="4"/>
        <v>9.2455999999999179</v>
      </c>
    </row>
    <row r="54" spans="2:16" x14ac:dyDescent="0.25">
      <c r="B54" s="88" t="str">
        <f t="shared" si="10"/>
        <v>Sitio Santa Lúcia</v>
      </c>
      <c r="C54" s="100">
        <f t="shared" si="5"/>
        <v>2019</v>
      </c>
      <c r="D54" s="101">
        <v>43613</v>
      </c>
      <c r="E54" s="102">
        <v>0.27083333333333331</v>
      </c>
      <c r="F54" s="103">
        <v>0.41666666666666669</v>
      </c>
      <c r="G54" s="103">
        <v>0.3125</v>
      </c>
      <c r="H54" s="103">
        <v>0.36805555555555558</v>
      </c>
      <c r="I54" s="90">
        <f t="shared" si="6"/>
        <v>3.5000000000000009</v>
      </c>
      <c r="J54" s="90">
        <f t="shared" si="1"/>
        <v>1.3333333333333339</v>
      </c>
      <c r="K54" s="91">
        <f t="shared" si="8"/>
        <v>0.95833333333333348</v>
      </c>
      <c r="L54" s="91">
        <f t="shared" si="9"/>
        <v>3.9583333333333339</v>
      </c>
      <c r="M54" s="29">
        <f t="shared" si="7"/>
        <v>13</v>
      </c>
      <c r="N54" s="92">
        <f t="shared" si="2"/>
        <v>3.5000000000000009</v>
      </c>
      <c r="O54" s="104">
        <f t="shared" si="3"/>
        <v>1.016</v>
      </c>
      <c r="P54" s="105">
        <f t="shared" si="4"/>
        <v>32.359600000000007</v>
      </c>
    </row>
    <row r="55" spans="2:16" x14ac:dyDescent="0.25">
      <c r="B55" s="88" t="str">
        <f t="shared" si="10"/>
        <v>Sitio Santa Lúcia</v>
      </c>
      <c r="C55" s="106">
        <f t="shared" si="5"/>
        <v>2019</v>
      </c>
      <c r="D55" s="101">
        <v>43614</v>
      </c>
      <c r="E55" s="102">
        <v>0.35416666666666669</v>
      </c>
      <c r="F55" s="103">
        <v>0.41666666666666669</v>
      </c>
      <c r="G55" s="103">
        <v>0.41666666666666669</v>
      </c>
      <c r="H55" s="103">
        <v>0.5</v>
      </c>
      <c r="I55" s="90">
        <f t="shared" si="6"/>
        <v>1.5</v>
      </c>
      <c r="J55" s="90">
        <f t="shared" si="1"/>
        <v>1.9999999999999996</v>
      </c>
      <c r="K55" s="91">
        <f t="shared" si="8"/>
        <v>0.95833333333333348</v>
      </c>
      <c r="L55" s="91">
        <f t="shared" si="9"/>
        <v>3.9583333333333339</v>
      </c>
      <c r="M55" s="29">
        <f t="shared" si="7"/>
        <v>13</v>
      </c>
      <c r="N55" s="92">
        <f t="shared" si="2"/>
        <v>1.5</v>
      </c>
      <c r="O55" s="104">
        <f t="shared" si="3"/>
        <v>1.016</v>
      </c>
      <c r="P55" s="105">
        <f t="shared" si="4"/>
        <v>13.868399999999999</v>
      </c>
    </row>
    <row r="56" spans="2:16" x14ac:dyDescent="0.25">
      <c r="B56" s="88" t="str">
        <f t="shared" si="10"/>
        <v>Sitio Santa Lúcia</v>
      </c>
      <c r="C56" s="106">
        <f t="shared" si="5"/>
        <v>2019</v>
      </c>
      <c r="D56" s="101">
        <v>43615</v>
      </c>
      <c r="E56" s="102">
        <v>0.31944444444444448</v>
      </c>
      <c r="F56" s="103">
        <v>0.4375</v>
      </c>
      <c r="G56" s="103">
        <v>0.33333333333333298</v>
      </c>
      <c r="H56" s="103">
        <v>0.38194444444444442</v>
      </c>
      <c r="I56" s="90">
        <f t="shared" si="6"/>
        <v>2.8333333333333326</v>
      </c>
      <c r="J56" s="90">
        <f t="shared" si="1"/>
        <v>1.1666666666666745</v>
      </c>
      <c r="K56" s="91">
        <f t="shared" si="8"/>
        <v>0.95833333333333348</v>
      </c>
      <c r="L56" s="91">
        <f t="shared" si="9"/>
        <v>3.9583333333333339</v>
      </c>
      <c r="M56" s="29">
        <f t="shared" si="7"/>
        <v>13</v>
      </c>
      <c r="N56" s="92">
        <f t="shared" si="2"/>
        <v>2.8333333333333326</v>
      </c>
      <c r="O56" s="104">
        <f t="shared" si="3"/>
        <v>1.016</v>
      </c>
      <c r="P56" s="105">
        <f t="shared" si="4"/>
        <v>26.19586666666666</v>
      </c>
    </row>
    <row r="57" spans="2:16" x14ac:dyDescent="0.25">
      <c r="B57" s="88" t="str">
        <f t="shared" si="10"/>
        <v>Sitio Santa Lúcia</v>
      </c>
      <c r="C57" s="106">
        <f t="shared" si="5"/>
        <v>2019</v>
      </c>
      <c r="D57" s="101">
        <v>43616</v>
      </c>
      <c r="E57" s="102">
        <v>0.34027777777777773</v>
      </c>
      <c r="F57" s="103">
        <v>0.38541666666666669</v>
      </c>
      <c r="G57" s="103">
        <v>0.29166666666666669</v>
      </c>
      <c r="H57" s="103">
        <v>0.33333333333333298</v>
      </c>
      <c r="I57" s="90">
        <f t="shared" si="6"/>
        <v>1.0833333333333348</v>
      </c>
      <c r="J57" s="90">
        <f t="shared" si="1"/>
        <v>0.99999999999999112</v>
      </c>
      <c r="K57" s="91">
        <f t="shared" si="8"/>
        <v>0.95833333333333348</v>
      </c>
      <c r="L57" s="91">
        <f t="shared" si="9"/>
        <v>3.9583333333333339</v>
      </c>
      <c r="M57" s="29">
        <f t="shared" si="7"/>
        <v>13</v>
      </c>
      <c r="N57" s="92">
        <f t="shared" si="2"/>
        <v>1.0833333333333348</v>
      </c>
      <c r="O57" s="104">
        <f t="shared" si="3"/>
        <v>1.016</v>
      </c>
      <c r="P57" s="105">
        <f t="shared" si="4"/>
        <v>10.01606666666668</v>
      </c>
    </row>
    <row r="58" spans="2:16" x14ac:dyDescent="0.25">
      <c r="B58" s="88" t="str">
        <f t="shared" si="10"/>
        <v>Sitio Santa Lúcia</v>
      </c>
      <c r="C58" s="106">
        <f t="shared" si="5"/>
        <v>2019</v>
      </c>
      <c r="D58" s="101">
        <v>43617</v>
      </c>
      <c r="E58" s="102">
        <v>0.25</v>
      </c>
      <c r="F58" s="103">
        <v>0.41666666666666669</v>
      </c>
      <c r="G58" s="103">
        <v>0.29166666666666669</v>
      </c>
      <c r="H58" s="103">
        <v>0.375</v>
      </c>
      <c r="I58" s="90">
        <f t="shared" si="6"/>
        <v>4</v>
      </c>
      <c r="J58" s="90">
        <f t="shared" si="1"/>
        <v>1.9999999999999996</v>
      </c>
      <c r="K58" s="91">
        <f t="shared" si="8"/>
        <v>0.95833333333333348</v>
      </c>
      <c r="L58" s="91">
        <f t="shared" si="9"/>
        <v>3.9583333333333339</v>
      </c>
      <c r="M58" s="29">
        <f t="shared" si="7"/>
        <v>13</v>
      </c>
      <c r="N58" s="92">
        <f t="shared" si="2"/>
        <v>4</v>
      </c>
      <c r="O58" s="104">
        <f t="shared" si="3"/>
        <v>1.016</v>
      </c>
      <c r="P58" s="105">
        <f t="shared" si="4"/>
        <v>36.982399999999998</v>
      </c>
    </row>
    <row r="59" spans="2:16" x14ac:dyDescent="0.25">
      <c r="B59" s="88" t="str">
        <f t="shared" si="10"/>
        <v>Sitio Santa Lúcia</v>
      </c>
      <c r="C59" s="106">
        <f t="shared" si="5"/>
        <v>2019</v>
      </c>
      <c r="D59" s="101">
        <v>43618</v>
      </c>
      <c r="E59" s="102">
        <v>0.29166666666666669</v>
      </c>
      <c r="F59" s="103">
        <v>0.375</v>
      </c>
      <c r="G59" s="103">
        <v>0.25</v>
      </c>
      <c r="H59" s="103">
        <v>0.29166666666666669</v>
      </c>
      <c r="I59" s="90">
        <f t="shared" si="6"/>
        <v>1.9999999999999996</v>
      </c>
      <c r="J59" s="90">
        <f t="shared" si="1"/>
        <v>1.0000000000000004</v>
      </c>
      <c r="K59" s="91">
        <f t="shared" si="8"/>
        <v>0.95833333333333348</v>
      </c>
      <c r="L59" s="91">
        <f t="shared" si="9"/>
        <v>3.9583333333333339</v>
      </c>
      <c r="M59" s="29">
        <f t="shared" si="7"/>
        <v>13</v>
      </c>
      <c r="N59" s="92">
        <f t="shared" si="2"/>
        <v>1.9999999999999996</v>
      </c>
      <c r="O59" s="104">
        <f t="shared" si="3"/>
        <v>1.016</v>
      </c>
      <c r="P59" s="105">
        <f t="shared" si="4"/>
        <v>18.491199999999996</v>
      </c>
    </row>
    <row r="60" spans="2:16" x14ac:dyDescent="0.25">
      <c r="B60" s="88" t="str">
        <f t="shared" si="10"/>
        <v>Sitio Santa Lúcia</v>
      </c>
      <c r="C60" s="106">
        <f t="shared" si="5"/>
        <v>2019</v>
      </c>
      <c r="D60" s="101">
        <v>43619</v>
      </c>
      <c r="E60" s="102">
        <v>0.33333333333333298</v>
      </c>
      <c r="F60" s="103">
        <v>0.41666666666666669</v>
      </c>
      <c r="G60" s="103">
        <v>0.29166666666666669</v>
      </c>
      <c r="H60" s="103">
        <v>0.33333333333333298</v>
      </c>
      <c r="I60" s="90">
        <f t="shared" si="6"/>
        <v>2.0000000000000089</v>
      </c>
      <c r="J60" s="90">
        <f t="shared" si="1"/>
        <v>0.99999999999999112</v>
      </c>
      <c r="K60" s="91">
        <f t="shared" si="8"/>
        <v>0.95833333333333348</v>
      </c>
      <c r="L60" s="91">
        <f t="shared" si="9"/>
        <v>3.9583333333333339</v>
      </c>
      <c r="M60" s="29">
        <f t="shared" si="7"/>
        <v>13</v>
      </c>
      <c r="N60" s="92">
        <f t="shared" si="2"/>
        <v>2.0000000000000089</v>
      </c>
      <c r="O60" s="104">
        <f t="shared" si="3"/>
        <v>1.016</v>
      </c>
      <c r="P60" s="105">
        <f t="shared" si="4"/>
        <v>18.491200000000081</v>
      </c>
    </row>
    <row r="61" spans="2:16" x14ac:dyDescent="0.25">
      <c r="B61" s="88" t="str">
        <f t="shared" si="10"/>
        <v>Sitio Santa Lúcia</v>
      </c>
      <c r="C61" s="106">
        <f t="shared" si="5"/>
        <v>2019</v>
      </c>
      <c r="D61" s="101">
        <v>43620</v>
      </c>
      <c r="E61" s="102">
        <v>0.27083333333333331</v>
      </c>
      <c r="F61" s="103">
        <v>0.33333333333333298</v>
      </c>
      <c r="G61" s="103">
        <v>0.35416666666666669</v>
      </c>
      <c r="H61" s="103">
        <v>0.41666666666666669</v>
      </c>
      <c r="I61" s="90">
        <f t="shared" si="6"/>
        <v>1.499999999999992</v>
      </c>
      <c r="J61" s="90">
        <f t="shared" si="1"/>
        <v>1.5</v>
      </c>
      <c r="K61" s="91">
        <f t="shared" si="8"/>
        <v>0.95833333333333348</v>
      </c>
      <c r="L61" s="91">
        <f t="shared" si="9"/>
        <v>3.9583333333333339</v>
      </c>
      <c r="M61" s="29">
        <f t="shared" si="7"/>
        <v>13</v>
      </c>
      <c r="N61" s="92">
        <f t="shared" si="2"/>
        <v>1.499999999999992</v>
      </c>
      <c r="O61" s="104">
        <f t="shared" si="3"/>
        <v>1.016</v>
      </c>
      <c r="P61" s="105">
        <f t="shared" si="4"/>
        <v>13.868399999999925</v>
      </c>
    </row>
    <row r="62" spans="2:16" x14ac:dyDescent="0.25">
      <c r="B62" s="88" t="str">
        <f t="shared" si="10"/>
        <v>Sitio Santa Lúcia</v>
      </c>
      <c r="C62" s="106">
        <f t="shared" si="5"/>
        <v>2019</v>
      </c>
      <c r="D62" s="101">
        <v>43621</v>
      </c>
      <c r="E62" s="102">
        <v>0.29166666666666669</v>
      </c>
      <c r="F62" s="103">
        <v>0.33333333333333298</v>
      </c>
      <c r="G62" s="103">
        <v>0.41666666666666669</v>
      </c>
      <c r="H62" s="103">
        <v>0.5</v>
      </c>
      <c r="I62" s="90">
        <f t="shared" si="6"/>
        <v>0.99999999999999112</v>
      </c>
      <c r="J62" s="90">
        <f t="shared" si="1"/>
        <v>1.9999999999999996</v>
      </c>
      <c r="K62" s="91">
        <f t="shared" si="8"/>
        <v>0.95833333333333348</v>
      </c>
      <c r="L62" s="91">
        <f t="shared" si="9"/>
        <v>3.9583333333333339</v>
      </c>
      <c r="M62" s="29">
        <f t="shared" si="7"/>
        <v>13</v>
      </c>
      <c r="N62" s="92">
        <f t="shared" si="2"/>
        <v>0.99999999999999112</v>
      </c>
      <c r="O62" s="104">
        <f t="shared" si="3"/>
        <v>1.016</v>
      </c>
      <c r="P62" s="105">
        <f>M62*N62*O62*0.7</f>
        <v>9.2455999999999179</v>
      </c>
    </row>
    <row r="63" spans="2:16" x14ac:dyDescent="0.25">
      <c r="B63" s="88" t="str">
        <f t="shared" si="10"/>
        <v>Sitio Santa Lúcia</v>
      </c>
      <c r="C63" s="106">
        <f t="shared" si="5"/>
        <v>2019</v>
      </c>
      <c r="D63" s="101">
        <v>43622</v>
      </c>
      <c r="E63" s="102">
        <v>0.25</v>
      </c>
      <c r="F63" s="103">
        <v>0.41666666666666669</v>
      </c>
      <c r="G63" s="103">
        <v>0.25</v>
      </c>
      <c r="H63" s="103">
        <v>0.33333333333333298</v>
      </c>
      <c r="I63" s="90">
        <f t="shared" si="6"/>
        <v>4</v>
      </c>
      <c r="J63" s="90">
        <f t="shared" si="1"/>
        <v>1.9999999999999916</v>
      </c>
      <c r="K63" s="91">
        <f t="shared" si="8"/>
        <v>0.95833333333333348</v>
      </c>
      <c r="L63" s="91">
        <f t="shared" si="9"/>
        <v>3.9583333333333339</v>
      </c>
      <c r="M63" s="29">
        <f t="shared" si="7"/>
        <v>13</v>
      </c>
      <c r="N63" s="92">
        <f>I63</f>
        <v>4</v>
      </c>
      <c r="O63" s="104">
        <f t="shared" si="3"/>
        <v>1.016</v>
      </c>
      <c r="P63" s="105">
        <f t="shared" si="4"/>
        <v>36.982399999999998</v>
      </c>
    </row>
    <row r="64" spans="2:16" x14ac:dyDescent="0.25">
      <c r="B64" s="88" t="str">
        <f t="shared" si="10"/>
        <v>Sitio Santa Lúcia</v>
      </c>
      <c r="C64" s="106">
        <f t="shared" si="5"/>
        <v>2019</v>
      </c>
      <c r="D64" s="101">
        <v>43623</v>
      </c>
      <c r="E64" s="102">
        <v>0.29166666666666669</v>
      </c>
      <c r="F64" s="103">
        <v>0.34375</v>
      </c>
      <c r="G64" s="103">
        <v>0.29166666666666669</v>
      </c>
      <c r="H64" s="103">
        <v>0.41666666666666669</v>
      </c>
      <c r="I64" s="90">
        <f t="shared" si="6"/>
        <v>1.2499999999999996</v>
      </c>
      <c r="J64" s="90">
        <f t="shared" si="1"/>
        <v>3</v>
      </c>
      <c r="K64" s="91">
        <f t="shared" si="8"/>
        <v>0.95833333333333348</v>
      </c>
      <c r="L64" s="91">
        <f t="shared" si="9"/>
        <v>3.9583333333333339</v>
      </c>
      <c r="M64" s="29">
        <f t="shared" si="7"/>
        <v>13</v>
      </c>
      <c r="N64" s="92">
        <f t="shared" si="2"/>
        <v>1.2499999999999996</v>
      </c>
      <c r="O64" s="104">
        <f t="shared" si="3"/>
        <v>1.016</v>
      </c>
      <c r="P64" s="105">
        <f t="shared" si="4"/>
        <v>11.556999999999995</v>
      </c>
    </row>
    <row r="65" spans="2:16" x14ac:dyDescent="0.25">
      <c r="B65" s="88" t="str">
        <f t="shared" si="10"/>
        <v>Sitio Santa Lúcia</v>
      </c>
      <c r="C65" s="106">
        <f t="shared" si="5"/>
        <v>2019</v>
      </c>
      <c r="D65" s="101">
        <v>43624</v>
      </c>
      <c r="E65" s="102">
        <v>0.25</v>
      </c>
      <c r="F65" s="103">
        <v>0.30208333333333331</v>
      </c>
      <c r="G65" s="103">
        <v>0.375</v>
      </c>
      <c r="H65" s="103">
        <v>0.42708333333333331</v>
      </c>
      <c r="I65" s="90">
        <f t="shared" si="6"/>
        <v>1.2499999999999996</v>
      </c>
      <c r="J65" s="90">
        <f t="shared" si="1"/>
        <v>1.2499999999999996</v>
      </c>
      <c r="K65" s="91">
        <f t="shared" si="8"/>
        <v>0.95833333333333348</v>
      </c>
      <c r="L65" s="91">
        <f t="shared" si="9"/>
        <v>3.9583333333333339</v>
      </c>
      <c r="M65" s="29">
        <f t="shared" si="7"/>
        <v>13</v>
      </c>
      <c r="N65" s="92">
        <f t="shared" si="2"/>
        <v>1.2499999999999996</v>
      </c>
      <c r="O65" s="104">
        <f t="shared" si="3"/>
        <v>1.016</v>
      </c>
      <c r="P65" s="105">
        <f t="shared" si="4"/>
        <v>11.556999999999995</v>
      </c>
    </row>
    <row r="66" spans="2:16" x14ac:dyDescent="0.25">
      <c r="B66" s="88" t="str">
        <f t="shared" si="10"/>
        <v>Sitio Santa Lúcia</v>
      </c>
      <c r="C66" s="106">
        <f t="shared" si="5"/>
        <v>2019</v>
      </c>
      <c r="D66" s="101">
        <v>43625</v>
      </c>
      <c r="E66" s="102">
        <v>0.33333333333333298</v>
      </c>
      <c r="F66" s="103">
        <v>0.41666666666666669</v>
      </c>
      <c r="G66" s="103">
        <v>0.29166666666666669</v>
      </c>
      <c r="H66" s="103">
        <v>0.33333333333333298</v>
      </c>
      <c r="I66" s="90">
        <f t="shared" si="6"/>
        <v>2.0000000000000089</v>
      </c>
      <c r="J66" s="90">
        <f t="shared" si="1"/>
        <v>0.99999999999999112</v>
      </c>
      <c r="K66" s="91">
        <f t="shared" si="8"/>
        <v>0.95833333333333348</v>
      </c>
      <c r="L66" s="91">
        <f t="shared" si="9"/>
        <v>3.9583333333333339</v>
      </c>
      <c r="M66" s="29">
        <f t="shared" si="7"/>
        <v>13</v>
      </c>
      <c r="N66" s="92">
        <f t="shared" si="2"/>
        <v>2.0000000000000089</v>
      </c>
      <c r="O66" s="104">
        <f t="shared" si="3"/>
        <v>1.016</v>
      </c>
      <c r="P66" s="105">
        <f t="shared" si="4"/>
        <v>18.491200000000081</v>
      </c>
    </row>
    <row r="67" spans="2:16" x14ac:dyDescent="0.25">
      <c r="B67" s="88" t="str">
        <f t="shared" si="10"/>
        <v>Sitio Santa Lúcia</v>
      </c>
      <c r="C67" s="106">
        <f t="shared" si="5"/>
        <v>2019</v>
      </c>
      <c r="D67" s="101">
        <v>43626</v>
      </c>
      <c r="E67" s="102">
        <v>0.29166666666666669</v>
      </c>
      <c r="F67" s="103">
        <v>0.33333333333333298</v>
      </c>
      <c r="G67" s="103">
        <v>0.375</v>
      </c>
      <c r="H67" s="103">
        <v>0.45833333333333331</v>
      </c>
      <c r="I67" s="90">
        <f t="shared" si="6"/>
        <v>0.99999999999999112</v>
      </c>
      <c r="J67" s="90">
        <f t="shared" si="1"/>
        <v>1.9999999999999996</v>
      </c>
      <c r="K67" s="91">
        <f t="shared" si="8"/>
        <v>0.95833333333333348</v>
      </c>
      <c r="L67" s="91">
        <f t="shared" si="9"/>
        <v>3.9583333333333339</v>
      </c>
      <c r="M67" s="29">
        <f t="shared" si="7"/>
        <v>13</v>
      </c>
      <c r="N67" s="92">
        <f t="shared" si="2"/>
        <v>0.99999999999999112</v>
      </c>
      <c r="O67" s="104">
        <f t="shared" si="3"/>
        <v>1.016</v>
      </c>
      <c r="P67" s="105">
        <f t="shared" si="4"/>
        <v>9.2455999999999179</v>
      </c>
    </row>
    <row r="68" spans="2:16" x14ac:dyDescent="0.25">
      <c r="B68" s="88" t="str">
        <f t="shared" si="10"/>
        <v>Sitio Santa Lúcia</v>
      </c>
      <c r="C68" s="106">
        <f t="shared" si="5"/>
        <v>2019</v>
      </c>
      <c r="D68" s="101">
        <v>43627</v>
      </c>
      <c r="E68" s="102">
        <v>0.25</v>
      </c>
      <c r="F68" s="103">
        <v>0.3125</v>
      </c>
      <c r="G68" s="103">
        <v>0.29166666666666669</v>
      </c>
      <c r="H68" s="103">
        <v>0.39583333333333331</v>
      </c>
      <c r="I68" s="90">
        <f t="shared" si="6"/>
        <v>1.5</v>
      </c>
      <c r="J68" s="90">
        <f t="shared" si="1"/>
        <v>2.4999999999999991</v>
      </c>
      <c r="K68" s="91">
        <f t="shared" si="8"/>
        <v>0.95833333333333348</v>
      </c>
      <c r="L68" s="91">
        <f t="shared" si="9"/>
        <v>3.9583333333333339</v>
      </c>
      <c r="M68" s="29">
        <f t="shared" si="7"/>
        <v>13</v>
      </c>
      <c r="N68" s="92">
        <f t="shared" si="2"/>
        <v>1.5</v>
      </c>
      <c r="O68" s="104">
        <f t="shared" si="3"/>
        <v>1.016</v>
      </c>
      <c r="P68" s="105">
        <f t="shared" si="4"/>
        <v>13.868399999999999</v>
      </c>
    </row>
    <row r="69" spans="2:16" x14ac:dyDescent="0.25">
      <c r="B69" s="88" t="str">
        <f t="shared" si="10"/>
        <v>Sitio Santa Lúcia</v>
      </c>
      <c r="C69" s="106">
        <f t="shared" si="5"/>
        <v>2019</v>
      </c>
      <c r="D69" s="101">
        <v>43628</v>
      </c>
      <c r="E69" s="102">
        <v>0.29166666666666669</v>
      </c>
      <c r="F69" s="103">
        <v>0.33333333333333298</v>
      </c>
      <c r="G69" s="103">
        <v>0.29166666666666669</v>
      </c>
      <c r="H69" s="103">
        <v>0.41666666666666669</v>
      </c>
      <c r="I69" s="90">
        <f t="shared" si="6"/>
        <v>0.99999999999999112</v>
      </c>
      <c r="J69" s="90">
        <f t="shared" si="1"/>
        <v>3</v>
      </c>
      <c r="K69" s="91">
        <f t="shared" si="8"/>
        <v>0.95833333333333348</v>
      </c>
      <c r="L69" s="91">
        <f t="shared" si="9"/>
        <v>3.9583333333333339</v>
      </c>
      <c r="M69" s="29">
        <f t="shared" si="7"/>
        <v>13</v>
      </c>
      <c r="N69" s="92">
        <f t="shared" si="2"/>
        <v>0.99999999999999112</v>
      </c>
      <c r="O69" s="104">
        <f t="shared" si="3"/>
        <v>1.016</v>
      </c>
      <c r="P69" s="105">
        <f t="shared" si="4"/>
        <v>9.2455999999999179</v>
      </c>
    </row>
    <row r="70" spans="2:16" x14ac:dyDescent="0.25">
      <c r="B70" s="88" t="str">
        <f t="shared" si="10"/>
        <v>Sitio Santa Lúcia</v>
      </c>
      <c r="C70" s="106">
        <f t="shared" si="5"/>
        <v>2019</v>
      </c>
      <c r="D70" s="101">
        <v>43629</v>
      </c>
      <c r="E70" s="102">
        <v>0.41666666666666669</v>
      </c>
      <c r="F70" s="103">
        <v>0.5</v>
      </c>
      <c r="G70" s="103">
        <v>0.3125</v>
      </c>
      <c r="H70" s="103">
        <v>0.33333333333333298</v>
      </c>
      <c r="I70" s="90">
        <f t="shared" si="6"/>
        <v>1.9999999999999996</v>
      </c>
      <c r="J70" s="90">
        <f t="shared" si="1"/>
        <v>0.49999999999999156</v>
      </c>
      <c r="K70" s="91">
        <f t="shared" si="8"/>
        <v>0.95833333333333348</v>
      </c>
      <c r="L70" s="91">
        <f t="shared" si="9"/>
        <v>3.9583333333333339</v>
      </c>
      <c r="M70" s="29">
        <f t="shared" si="7"/>
        <v>13</v>
      </c>
      <c r="N70" s="92">
        <f t="shared" si="2"/>
        <v>1.9999999999999996</v>
      </c>
      <c r="O70" s="104">
        <f t="shared" si="3"/>
        <v>1.016</v>
      </c>
      <c r="P70" s="105">
        <f t="shared" si="4"/>
        <v>18.491199999999996</v>
      </c>
    </row>
    <row r="71" spans="2:16" x14ac:dyDescent="0.25">
      <c r="B71" s="88" t="str">
        <f t="shared" si="10"/>
        <v>Sitio Santa Lúcia</v>
      </c>
      <c r="C71" s="106">
        <f t="shared" si="5"/>
        <v>2019</v>
      </c>
      <c r="D71" s="101">
        <v>43630</v>
      </c>
      <c r="E71" s="102">
        <v>0.25</v>
      </c>
      <c r="F71" s="103">
        <v>0.29166666666666669</v>
      </c>
      <c r="G71" s="103">
        <v>0.33333333333333298</v>
      </c>
      <c r="H71" s="103">
        <v>0.41666666666666669</v>
      </c>
      <c r="I71" s="90">
        <f t="shared" si="6"/>
        <v>1.0000000000000004</v>
      </c>
      <c r="J71" s="90">
        <f t="shared" si="1"/>
        <v>2.0000000000000089</v>
      </c>
      <c r="K71" s="91">
        <f t="shared" si="8"/>
        <v>0.95833333333333348</v>
      </c>
      <c r="L71" s="91">
        <f t="shared" si="9"/>
        <v>3.9583333333333339</v>
      </c>
      <c r="M71" s="29">
        <f t="shared" si="7"/>
        <v>13</v>
      </c>
      <c r="N71" s="92">
        <f t="shared" si="2"/>
        <v>1.0000000000000004</v>
      </c>
      <c r="O71" s="104">
        <f t="shared" si="3"/>
        <v>1.016</v>
      </c>
      <c r="P71" s="105">
        <f t="shared" si="4"/>
        <v>9.2456000000000031</v>
      </c>
    </row>
    <row r="72" spans="2:16" x14ac:dyDescent="0.25">
      <c r="B72" s="88" t="str">
        <f t="shared" si="10"/>
        <v>Sitio Santa Lúcia</v>
      </c>
      <c r="C72" s="106">
        <f t="shared" si="5"/>
        <v>2019</v>
      </c>
      <c r="D72" s="101">
        <v>43631</v>
      </c>
      <c r="E72" s="102">
        <v>0.41666666666666669</v>
      </c>
      <c r="F72" s="103">
        <v>0.45833333333333331</v>
      </c>
      <c r="G72" s="103">
        <v>0.29166666666666669</v>
      </c>
      <c r="H72" s="103">
        <v>0.33333333333333298</v>
      </c>
      <c r="I72" s="90">
        <f t="shared" si="6"/>
        <v>0.99999999999999911</v>
      </c>
      <c r="J72" s="90">
        <f t="shared" si="1"/>
        <v>0.99999999999999112</v>
      </c>
      <c r="K72" s="91">
        <f t="shared" si="8"/>
        <v>0.95833333333333348</v>
      </c>
      <c r="L72" s="91">
        <f t="shared" si="9"/>
        <v>3.9583333333333339</v>
      </c>
      <c r="M72" s="29">
        <f t="shared" si="7"/>
        <v>13</v>
      </c>
      <c r="N72" s="92">
        <f t="shared" si="2"/>
        <v>0.99999999999999911</v>
      </c>
      <c r="O72" s="104">
        <f t="shared" si="3"/>
        <v>1.016</v>
      </c>
      <c r="P72" s="105">
        <f t="shared" si="4"/>
        <v>9.2455999999999925</v>
      </c>
    </row>
    <row r="73" spans="2:16" x14ac:dyDescent="0.25">
      <c r="B73" s="88" t="str">
        <f t="shared" si="10"/>
        <v>Sitio Santa Lúcia</v>
      </c>
      <c r="C73" s="106">
        <f t="shared" si="5"/>
        <v>2019</v>
      </c>
      <c r="D73" s="101">
        <v>43632</v>
      </c>
      <c r="E73" s="102">
        <v>0.25</v>
      </c>
      <c r="F73" s="103">
        <v>0.41666666666666669</v>
      </c>
      <c r="G73" s="103">
        <v>0.29166666666666669</v>
      </c>
      <c r="H73" s="103">
        <v>0.33333333333333298</v>
      </c>
      <c r="I73" s="90">
        <f t="shared" si="6"/>
        <v>4</v>
      </c>
      <c r="J73" s="90">
        <f t="shared" si="1"/>
        <v>0.99999999999999112</v>
      </c>
      <c r="K73" s="91">
        <f t="shared" si="8"/>
        <v>0.95833333333333348</v>
      </c>
      <c r="L73" s="91">
        <f t="shared" si="9"/>
        <v>3.9583333333333339</v>
      </c>
      <c r="M73" s="29">
        <f t="shared" si="7"/>
        <v>13</v>
      </c>
      <c r="N73" s="92">
        <f t="shared" si="2"/>
        <v>4</v>
      </c>
      <c r="O73" s="104">
        <f t="shared" si="3"/>
        <v>1.016</v>
      </c>
      <c r="P73" s="105">
        <f t="shared" si="4"/>
        <v>36.982399999999998</v>
      </c>
    </row>
    <row r="74" spans="2:16" x14ac:dyDescent="0.25">
      <c r="B74" s="88" t="str">
        <f t="shared" si="10"/>
        <v>Sitio Santa Lúcia</v>
      </c>
      <c r="C74" s="106">
        <f t="shared" si="5"/>
        <v>2019</v>
      </c>
      <c r="D74" s="101">
        <v>43633</v>
      </c>
      <c r="E74" s="102">
        <v>0.29166666666666669</v>
      </c>
      <c r="F74" s="103">
        <v>0.33333333333333298</v>
      </c>
      <c r="G74" s="103">
        <v>0.41666666666666669</v>
      </c>
      <c r="H74" s="103">
        <v>0.5</v>
      </c>
      <c r="I74" s="90">
        <f t="shared" si="6"/>
        <v>0.99999999999999112</v>
      </c>
      <c r="J74" s="90">
        <f t="shared" si="1"/>
        <v>1.9999999999999996</v>
      </c>
      <c r="K74" s="91">
        <f t="shared" si="8"/>
        <v>0.95833333333333348</v>
      </c>
      <c r="L74" s="91">
        <f t="shared" si="9"/>
        <v>3.9583333333333339</v>
      </c>
      <c r="M74" s="29">
        <f t="shared" si="7"/>
        <v>13</v>
      </c>
      <c r="N74" s="92">
        <f t="shared" si="2"/>
        <v>0.99999999999999112</v>
      </c>
      <c r="O74" s="104">
        <f t="shared" si="3"/>
        <v>1.016</v>
      </c>
      <c r="P74" s="105">
        <f t="shared" si="4"/>
        <v>9.2455999999999179</v>
      </c>
    </row>
    <row r="75" spans="2:16" x14ac:dyDescent="0.25">
      <c r="B75" s="88" t="str">
        <f t="shared" si="10"/>
        <v>Sitio Santa Lúcia</v>
      </c>
      <c r="C75" s="106">
        <f t="shared" si="5"/>
        <v>2019</v>
      </c>
      <c r="D75" s="101">
        <v>43634</v>
      </c>
      <c r="E75" s="102">
        <v>0.25</v>
      </c>
      <c r="F75" s="103">
        <v>0.3125</v>
      </c>
      <c r="G75" s="103">
        <v>0.375</v>
      </c>
      <c r="H75" s="103">
        <v>0.4375</v>
      </c>
      <c r="I75" s="90">
        <f t="shared" si="6"/>
        <v>1.5</v>
      </c>
      <c r="J75" s="90">
        <f t="shared" si="1"/>
        <v>1.5</v>
      </c>
      <c r="K75" s="91">
        <f t="shared" si="8"/>
        <v>0.95833333333333348</v>
      </c>
      <c r="L75" s="91">
        <f t="shared" si="9"/>
        <v>3.9583333333333339</v>
      </c>
      <c r="M75" s="29">
        <f t="shared" si="7"/>
        <v>13</v>
      </c>
      <c r="N75" s="92">
        <f t="shared" si="2"/>
        <v>1.5</v>
      </c>
      <c r="O75" s="104">
        <f t="shared" si="3"/>
        <v>1.016</v>
      </c>
      <c r="P75" s="105">
        <f t="shared" si="4"/>
        <v>13.868399999999999</v>
      </c>
    </row>
    <row r="76" spans="2:16" x14ac:dyDescent="0.25">
      <c r="B76" s="88" t="str">
        <f t="shared" si="10"/>
        <v>Sitio Santa Lúcia</v>
      </c>
      <c r="C76" s="106">
        <f t="shared" si="5"/>
        <v>2019</v>
      </c>
      <c r="D76" s="101">
        <v>43635</v>
      </c>
      <c r="E76" s="102">
        <v>0.27777777777777779</v>
      </c>
      <c r="F76" s="103">
        <v>0.41666666666666669</v>
      </c>
      <c r="G76" s="103">
        <v>0.29166666666666669</v>
      </c>
      <c r="H76" s="103">
        <v>0.45833333333333331</v>
      </c>
      <c r="I76" s="90">
        <f t="shared" si="6"/>
        <v>3.3333333333333335</v>
      </c>
      <c r="J76" s="90">
        <f t="shared" si="1"/>
        <v>3.9999999999999991</v>
      </c>
      <c r="K76" s="91">
        <f t="shared" si="8"/>
        <v>0.95833333333333348</v>
      </c>
      <c r="L76" s="91">
        <f t="shared" si="9"/>
        <v>3.9583333333333339</v>
      </c>
      <c r="M76" s="29">
        <f t="shared" si="7"/>
        <v>13</v>
      </c>
      <c r="N76" s="92">
        <f t="shared" si="2"/>
        <v>3.3333333333333335</v>
      </c>
      <c r="O76" s="104">
        <f t="shared" si="3"/>
        <v>1.016</v>
      </c>
      <c r="P76" s="105">
        <f t="shared" si="4"/>
        <v>30.818666666666669</v>
      </c>
    </row>
    <row r="77" spans="2:16" x14ac:dyDescent="0.25">
      <c r="B77" s="88" t="str">
        <f t="shared" si="10"/>
        <v>Sitio Santa Lúcia</v>
      </c>
      <c r="C77" s="106">
        <f t="shared" si="5"/>
        <v>2019</v>
      </c>
      <c r="D77" s="101">
        <v>43636</v>
      </c>
      <c r="E77" s="102">
        <v>0.375</v>
      </c>
      <c r="F77" s="103">
        <v>0.45833333333333331</v>
      </c>
      <c r="G77" s="103">
        <v>0.33333333333333298</v>
      </c>
      <c r="H77" s="103">
        <v>0.41666666666666669</v>
      </c>
      <c r="I77" s="90">
        <f t="shared" si="6"/>
        <v>1.9999999999999996</v>
      </c>
      <c r="J77" s="90">
        <f t="shared" si="1"/>
        <v>2.0000000000000089</v>
      </c>
      <c r="K77" s="91">
        <f t="shared" si="8"/>
        <v>0.95833333333333348</v>
      </c>
      <c r="L77" s="91">
        <f t="shared" si="9"/>
        <v>3.9583333333333339</v>
      </c>
      <c r="M77" s="29">
        <f t="shared" si="7"/>
        <v>13</v>
      </c>
      <c r="N77" s="92">
        <f t="shared" si="2"/>
        <v>1.9999999999999996</v>
      </c>
      <c r="O77" s="104">
        <f t="shared" si="3"/>
        <v>1.016</v>
      </c>
      <c r="P77" s="105">
        <f t="shared" si="4"/>
        <v>18.491199999999996</v>
      </c>
    </row>
    <row r="78" spans="2:16" x14ac:dyDescent="0.25">
      <c r="B78" s="88" t="str">
        <f t="shared" si="10"/>
        <v>Sitio Santa Lúcia</v>
      </c>
      <c r="C78" s="106">
        <f t="shared" si="5"/>
        <v>2019</v>
      </c>
      <c r="D78" s="101">
        <v>43637</v>
      </c>
      <c r="E78" s="102">
        <v>0.41666666666666669</v>
      </c>
      <c r="F78" s="103">
        <v>0.5</v>
      </c>
      <c r="G78" s="103">
        <v>0.375</v>
      </c>
      <c r="H78" s="103">
        <v>0.47916666666666669</v>
      </c>
      <c r="I78" s="90">
        <f t="shared" si="6"/>
        <v>1.9999999999999996</v>
      </c>
      <c r="J78" s="90">
        <f t="shared" si="1"/>
        <v>2.5000000000000004</v>
      </c>
      <c r="K78" s="91">
        <f t="shared" si="8"/>
        <v>0.95833333333333348</v>
      </c>
      <c r="L78" s="91">
        <f t="shared" si="9"/>
        <v>3.9583333333333339</v>
      </c>
      <c r="M78" s="29">
        <f t="shared" si="7"/>
        <v>13</v>
      </c>
      <c r="N78" s="92">
        <f t="shared" si="2"/>
        <v>1.9999999999999996</v>
      </c>
      <c r="O78" s="104">
        <f t="shared" si="3"/>
        <v>1.016</v>
      </c>
      <c r="P78" s="105">
        <f t="shared" si="4"/>
        <v>18.491199999999996</v>
      </c>
    </row>
    <row r="79" spans="2:16" x14ac:dyDescent="0.25">
      <c r="B79" s="88" t="str">
        <f t="shared" si="10"/>
        <v>Sitio Santa Lúcia</v>
      </c>
      <c r="C79" s="106">
        <f t="shared" si="5"/>
        <v>2019</v>
      </c>
      <c r="D79" s="101">
        <v>43638</v>
      </c>
      <c r="E79" s="102">
        <v>0.27083333333333331</v>
      </c>
      <c r="F79" s="103">
        <v>0.375</v>
      </c>
      <c r="G79" s="103">
        <v>0.25</v>
      </c>
      <c r="H79" s="103">
        <v>0.29166666666666669</v>
      </c>
      <c r="I79" s="90">
        <f t="shared" si="6"/>
        <v>2.5000000000000004</v>
      </c>
      <c r="J79" s="90">
        <f t="shared" si="1"/>
        <v>1.0000000000000004</v>
      </c>
      <c r="K79" s="91">
        <f t="shared" si="8"/>
        <v>0.95833333333333348</v>
      </c>
      <c r="L79" s="91">
        <f t="shared" si="9"/>
        <v>3.9583333333333339</v>
      </c>
      <c r="M79" s="29">
        <f t="shared" si="7"/>
        <v>13</v>
      </c>
      <c r="N79" s="92">
        <f t="shared" si="2"/>
        <v>2.5000000000000004</v>
      </c>
      <c r="O79" s="104">
        <f t="shared" si="3"/>
        <v>1.016</v>
      </c>
      <c r="P79" s="105">
        <f t="shared" si="4"/>
        <v>23.114000000000004</v>
      </c>
    </row>
    <row r="80" spans="2:16" x14ac:dyDescent="0.25">
      <c r="B80" s="88" t="str">
        <f t="shared" si="10"/>
        <v>Sitio Santa Lúcia</v>
      </c>
      <c r="C80" s="106">
        <f t="shared" si="5"/>
        <v>2019</v>
      </c>
      <c r="D80" s="101">
        <v>43639</v>
      </c>
      <c r="E80" s="102">
        <v>0.41666666666666669</v>
      </c>
      <c r="F80" s="103">
        <v>0.5</v>
      </c>
      <c r="G80" s="103">
        <v>0.29166666666666669</v>
      </c>
      <c r="H80" s="103">
        <v>0.375</v>
      </c>
      <c r="I80" s="90">
        <f t="shared" si="6"/>
        <v>1.9999999999999996</v>
      </c>
      <c r="J80" s="90">
        <f t="shared" si="1"/>
        <v>1.9999999999999996</v>
      </c>
      <c r="K80" s="91">
        <f t="shared" si="8"/>
        <v>0.95833333333333348</v>
      </c>
      <c r="L80" s="91">
        <f t="shared" si="9"/>
        <v>3.9583333333333339</v>
      </c>
      <c r="M80" s="29">
        <f t="shared" si="7"/>
        <v>13</v>
      </c>
      <c r="N80" s="92">
        <f t="shared" si="2"/>
        <v>1.9999999999999996</v>
      </c>
      <c r="O80" s="104">
        <f t="shared" si="3"/>
        <v>1.016</v>
      </c>
      <c r="P80" s="105">
        <f t="shared" si="4"/>
        <v>18.491199999999996</v>
      </c>
    </row>
    <row r="81" spans="2:16" x14ac:dyDescent="0.25">
      <c r="B81" s="88" t="str">
        <f t="shared" si="10"/>
        <v>Sitio Santa Lúcia</v>
      </c>
      <c r="C81" s="106">
        <f t="shared" si="5"/>
        <v>2019</v>
      </c>
      <c r="D81" s="101">
        <v>43640</v>
      </c>
      <c r="E81" s="102">
        <v>0.29166666666666669</v>
      </c>
      <c r="F81" s="103">
        <v>0.3611111111111111</v>
      </c>
      <c r="G81" s="103">
        <v>0.41666666666666669</v>
      </c>
      <c r="H81" s="103">
        <v>0.5</v>
      </c>
      <c r="I81" s="90">
        <f t="shared" si="6"/>
        <v>1.6666666666666661</v>
      </c>
      <c r="J81" s="90">
        <f t="shared" si="1"/>
        <v>1.9999999999999996</v>
      </c>
      <c r="K81" s="91">
        <f t="shared" si="8"/>
        <v>0.95833333333333348</v>
      </c>
      <c r="L81" s="91">
        <f t="shared" si="9"/>
        <v>3.9583333333333339</v>
      </c>
      <c r="M81" s="29">
        <f t="shared" si="7"/>
        <v>13</v>
      </c>
      <c r="N81" s="92">
        <f t="shared" si="2"/>
        <v>1.6666666666666661</v>
      </c>
      <c r="O81" s="104">
        <f t="shared" si="3"/>
        <v>1.016</v>
      </c>
      <c r="P81" s="105">
        <f t="shared" si="4"/>
        <v>15.409333333333326</v>
      </c>
    </row>
    <row r="82" spans="2:16" x14ac:dyDescent="0.25">
      <c r="B82" s="88" t="str">
        <f t="shared" si="10"/>
        <v>Sitio Santa Lúcia</v>
      </c>
      <c r="C82" s="106">
        <f t="shared" si="5"/>
        <v>2019</v>
      </c>
      <c r="D82" s="101">
        <v>43641</v>
      </c>
      <c r="E82" s="102">
        <v>0.27083333333333331</v>
      </c>
      <c r="F82" s="103">
        <v>0.3263888888888889</v>
      </c>
      <c r="G82" s="103">
        <v>0.41666666666666669</v>
      </c>
      <c r="H82" s="103">
        <v>0.47916666666666669</v>
      </c>
      <c r="I82" s="90">
        <f t="shared" si="6"/>
        <v>1.3333333333333339</v>
      </c>
      <c r="J82" s="90">
        <f t="shared" si="1"/>
        <v>1.5</v>
      </c>
      <c r="K82" s="91">
        <f t="shared" si="8"/>
        <v>0.95833333333333348</v>
      </c>
      <c r="L82" s="91">
        <f t="shared" si="9"/>
        <v>3.9583333333333339</v>
      </c>
      <c r="M82" s="29">
        <f t="shared" si="7"/>
        <v>13</v>
      </c>
      <c r="N82" s="92">
        <f t="shared" si="2"/>
        <v>1.3333333333333339</v>
      </c>
      <c r="O82" s="104">
        <f t="shared" si="3"/>
        <v>1.016</v>
      </c>
      <c r="P82" s="105">
        <f t="shared" si="4"/>
        <v>12.327466666666673</v>
      </c>
    </row>
    <row r="83" spans="2:16" x14ac:dyDescent="0.25">
      <c r="B83" s="88" t="str">
        <f t="shared" si="10"/>
        <v>Sitio Santa Lúcia</v>
      </c>
      <c r="C83" s="106">
        <f t="shared" si="5"/>
        <v>2019</v>
      </c>
      <c r="D83" s="101">
        <v>43642</v>
      </c>
      <c r="E83" s="102">
        <v>0.29166666666666669</v>
      </c>
      <c r="F83" s="103">
        <v>0.33333333333333298</v>
      </c>
      <c r="G83" s="103">
        <v>0.25</v>
      </c>
      <c r="H83" s="103">
        <v>0.3125</v>
      </c>
      <c r="I83" s="90">
        <f t="shared" si="6"/>
        <v>0.99999999999999112</v>
      </c>
      <c r="J83" s="90">
        <f t="shared" si="1"/>
        <v>1.5</v>
      </c>
      <c r="K83" s="91">
        <f t="shared" si="8"/>
        <v>0.95833333333333348</v>
      </c>
      <c r="L83" s="91">
        <f t="shared" si="9"/>
        <v>3.9583333333333339</v>
      </c>
      <c r="M83" s="29">
        <f t="shared" si="7"/>
        <v>13</v>
      </c>
      <c r="N83" s="92">
        <f t="shared" si="2"/>
        <v>0.99999999999999112</v>
      </c>
      <c r="O83" s="104">
        <f t="shared" si="3"/>
        <v>1.016</v>
      </c>
      <c r="P83" s="105">
        <f t="shared" si="4"/>
        <v>9.2455999999999179</v>
      </c>
    </row>
    <row r="84" spans="2:16" x14ac:dyDescent="0.25">
      <c r="B84" s="88" t="str">
        <f t="shared" si="10"/>
        <v>Sitio Santa Lúcia</v>
      </c>
      <c r="C84" s="106">
        <f t="shared" si="5"/>
        <v>2019</v>
      </c>
      <c r="D84" s="101">
        <v>43643</v>
      </c>
      <c r="E84" s="102">
        <v>0.41666666666666669</v>
      </c>
      <c r="F84" s="103">
        <v>0.5</v>
      </c>
      <c r="G84" s="103">
        <v>0.33333333333333298</v>
      </c>
      <c r="H84" s="103">
        <v>0.39583333333333331</v>
      </c>
      <c r="I84" s="90">
        <f t="shared" si="6"/>
        <v>1.9999999999999996</v>
      </c>
      <c r="J84" s="90">
        <f t="shared" si="1"/>
        <v>1.500000000000008</v>
      </c>
      <c r="K84" s="91">
        <f t="shared" si="8"/>
        <v>0.95833333333333348</v>
      </c>
      <c r="L84" s="91">
        <f t="shared" si="9"/>
        <v>3.9583333333333339</v>
      </c>
      <c r="M84" s="29">
        <f t="shared" si="7"/>
        <v>13</v>
      </c>
      <c r="N84" s="92">
        <f t="shared" si="2"/>
        <v>1.9999999999999996</v>
      </c>
      <c r="O84" s="104">
        <f t="shared" si="3"/>
        <v>1.016</v>
      </c>
      <c r="P84" s="105">
        <f t="shared" si="4"/>
        <v>18.491199999999996</v>
      </c>
    </row>
    <row r="85" spans="2:16" x14ac:dyDescent="0.25">
      <c r="B85" s="88" t="str">
        <f t="shared" si="10"/>
        <v>Sitio Santa Lúcia</v>
      </c>
      <c r="C85" s="106">
        <f t="shared" si="5"/>
        <v>2019</v>
      </c>
      <c r="D85" s="101">
        <v>43644</v>
      </c>
      <c r="E85" s="102">
        <v>0.29166666666666669</v>
      </c>
      <c r="F85" s="103">
        <v>0.33333333333333298</v>
      </c>
      <c r="G85" s="103">
        <v>0.41666666666666669</v>
      </c>
      <c r="H85" s="103">
        <v>0.47916666666666669</v>
      </c>
      <c r="I85" s="90">
        <f t="shared" si="6"/>
        <v>0.99999999999999112</v>
      </c>
      <c r="J85" s="90">
        <f t="shared" si="1"/>
        <v>1.5</v>
      </c>
      <c r="K85" s="91">
        <f t="shared" si="8"/>
        <v>0.95833333333333348</v>
      </c>
      <c r="L85" s="91">
        <f t="shared" si="9"/>
        <v>3.9583333333333339</v>
      </c>
      <c r="M85" s="29">
        <f t="shared" si="7"/>
        <v>13</v>
      </c>
      <c r="N85" s="92">
        <f t="shared" si="2"/>
        <v>0.99999999999999112</v>
      </c>
      <c r="O85" s="104">
        <f t="shared" si="3"/>
        <v>1.016</v>
      </c>
      <c r="P85" s="105">
        <f t="shared" si="4"/>
        <v>9.2455999999999179</v>
      </c>
    </row>
    <row r="86" spans="2:16" x14ac:dyDescent="0.25">
      <c r="B86" s="88" t="str">
        <f t="shared" si="10"/>
        <v>Sitio Santa Lúcia</v>
      </c>
      <c r="C86" s="106">
        <f t="shared" si="5"/>
        <v>2019</v>
      </c>
      <c r="D86" s="101">
        <v>43645</v>
      </c>
      <c r="E86" s="102">
        <v>0.29166666666666669</v>
      </c>
      <c r="F86" s="103">
        <v>0.41666666666666669</v>
      </c>
      <c r="G86" s="103">
        <v>0.33333333333333298</v>
      </c>
      <c r="H86" s="103">
        <v>0.375</v>
      </c>
      <c r="I86" s="90">
        <f t="shared" si="6"/>
        <v>3</v>
      </c>
      <c r="J86" s="90">
        <f t="shared" si="1"/>
        <v>1.0000000000000084</v>
      </c>
      <c r="K86" s="91">
        <f t="shared" si="8"/>
        <v>0.95833333333333348</v>
      </c>
      <c r="L86" s="91">
        <f t="shared" si="9"/>
        <v>3.9583333333333339</v>
      </c>
      <c r="M86" s="29">
        <f t="shared" si="7"/>
        <v>13</v>
      </c>
      <c r="N86" s="92">
        <f t="shared" si="2"/>
        <v>3</v>
      </c>
      <c r="O86" s="104">
        <f t="shared" si="3"/>
        <v>1.016</v>
      </c>
      <c r="P86" s="105">
        <f t="shared" si="4"/>
        <v>27.736799999999999</v>
      </c>
    </row>
    <row r="87" spans="2:16" x14ac:dyDescent="0.25">
      <c r="B87" s="88" t="str">
        <f t="shared" si="10"/>
        <v>Sitio Santa Lúcia</v>
      </c>
      <c r="C87" s="106">
        <f t="shared" si="5"/>
        <v>2019</v>
      </c>
      <c r="D87" s="101">
        <v>43646</v>
      </c>
      <c r="E87" s="102">
        <v>0.2638888888888889</v>
      </c>
      <c r="F87" s="103">
        <v>0.44444444444444442</v>
      </c>
      <c r="G87" s="103">
        <v>0.3263888888888889</v>
      </c>
      <c r="H87" s="103">
        <v>0.46527777777777773</v>
      </c>
      <c r="I87" s="90">
        <f t="shared" si="6"/>
        <v>4.3333333333333321</v>
      </c>
      <c r="J87" s="90">
        <f t="shared" si="1"/>
        <v>3.3333333333333321</v>
      </c>
      <c r="K87" s="91">
        <f t="shared" si="8"/>
        <v>0.95833333333333348</v>
      </c>
      <c r="L87" s="91">
        <f t="shared" si="9"/>
        <v>3.9583333333333339</v>
      </c>
      <c r="M87" s="29">
        <f t="shared" si="7"/>
        <v>13</v>
      </c>
      <c r="N87" s="92">
        <f t="shared" si="2"/>
        <v>4.3333333333333321</v>
      </c>
      <c r="O87" s="104">
        <f t="shared" si="3"/>
        <v>1.016</v>
      </c>
      <c r="P87" s="105">
        <f t="shared" si="4"/>
        <v>40.064266666666654</v>
      </c>
    </row>
    <row r="88" spans="2:16" x14ac:dyDescent="0.25">
      <c r="B88" s="88" t="str">
        <f t="shared" si="10"/>
        <v>Sitio Santa Lúcia</v>
      </c>
      <c r="C88" s="106">
        <f t="shared" si="5"/>
        <v>2019</v>
      </c>
      <c r="D88" s="101">
        <v>43647</v>
      </c>
      <c r="E88" s="102">
        <v>0.35416666666666669</v>
      </c>
      <c r="F88" s="103">
        <v>0.3125</v>
      </c>
      <c r="G88" s="103">
        <v>0.375</v>
      </c>
      <c r="H88" s="103">
        <v>0.41666666666666669</v>
      </c>
      <c r="I88" s="90">
        <f t="shared" si="6"/>
        <v>-1.0000000000000004</v>
      </c>
      <c r="J88" s="90">
        <f t="shared" si="1"/>
        <v>1.0000000000000004</v>
      </c>
      <c r="K88" s="91">
        <f t="shared" si="8"/>
        <v>0.95833333333333348</v>
      </c>
      <c r="L88" s="91">
        <f t="shared" si="9"/>
        <v>3.9583333333333339</v>
      </c>
      <c r="M88" s="29">
        <f t="shared" si="7"/>
        <v>13</v>
      </c>
      <c r="N88" s="92">
        <f t="shared" si="2"/>
        <v>-1.0000000000000004</v>
      </c>
      <c r="O88" s="104">
        <f t="shared" si="3"/>
        <v>1.016</v>
      </c>
      <c r="P88" s="105">
        <f t="shared" si="4"/>
        <v>-9.2456000000000031</v>
      </c>
    </row>
    <row r="89" spans="2:16" x14ac:dyDescent="0.25">
      <c r="B89" s="88" t="str">
        <f t="shared" si="10"/>
        <v>Sitio Santa Lúcia</v>
      </c>
      <c r="C89" s="106">
        <f t="shared" si="5"/>
        <v>2019</v>
      </c>
      <c r="D89" s="101">
        <v>43648</v>
      </c>
      <c r="E89" s="102">
        <v>0.29166666666666669</v>
      </c>
      <c r="F89" s="103">
        <v>0.3611111111111111</v>
      </c>
      <c r="G89" s="103">
        <v>0.41666666666666669</v>
      </c>
      <c r="H89" s="103">
        <v>0.5</v>
      </c>
      <c r="I89" s="90">
        <f t="shared" si="6"/>
        <v>1.6666666666666661</v>
      </c>
      <c r="J89" s="90">
        <f t="shared" si="1"/>
        <v>1.9999999999999996</v>
      </c>
      <c r="K89" s="91">
        <f t="shared" si="8"/>
        <v>0.95833333333333348</v>
      </c>
      <c r="L89" s="91">
        <f t="shared" si="9"/>
        <v>3.9583333333333339</v>
      </c>
      <c r="M89" s="29">
        <f t="shared" si="7"/>
        <v>13</v>
      </c>
      <c r="N89" s="92">
        <f t="shared" si="2"/>
        <v>1.6666666666666661</v>
      </c>
      <c r="O89" s="104">
        <f t="shared" si="3"/>
        <v>1.016</v>
      </c>
      <c r="P89" s="105">
        <f t="shared" si="4"/>
        <v>15.409333333333326</v>
      </c>
    </row>
    <row r="90" spans="2:16" x14ac:dyDescent="0.25">
      <c r="B90" s="88" t="str">
        <f t="shared" si="10"/>
        <v>Sitio Santa Lúcia</v>
      </c>
      <c r="C90" s="106">
        <f t="shared" si="5"/>
        <v>2019</v>
      </c>
      <c r="D90" s="101">
        <v>43649</v>
      </c>
      <c r="E90" s="102">
        <v>0.27083333333333331</v>
      </c>
      <c r="F90" s="103">
        <v>0.375</v>
      </c>
      <c r="G90" s="103">
        <v>0.29166666666666669</v>
      </c>
      <c r="H90" s="103">
        <v>0.375</v>
      </c>
      <c r="I90" s="90">
        <f t="shared" si="6"/>
        <v>2.5000000000000004</v>
      </c>
      <c r="J90" s="90">
        <f t="shared" si="1"/>
        <v>1.9999999999999996</v>
      </c>
      <c r="K90" s="91">
        <f t="shared" si="8"/>
        <v>0.95833333333333348</v>
      </c>
      <c r="L90" s="91">
        <f t="shared" si="9"/>
        <v>3.9583333333333339</v>
      </c>
      <c r="M90" s="29">
        <f t="shared" si="7"/>
        <v>13</v>
      </c>
      <c r="N90" s="92">
        <f t="shared" si="2"/>
        <v>2.5000000000000004</v>
      </c>
      <c r="O90" s="104">
        <f t="shared" si="3"/>
        <v>1.016</v>
      </c>
      <c r="P90" s="105">
        <f t="shared" si="4"/>
        <v>23.114000000000004</v>
      </c>
    </row>
    <row r="91" spans="2:16" x14ac:dyDescent="0.25">
      <c r="B91" s="88" t="str">
        <f t="shared" si="10"/>
        <v>Sitio Santa Lúcia</v>
      </c>
      <c r="C91" s="106">
        <f t="shared" si="5"/>
        <v>2019</v>
      </c>
      <c r="D91" s="101">
        <v>43650</v>
      </c>
      <c r="E91" s="102">
        <v>0.33333333333333298</v>
      </c>
      <c r="F91" s="103">
        <v>0.4375</v>
      </c>
      <c r="G91" s="103">
        <v>0.25</v>
      </c>
      <c r="H91" s="103">
        <v>0.375</v>
      </c>
      <c r="I91" s="90">
        <f t="shared" si="6"/>
        <v>2.5000000000000084</v>
      </c>
      <c r="J91" s="90">
        <f t="shared" ref="J91:J176" si="11">((H91-G91)-INT($D$20))*24</f>
        <v>3</v>
      </c>
      <c r="K91" s="91">
        <f t="shared" si="8"/>
        <v>0.95833333333333348</v>
      </c>
      <c r="L91" s="91">
        <f t="shared" si="9"/>
        <v>3.9583333333333339</v>
      </c>
      <c r="M91" s="29">
        <f t="shared" si="7"/>
        <v>13</v>
      </c>
      <c r="N91" s="92">
        <f t="shared" ref="N91:N176" si="12">I91</f>
        <v>2.5000000000000084</v>
      </c>
      <c r="O91" s="104">
        <f t="shared" ref="O91:O180" si="13">$D$21/1000</f>
        <v>1.016</v>
      </c>
      <c r="P91" s="105">
        <f t="shared" ref="P91:P176" si="14">M91*N91*O91*0.7</f>
        <v>23.114000000000075</v>
      </c>
    </row>
    <row r="92" spans="2:16" x14ac:dyDescent="0.25">
      <c r="B92" s="88" t="str">
        <f t="shared" si="10"/>
        <v>Sitio Santa Lúcia</v>
      </c>
      <c r="C92" s="106">
        <f t="shared" ref="C92:C181" si="15">YEAR(D92)</f>
        <v>2019</v>
      </c>
      <c r="D92" s="101">
        <v>43651</v>
      </c>
      <c r="E92" s="102">
        <v>0.375</v>
      </c>
      <c r="F92" s="103">
        <v>0.4375</v>
      </c>
      <c r="G92" s="103">
        <v>0.29166666666666669</v>
      </c>
      <c r="H92" s="103">
        <v>0.375</v>
      </c>
      <c r="I92" s="90">
        <f t="shared" ref="I92:I177" si="16">((F92-E92)-INT($D$20))*24</f>
        <v>1.5</v>
      </c>
      <c r="J92" s="90">
        <f t="shared" si="11"/>
        <v>1.9999999999999996</v>
      </c>
      <c r="K92" s="91">
        <f t="shared" si="8"/>
        <v>0.95833333333333348</v>
      </c>
      <c r="L92" s="91">
        <f t="shared" si="9"/>
        <v>3.9583333333333339</v>
      </c>
      <c r="M92" s="29">
        <f t="shared" ref="M92:M177" si="17">VLOOKUP(B92,$I$5:$J$17,2,FALSE)</f>
        <v>13</v>
      </c>
      <c r="N92" s="92">
        <f t="shared" si="12"/>
        <v>1.5</v>
      </c>
      <c r="O92" s="104">
        <f t="shared" si="13"/>
        <v>1.016</v>
      </c>
      <c r="P92" s="105">
        <f t="shared" si="14"/>
        <v>13.868399999999999</v>
      </c>
    </row>
    <row r="93" spans="2:16" x14ac:dyDescent="0.25">
      <c r="B93" s="88" t="str">
        <f t="shared" si="10"/>
        <v>Sitio Santa Lúcia</v>
      </c>
      <c r="C93" s="106">
        <f t="shared" si="15"/>
        <v>2019</v>
      </c>
      <c r="D93" s="101">
        <v>43652</v>
      </c>
      <c r="E93" s="102">
        <v>0.34375</v>
      </c>
      <c r="F93" s="103">
        <v>0.4375</v>
      </c>
      <c r="G93" s="103">
        <v>0.41666666666666669</v>
      </c>
      <c r="H93" s="103">
        <v>0.45833333333333331</v>
      </c>
      <c r="I93" s="90">
        <f t="shared" si="16"/>
        <v>2.25</v>
      </c>
      <c r="J93" s="90">
        <f t="shared" si="11"/>
        <v>0.99999999999999911</v>
      </c>
      <c r="K93" s="91">
        <f t="shared" ref="K93:K182" si="18">VLOOKUP(B93,$B$5:$J$17,5,FALSE)</f>
        <v>0.95833333333333348</v>
      </c>
      <c r="L93" s="91">
        <f t="shared" ref="L93:L182" si="19">VLOOKUP(B93,$B$5:$J$17,6,FALSE)</f>
        <v>3.9583333333333339</v>
      </c>
      <c r="M93" s="29">
        <f t="shared" si="17"/>
        <v>13</v>
      </c>
      <c r="N93" s="92">
        <f t="shared" si="12"/>
        <v>2.25</v>
      </c>
      <c r="O93" s="104">
        <f t="shared" si="13"/>
        <v>1.016</v>
      </c>
      <c r="P93" s="105">
        <f t="shared" si="14"/>
        <v>20.802599999999998</v>
      </c>
    </row>
    <row r="94" spans="2:16" x14ac:dyDescent="0.25">
      <c r="B94" s="88" t="str">
        <f t="shared" si="10"/>
        <v>Sitio Santa Lúcia</v>
      </c>
      <c r="C94" s="106">
        <f t="shared" si="15"/>
        <v>2019</v>
      </c>
      <c r="D94" s="101">
        <v>43653</v>
      </c>
      <c r="E94" s="102">
        <v>0.29166666666666669</v>
      </c>
      <c r="F94" s="103">
        <v>0.33333333333333298</v>
      </c>
      <c r="G94" s="103">
        <v>0.375</v>
      </c>
      <c r="H94" s="103">
        <v>0.47916666666666669</v>
      </c>
      <c r="I94" s="90">
        <f t="shared" si="16"/>
        <v>0.99999999999999112</v>
      </c>
      <c r="J94" s="90">
        <f t="shared" si="11"/>
        <v>2.5000000000000004</v>
      </c>
      <c r="K94" s="91">
        <f t="shared" si="18"/>
        <v>0.95833333333333348</v>
      </c>
      <c r="L94" s="91">
        <f t="shared" si="19"/>
        <v>3.9583333333333339</v>
      </c>
      <c r="M94" s="29">
        <f t="shared" si="17"/>
        <v>13</v>
      </c>
      <c r="N94" s="92">
        <f t="shared" si="12"/>
        <v>0.99999999999999112</v>
      </c>
      <c r="O94" s="104">
        <f t="shared" si="13"/>
        <v>1.016</v>
      </c>
      <c r="P94" s="105">
        <f t="shared" si="14"/>
        <v>9.2455999999999179</v>
      </c>
    </row>
    <row r="95" spans="2:16" x14ac:dyDescent="0.25">
      <c r="B95" s="88" t="str">
        <f t="shared" si="10"/>
        <v>Sitio Santa Lúcia</v>
      </c>
      <c r="C95" s="106">
        <f t="shared" si="15"/>
        <v>2019</v>
      </c>
      <c r="D95" s="101">
        <v>43654</v>
      </c>
      <c r="E95" s="102">
        <v>0.3263888888888889</v>
      </c>
      <c r="F95" s="103">
        <v>0.39583333333333331</v>
      </c>
      <c r="G95" s="103">
        <v>0.45833333333333331</v>
      </c>
      <c r="H95" s="103">
        <v>0.5</v>
      </c>
      <c r="I95" s="90">
        <f t="shared" si="16"/>
        <v>1.6666666666666661</v>
      </c>
      <c r="J95" s="90">
        <f t="shared" si="11"/>
        <v>1.0000000000000004</v>
      </c>
      <c r="K95" s="91">
        <f t="shared" si="18"/>
        <v>0.95833333333333348</v>
      </c>
      <c r="L95" s="91">
        <f t="shared" si="19"/>
        <v>3.9583333333333339</v>
      </c>
      <c r="M95" s="29">
        <f t="shared" si="17"/>
        <v>13</v>
      </c>
      <c r="N95" s="92">
        <f t="shared" si="12"/>
        <v>1.6666666666666661</v>
      </c>
      <c r="O95" s="104">
        <f t="shared" si="13"/>
        <v>1.016</v>
      </c>
      <c r="P95" s="105">
        <f t="shared" si="14"/>
        <v>15.409333333333326</v>
      </c>
    </row>
    <row r="96" spans="2:16" x14ac:dyDescent="0.25">
      <c r="B96" s="88" t="str">
        <f t="shared" ref="B96:B159" si="20">$B$17</f>
        <v>Sitio Santa Lúcia</v>
      </c>
      <c r="C96" s="106">
        <f>YEAR(D96)</f>
        <v>2019</v>
      </c>
      <c r="D96" s="101">
        <v>43655</v>
      </c>
      <c r="E96" s="102">
        <v>0.39583333333333331</v>
      </c>
      <c r="F96" s="103">
        <v>0.4513888888888889</v>
      </c>
      <c r="G96" s="103">
        <v>0.33333333333333298</v>
      </c>
      <c r="H96" s="103">
        <v>0.49305555555555558</v>
      </c>
      <c r="I96" s="90">
        <f t="shared" si="16"/>
        <v>1.3333333333333339</v>
      </c>
      <c r="J96" s="90">
        <f t="shared" si="11"/>
        <v>3.8333333333333424</v>
      </c>
      <c r="K96" s="91">
        <f t="shared" si="18"/>
        <v>0.95833333333333348</v>
      </c>
      <c r="L96" s="91">
        <f t="shared" si="19"/>
        <v>3.9583333333333339</v>
      </c>
      <c r="M96" s="29">
        <f t="shared" si="17"/>
        <v>13</v>
      </c>
      <c r="N96" s="92">
        <f t="shared" si="12"/>
        <v>1.3333333333333339</v>
      </c>
      <c r="O96" s="104">
        <f t="shared" si="13"/>
        <v>1.016</v>
      </c>
      <c r="P96" s="105">
        <f t="shared" si="14"/>
        <v>12.327466666666673</v>
      </c>
    </row>
    <row r="97" spans="2:16" x14ac:dyDescent="0.25">
      <c r="B97" s="88" t="str">
        <f t="shared" si="20"/>
        <v>Sitio Santa Lúcia</v>
      </c>
      <c r="C97" s="106">
        <f t="shared" ref="C97:C121" si="21">YEAR(D97)</f>
        <v>2019</v>
      </c>
      <c r="D97" s="101">
        <v>43656</v>
      </c>
      <c r="E97" s="102">
        <v>0.29166666666666669</v>
      </c>
      <c r="F97" s="103">
        <v>0.33333333333333298</v>
      </c>
      <c r="G97" s="103">
        <v>0.25</v>
      </c>
      <c r="H97" s="103">
        <v>0.33333333333333298</v>
      </c>
      <c r="I97" s="90">
        <f t="shared" si="16"/>
        <v>0.99999999999999112</v>
      </c>
      <c r="J97" s="90">
        <f t="shared" si="11"/>
        <v>1.9999999999999916</v>
      </c>
      <c r="K97" s="91">
        <f t="shared" si="18"/>
        <v>0.95833333333333348</v>
      </c>
      <c r="L97" s="91">
        <f t="shared" si="19"/>
        <v>3.9583333333333339</v>
      </c>
      <c r="M97" s="29">
        <f t="shared" si="17"/>
        <v>13</v>
      </c>
      <c r="N97" s="92">
        <f t="shared" si="12"/>
        <v>0.99999999999999112</v>
      </c>
      <c r="O97" s="104">
        <f t="shared" si="13"/>
        <v>1.016</v>
      </c>
      <c r="P97" s="105">
        <f t="shared" si="14"/>
        <v>9.2455999999999179</v>
      </c>
    </row>
    <row r="98" spans="2:16" x14ac:dyDescent="0.25">
      <c r="B98" s="88" t="str">
        <f t="shared" si="20"/>
        <v>Sitio Santa Lúcia</v>
      </c>
      <c r="C98" s="106">
        <f t="shared" si="21"/>
        <v>2019</v>
      </c>
      <c r="D98" s="101">
        <v>43657</v>
      </c>
      <c r="E98" s="102">
        <v>0.3263888888888889</v>
      </c>
      <c r="F98" s="103">
        <v>0.41666666666666669</v>
      </c>
      <c r="G98" s="103">
        <v>0.33333333333333298</v>
      </c>
      <c r="H98" s="103">
        <v>0.39583333333333331</v>
      </c>
      <c r="I98" s="90">
        <f t="shared" si="16"/>
        <v>2.166666666666667</v>
      </c>
      <c r="J98" s="90">
        <f t="shared" si="11"/>
        <v>1.500000000000008</v>
      </c>
      <c r="K98" s="91">
        <f t="shared" si="18"/>
        <v>0.95833333333333348</v>
      </c>
      <c r="L98" s="91">
        <f t="shared" si="19"/>
        <v>3.9583333333333339</v>
      </c>
      <c r="M98" s="29">
        <f t="shared" si="17"/>
        <v>13</v>
      </c>
      <c r="N98" s="92">
        <f t="shared" si="12"/>
        <v>2.166666666666667</v>
      </c>
      <c r="O98" s="104">
        <f t="shared" si="13"/>
        <v>1.016</v>
      </c>
      <c r="P98" s="105">
        <f t="shared" si="14"/>
        <v>20.032133333333334</v>
      </c>
    </row>
    <row r="99" spans="2:16" x14ac:dyDescent="0.25">
      <c r="B99" s="88" t="str">
        <f t="shared" si="20"/>
        <v>Sitio Santa Lúcia</v>
      </c>
      <c r="C99" s="106">
        <f t="shared" si="21"/>
        <v>2019</v>
      </c>
      <c r="D99" s="101">
        <v>43658</v>
      </c>
      <c r="E99" s="102">
        <v>0.25</v>
      </c>
      <c r="F99" s="103">
        <v>0.33333333333333298</v>
      </c>
      <c r="G99" s="103">
        <v>0.29166666666666669</v>
      </c>
      <c r="H99" s="103">
        <v>0.41666666666666669</v>
      </c>
      <c r="I99" s="90">
        <f t="shared" si="16"/>
        <v>1.9999999999999916</v>
      </c>
      <c r="J99" s="90">
        <f t="shared" si="11"/>
        <v>3</v>
      </c>
      <c r="K99" s="91">
        <f t="shared" si="18"/>
        <v>0.95833333333333348</v>
      </c>
      <c r="L99" s="91">
        <f t="shared" si="19"/>
        <v>3.9583333333333339</v>
      </c>
      <c r="M99" s="29">
        <f t="shared" si="17"/>
        <v>13</v>
      </c>
      <c r="N99" s="92">
        <f t="shared" si="12"/>
        <v>1.9999999999999916</v>
      </c>
      <c r="O99" s="104">
        <f t="shared" si="13"/>
        <v>1.016</v>
      </c>
      <c r="P99" s="105">
        <f t="shared" si="14"/>
        <v>18.491199999999921</v>
      </c>
    </row>
    <row r="100" spans="2:16" x14ac:dyDescent="0.25">
      <c r="B100" s="88" t="str">
        <f t="shared" si="20"/>
        <v>Sitio Santa Lúcia</v>
      </c>
      <c r="C100" s="106">
        <f t="shared" si="21"/>
        <v>2019</v>
      </c>
      <c r="D100" s="101">
        <v>43659</v>
      </c>
      <c r="E100" s="102">
        <v>0.375</v>
      </c>
      <c r="F100" s="103">
        <v>0.45833333333333331</v>
      </c>
      <c r="G100" s="103">
        <v>0.33333333333333298</v>
      </c>
      <c r="H100" s="103">
        <v>0.41666666666666669</v>
      </c>
      <c r="I100" s="90">
        <f t="shared" si="16"/>
        <v>1.9999999999999996</v>
      </c>
      <c r="J100" s="90">
        <f t="shared" si="11"/>
        <v>2.0000000000000089</v>
      </c>
      <c r="K100" s="91">
        <f t="shared" si="18"/>
        <v>0.95833333333333348</v>
      </c>
      <c r="L100" s="91">
        <f t="shared" si="19"/>
        <v>3.9583333333333339</v>
      </c>
      <c r="M100" s="29">
        <f t="shared" si="17"/>
        <v>13</v>
      </c>
      <c r="N100" s="92">
        <f t="shared" si="12"/>
        <v>1.9999999999999996</v>
      </c>
      <c r="O100" s="104">
        <f t="shared" si="13"/>
        <v>1.016</v>
      </c>
      <c r="P100" s="105">
        <f t="shared" si="14"/>
        <v>18.491199999999996</v>
      </c>
    </row>
    <row r="101" spans="2:16" x14ac:dyDescent="0.25">
      <c r="B101" s="88" t="str">
        <f t="shared" si="20"/>
        <v>Sitio Santa Lúcia</v>
      </c>
      <c r="C101" s="106">
        <f t="shared" si="21"/>
        <v>2019</v>
      </c>
      <c r="D101" s="101">
        <v>43660</v>
      </c>
      <c r="E101" s="102">
        <v>0.41666666666666669</v>
      </c>
      <c r="F101" s="103">
        <v>0.45833333333333331</v>
      </c>
      <c r="G101" s="103">
        <v>0.27083333333333331</v>
      </c>
      <c r="H101" s="103">
        <v>0.41666666666666669</v>
      </c>
      <c r="I101" s="90">
        <f t="shared" si="16"/>
        <v>0.99999999999999911</v>
      </c>
      <c r="J101" s="90">
        <f t="shared" si="11"/>
        <v>3.5000000000000009</v>
      </c>
      <c r="K101" s="91">
        <f t="shared" si="18"/>
        <v>0.95833333333333348</v>
      </c>
      <c r="L101" s="91">
        <f t="shared" si="19"/>
        <v>3.9583333333333339</v>
      </c>
      <c r="M101" s="29">
        <f t="shared" si="17"/>
        <v>13</v>
      </c>
      <c r="N101" s="92">
        <f t="shared" si="12"/>
        <v>0.99999999999999911</v>
      </c>
      <c r="O101" s="104">
        <f t="shared" si="13"/>
        <v>1.016</v>
      </c>
      <c r="P101" s="105">
        <f t="shared" si="14"/>
        <v>9.2455999999999925</v>
      </c>
    </row>
    <row r="102" spans="2:16" x14ac:dyDescent="0.25">
      <c r="B102" s="88" t="str">
        <f t="shared" si="20"/>
        <v>Sitio Santa Lúcia</v>
      </c>
      <c r="C102" s="106">
        <f t="shared" si="21"/>
        <v>2019</v>
      </c>
      <c r="D102" s="101">
        <v>43661</v>
      </c>
      <c r="E102" s="102">
        <v>0.33333333333333298</v>
      </c>
      <c r="F102" s="103">
        <v>0.375</v>
      </c>
      <c r="G102" s="103">
        <v>0.41666666666666669</v>
      </c>
      <c r="H102" s="103">
        <v>0.5</v>
      </c>
      <c r="I102" s="90">
        <f t="shared" si="16"/>
        <v>1.0000000000000084</v>
      </c>
      <c r="J102" s="90">
        <f t="shared" si="11"/>
        <v>1.9999999999999996</v>
      </c>
      <c r="K102" s="91">
        <f t="shared" si="18"/>
        <v>0.95833333333333348</v>
      </c>
      <c r="L102" s="91">
        <f t="shared" si="19"/>
        <v>3.9583333333333339</v>
      </c>
      <c r="M102" s="29">
        <f t="shared" si="17"/>
        <v>13</v>
      </c>
      <c r="N102" s="92">
        <f t="shared" si="12"/>
        <v>1.0000000000000084</v>
      </c>
      <c r="O102" s="104">
        <f t="shared" si="13"/>
        <v>1.016</v>
      </c>
      <c r="P102" s="105">
        <f t="shared" si="14"/>
        <v>9.2456000000000778</v>
      </c>
    </row>
    <row r="103" spans="2:16" x14ac:dyDescent="0.25">
      <c r="B103" s="88" t="str">
        <f t="shared" si="20"/>
        <v>Sitio Santa Lúcia</v>
      </c>
      <c r="C103" s="106">
        <f t="shared" si="21"/>
        <v>2019</v>
      </c>
      <c r="D103" s="101">
        <v>43662</v>
      </c>
      <c r="E103" s="102">
        <v>0.41666666666666669</v>
      </c>
      <c r="F103" s="103">
        <v>0.5</v>
      </c>
      <c r="G103" s="103">
        <v>0.33333333333333298</v>
      </c>
      <c r="H103" s="103">
        <v>0.41666666666666669</v>
      </c>
      <c r="I103" s="90">
        <f t="shared" si="16"/>
        <v>1.9999999999999996</v>
      </c>
      <c r="J103" s="90">
        <f t="shared" si="11"/>
        <v>2.0000000000000089</v>
      </c>
      <c r="K103" s="91">
        <f t="shared" si="18"/>
        <v>0.95833333333333348</v>
      </c>
      <c r="L103" s="91">
        <f t="shared" si="19"/>
        <v>3.9583333333333339</v>
      </c>
      <c r="M103" s="29">
        <f t="shared" si="17"/>
        <v>13</v>
      </c>
      <c r="N103" s="92">
        <f t="shared" si="12"/>
        <v>1.9999999999999996</v>
      </c>
      <c r="O103" s="104">
        <f t="shared" si="13"/>
        <v>1.016</v>
      </c>
      <c r="P103" s="105">
        <f t="shared" si="14"/>
        <v>18.491199999999996</v>
      </c>
    </row>
    <row r="104" spans="2:16" x14ac:dyDescent="0.25">
      <c r="B104" s="88" t="str">
        <f t="shared" si="20"/>
        <v>Sitio Santa Lúcia</v>
      </c>
      <c r="C104" s="106">
        <f t="shared" si="21"/>
        <v>2019</v>
      </c>
      <c r="D104" s="101">
        <v>43663</v>
      </c>
      <c r="E104" s="102">
        <v>0.4375</v>
      </c>
      <c r="F104" s="103">
        <v>0.5</v>
      </c>
      <c r="G104" s="103">
        <v>0.27083333333333331</v>
      </c>
      <c r="H104" s="103">
        <v>0.33333333333333298</v>
      </c>
      <c r="I104" s="90">
        <f t="shared" si="16"/>
        <v>1.5</v>
      </c>
      <c r="J104" s="90">
        <f t="shared" si="11"/>
        <v>1.499999999999992</v>
      </c>
      <c r="K104" s="91">
        <f t="shared" si="18"/>
        <v>0.95833333333333348</v>
      </c>
      <c r="L104" s="91">
        <f t="shared" si="19"/>
        <v>3.9583333333333339</v>
      </c>
      <c r="M104" s="29">
        <f t="shared" si="17"/>
        <v>13</v>
      </c>
      <c r="N104" s="92">
        <f t="shared" si="12"/>
        <v>1.5</v>
      </c>
      <c r="O104" s="104">
        <f t="shared" si="13"/>
        <v>1.016</v>
      </c>
      <c r="P104" s="105">
        <f t="shared" si="14"/>
        <v>13.868399999999999</v>
      </c>
    </row>
    <row r="105" spans="2:16" x14ac:dyDescent="0.25">
      <c r="B105" s="88" t="str">
        <f t="shared" si="20"/>
        <v>Sitio Santa Lúcia</v>
      </c>
      <c r="C105" s="106">
        <f t="shared" si="21"/>
        <v>2019</v>
      </c>
      <c r="D105" s="101">
        <v>43664</v>
      </c>
      <c r="E105" s="102">
        <v>0.29166666666666669</v>
      </c>
      <c r="F105" s="103">
        <v>0.375</v>
      </c>
      <c r="G105" s="103">
        <v>0.41666666666666669</v>
      </c>
      <c r="H105" s="103">
        <v>0.5</v>
      </c>
      <c r="I105" s="90">
        <f t="shared" si="16"/>
        <v>1.9999999999999996</v>
      </c>
      <c r="J105" s="90">
        <f t="shared" si="11"/>
        <v>1.9999999999999996</v>
      </c>
      <c r="K105" s="91">
        <f t="shared" si="18"/>
        <v>0.95833333333333348</v>
      </c>
      <c r="L105" s="91">
        <f t="shared" si="19"/>
        <v>3.9583333333333339</v>
      </c>
      <c r="M105" s="29">
        <f t="shared" si="17"/>
        <v>13</v>
      </c>
      <c r="N105" s="92">
        <f t="shared" si="12"/>
        <v>1.9999999999999996</v>
      </c>
      <c r="O105" s="104">
        <f t="shared" si="13"/>
        <v>1.016</v>
      </c>
      <c r="P105" s="105">
        <f t="shared" si="14"/>
        <v>18.491199999999996</v>
      </c>
    </row>
    <row r="106" spans="2:16" x14ac:dyDescent="0.25">
      <c r="B106" s="88" t="str">
        <f t="shared" si="20"/>
        <v>Sitio Santa Lúcia</v>
      </c>
      <c r="C106" s="106">
        <f t="shared" si="21"/>
        <v>2019</v>
      </c>
      <c r="D106" s="101">
        <v>43665</v>
      </c>
      <c r="E106" s="102">
        <v>0.25</v>
      </c>
      <c r="F106" s="103">
        <v>0.29166666666666669</v>
      </c>
      <c r="G106" s="103">
        <v>0.33333333333333298</v>
      </c>
      <c r="H106" s="103">
        <v>0.41666666666666669</v>
      </c>
      <c r="I106" s="90">
        <f t="shared" si="16"/>
        <v>1.0000000000000004</v>
      </c>
      <c r="J106" s="90">
        <f t="shared" si="11"/>
        <v>2.0000000000000089</v>
      </c>
      <c r="K106" s="91">
        <f t="shared" si="18"/>
        <v>0.95833333333333348</v>
      </c>
      <c r="L106" s="91">
        <f t="shared" si="19"/>
        <v>3.9583333333333339</v>
      </c>
      <c r="M106" s="29">
        <f t="shared" si="17"/>
        <v>13</v>
      </c>
      <c r="N106" s="92">
        <f t="shared" si="12"/>
        <v>1.0000000000000004</v>
      </c>
      <c r="O106" s="104">
        <f t="shared" si="13"/>
        <v>1.016</v>
      </c>
      <c r="P106" s="105">
        <f t="shared" si="14"/>
        <v>9.2456000000000031</v>
      </c>
    </row>
    <row r="107" spans="2:16" x14ac:dyDescent="0.25">
      <c r="B107" s="88" t="str">
        <f t="shared" si="20"/>
        <v>Sitio Santa Lúcia</v>
      </c>
      <c r="C107" s="106">
        <f t="shared" si="21"/>
        <v>2019</v>
      </c>
      <c r="D107" s="101">
        <v>43666</v>
      </c>
      <c r="E107" s="102">
        <v>0.375</v>
      </c>
      <c r="F107" s="103">
        <v>0.45833333333333331</v>
      </c>
      <c r="G107" s="103">
        <v>0.25</v>
      </c>
      <c r="H107" s="103">
        <v>0.29166666666666669</v>
      </c>
      <c r="I107" s="90">
        <f t="shared" si="16"/>
        <v>1.9999999999999996</v>
      </c>
      <c r="J107" s="90">
        <f t="shared" si="11"/>
        <v>1.0000000000000004</v>
      </c>
      <c r="K107" s="91">
        <f t="shared" si="18"/>
        <v>0.95833333333333348</v>
      </c>
      <c r="L107" s="91">
        <f t="shared" si="19"/>
        <v>3.9583333333333339</v>
      </c>
      <c r="M107" s="29">
        <f t="shared" si="17"/>
        <v>13</v>
      </c>
      <c r="N107" s="92">
        <f t="shared" si="12"/>
        <v>1.9999999999999996</v>
      </c>
      <c r="O107" s="104">
        <f t="shared" si="13"/>
        <v>1.016</v>
      </c>
      <c r="P107" s="105">
        <f t="shared" si="14"/>
        <v>18.491199999999996</v>
      </c>
    </row>
    <row r="108" spans="2:16" x14ac:dyDescent="0.25">
      <c r="B108" s="88" t="str">
        <f t="shared" si="20"/>
        <v>Sitio Santa Lúcia</v>
      </c>
      <c r="C108" s="106">
        <f t="shared" si="21"/>
        <v>2019</v>
      </c>
      <c r="D108" s="101">
        <v>43667</v>
      </c>
      <c r="E108" s="102">
        <v>0.29166666666666669</v>
      </c>
      <c r="F108" s="103">
        <v>0.35416666666666669</v>
      </c>
      <c r="G108" s="103">
        <v>0.33333333333333298</v>
      </c>
      <c r="H108" s="103">
        <v>0.41666666666666669</v>
      </c>
      <c r="I108" s="90">
        <f t="shared" si="16"/>
        <v>1.5</v>
      </c>
      <c r="J108" s="90">
        <f t="shared" si="11"/>
        <v>2.0000000000000089</v>
      </c>
      <c r="K108" s="91">
        <f t="shared" si="18"/>
        <v>0.95833333333333348</v>
      </c>
      <c r="L108" s="91">
        <f t="shared" si="19"/>
        <v>3.9583333333333339</v>
      </c>
      <c r="M108" s="29">
        <f t="shared" si="17"/>
        <v>13</v>
      </c>
      <c r="N108" s="92">
        <f t="shared" si="12"/>
        <v>1.5</v>
      </c>
      <c r="O108" s="104">
        <f t="shared" si="13"/>
        <v>1.016</v>
      </c>
      <c r="P108" s="105">
        <f t="shared" si="14"/>
        <v>13.868399999999999</v>
      </c>
    </row>
    <row r="109" spans="2:16" x14ac:dyDescent="0.25">
      <c r="B109" s="88" t="str">
        <f t="shared" si="20"/>
        <v>Sitio Santa Lúcia</v>
      </c>
      <c r="C109" s="106">
        <f t="shared" si="21"/>
        <v>2019</v>
      </c>
      <c r="D109" s="101">
        <v>43668</v>
      </c>
      <c r="E109" s="102">
        <v>0.29166666666666669</v>
      </c>
      <c r="F109" s="103">
        <v>0.375</v>
      </c>
      <c r="G109" s="103">
        <v>0.41666666666666669</v>
      </c>
      <c r="H109" s="103">
        <v>0.45833333333333331</v>
      </c>
      <c r="I109" s="90">
        <f t="shared" si="16"/>
        <v>1.9999999999999996</v>
      </c>
      <c r="J109" s="90">
        <f t="shared" si="11"/>
        <v>0.99999999999999911</v>
      </c>
      <c r="K109" s="91">
        <f t="shared" si="18"/>
        <v>0.95833333333333348</v>
      </c>
      <c r="L109" s="91">
        <f t="shared" si="19"/>
        <v>3.9583333333333339</v>
      </c>
      <c r="M109" s="29">
        <f t="shared" si="17"/>
        <v>13</v>
      </c>
      <c r="N109" s="92">
        <f t="shared" si="12"/>
        <v>1.9999999999999996</v>
      </c>
      <c r="O109" s="104">
        <f t="shared" si="13"/>
        <v>1.016</v>
      </c>
      <c r="P109" s="105">
        <f t="shared" si="14"/>
        <v>18.491199999999996</v>
      </c>
    </row>
    <row r="110" spans="2:16" x14ac:dyDescent="0.25">
      <c r="B110" s="88" t="str">
        <f t="shared" si="20"/>
        <v>Sitio Santa Lúcia</v>
      </c>
      <c r="C110" s="106">
        <f t="shared" si="21"/>
        <v>2019</v>
      </c>
      <c r="D110" s="101">
        <v>43669</v>
      </c>
      <c r="E110" s="102">
        <v>0.25</v>
      </c>
      <c r="F110" s="103">
        <v>0.30208333333333331</v>
      </c>
      <c r="G110" s="103">
        <v>0.27083333333333331</v>
      </c>
      <c r="H110" s="103">
        <v>0.40277777777777773</v>
      </c>
      <c r="I110" s="90">
        <f t="shared" si="16"/>
        <v>1.2499999999999996</v>
      </c>
      <c r="J110" s="90">
        <f t="shared" si="11"/>
        <v>3.1666666666666661</v>
      </c>
      <c r="K110" s="91">
        <f t="shared" si="18"/>
        <v>0.95833333333333348</v>
      </c>
      <c r="L110" s="91">
        <f t="shared" si="19"/>
        <v>3.9583333333333339</v>
      </c>
      <c r="M110" s="29">
        <f t="shared" si="17"/>
        <v>13</v>
      </c>
      <c r="N110" s="92">
        <f t="shared" si="12"/>
        <v>1.2499999999999996</v>
      </c>
      <c r="O110" s="104">
        <f t="shared" si="13"/>
        <v>1.016</v>
      </c>
      <c r="P110" s="105">
        <f t="shared" si="14"/>
        <v>11.556999999999995</v>
      </c>
    </row>
    <row r="111" spans="2:16" x14ac:dyDescent="0.25">
      <c r="B111" s="88" t="str">
        <f t="shared" si="20"/>
        <v>Sitio Santa Lúcia</v>
      </c>
      <c r="C111" s="106">
        <f t="shared" si="21"/>
        <v>2019</v>
      </c>
      <c r="D111" s="101">
        <v>43670</v>
      </c>
      <c r="E111" s="102">
        <v>0.29166666666666669</v>
      </c>
      <c r="F111" s="103">
        <v>0.33333333333333298</v>
      </c>
      <c r="G111" s="103">
        <v>0.41666666666666669</v>
      </c>
      <c r="H111" s="103">
        <v>0.45833333333333331</v>
      </c>
      <c r="I111" s="90">
        <f t="shared" si="16"/>
        <v>0.99999999999999112</v>
      </c>
      <c r="J111" s="90">
        <f t="shared" si="11"/>
        <v>0.99999999999999911</v>
      </c>
      <c r="K111" s="91">
        <f t="shared" si="18"/>
        <v>0.95833333333333348</v>
      </c>
      <c r="L111" s="91">
        <f t="shared" si="19"/>
        <v>3.9583333333333339</v>
      </c>
      <c r="M111" s="29">
        <f t="shared" si="17"/>
        <v>13</v>
      </c>
      <c r="N111" s="92">
        <f t="shared" si="12"/>
        <v>0.99999999999999112</v>
      </c>
      <c r="O111" s="104">
        <f t="shared" si="13"/>
        <v>1.016</v>
      </c>
      <c r="P111" s="105">
        <f t="shared" si="14"/>
        <v>9.2455999999999179</v>
      </c>
    </row>
    <row r="112" spans="2:16" x14ac:dyDescent="0.25">
      <c r="B112" s="88" t="str">
        <f t="shared" si="20"/>
        <v>Sitio Santa Lúcia</v>
      </c>
      <c r="C112" s="106">
        <f t="shared" si="21"/>
        <v>2019</v>
      </c>
      <c r="D112" s="101">
        <v>43671</v>
      </c>
      <c r="E112" s="102">
        <v>0.375</v>
      </c>
      <c r="F112" s="103">
        <v>0.41666666666666669</v>
      </c>
      <c r="G112" s="103">
        <v>0.33333333333333298</v>
      </c>
      <c r="H112" s="103">
        <v>0.4375</v>
      </c>
      <c r="I112" s="90">
        <f t="shared" si="16"/>
        <v>1.0000000000000004</v>
      </c>
      <c r="J112" s="90">
        <f t="shared" si="11"/>
        <v>2.5000000000000084</v>
      </c>
      <c r="K112" s="91">
        <f t="shared" si="18"/>
        <v>0.95833333333333348</v>
      </c>
      <c r="L112" s="91">
        <f t="shared" si="19"/>
        <v>3.9583333333333339</v>
      </c>
      <c r="M112" s="29">
        <f t="shared" si="17"/>
        <v>13</v>
      </c>
      <c r="N112" s="92">
        <f t="shared" si="12"/>
        <v>1.0000000000000004</v>
      </c>
      <c r="O112" s="104">
        <f t="shared" si="13"/>
        <v>1.016</v>
      </c>
      <c r="P112" s="105">
        <f t="shared" si="14"/>
        <v>9.2456000000000031</v>
      </c>
    </row>
    <row r="113" spans="2:16" x14ac:dyDescent="0.25">
      <c r="B113" s="88" t="str">
        <f t="shared" si="20"/>
        <v>Sitio Santa Lúcia</v>
      </c>
      <c r="C113" s="106">
        <f t="shared" si="21"/>
        <v>2019</v>
      </c>
      <c r="D113" s="101">
        <v>43672</v>
      </c>
      <c r="E113" s="102">
        <v>0.375</v>
      </c>
      <c r="F113" s="103">
        <v>0.4375</v>
      </c>
      <c r="G113" s="103">
        <v>0.27777777777777779</v>
      </c>
      <c r="H113" s="103">
        <v>0.41666666666666669</v>
      </c>
      <c r="I113" s="90">
        <f t="shared" si="16"/>
        <v>1.5</v>
      </c>
      <c r="J113" s="90">
        <f t="shared" si="11"/>
        <v>3.3333333333333335</v>
      </c>
      <c r="K113" s="91">
        <f t="shared" si="18"/>
        <v>0.95833333333333348</v>
      </c>
      <c r="L113" s="91">
        <f t="shared" si="19"/>
        <v>3.9583333333333339</v>
      </c>
      <c r="M113" s="29">
        <f t="shared" si="17"/>
        <v>13</v>
      </c>
      <c r="N113" s="92">
        <f t="shared" si="12"/>
        <v>1.5</v>
      </c>
      <c r="O113" s="104">
        <f t="shared" si="13"/>
        <v>1.016</v>
      </c>
      <c r="P113" s="105">
        <f t="shared" si="14"/>
        <v>13.868399999999999</v>
      </c>
    </row>
    <row r="114" spans="2:16" x14ac:dyDescent="0.25">
      <c r="B114" s="88" t="str">
        <f t="shared" si="20"/>
        <v>Sitio Santa Lúcia</v>
      </c>
      <c r="C114" s="106">
        <f t="shared" si="21"/>
        <v>2019</v>
      </c>
      <c r="D114" s="101">
        <v>43673</v>
      </c>
      <c r="E114" s="102">
        <v>0.25</v>
      </c>
      <c r="F114" s="103">
        <v>0.29166666666666669</v>
      </c>
      <c r="G114" s="103">
        <v>0.33333333333333298</v>
      </c>
      <c r="H114" s="103">
        <v>0.41666666666666669</v>
      </c>
      <c r="I114" s="90">
        <f t="shared" si="16"/>
        <v>1.0000000000000004</v>
      </c>
      <c r="J114" s="90">
        <f t="shared" si="11"/>
        <v>2.0000000000000089</v>
      </c>
      <c r="K114" s="91">
        <f t="shared" si="18"/>
        <v>0.95833333333333348</v>
      </c>
      <c r="L114" s="91">
        <f t="shared" si="19"/>
        <v>3.9583333333333339</v>
      </c>
      <c r="M114" s="29">
        <f t="shared" si="17"/>
        <v>13</v>
      </c>
      <c r="N114" s="92">
        <f t="shared" si="12"/>
        <v>1.0000000000000004</v>
      </c>
      <c r="O114" s="104">
        <f t="shared" si="13"/>
        <v>1.016</v>
      </c>
      <c r="P114" s="105">
        <f t="shared" si="14"/>
        <v>9.2456000000000031</v>
      </c>
    </row>
    <row r="115" spans="2:16" x14ac:dyDescent="0.25">
      <c r="B115" s="88" t="str">
        <f t="shared" si="20"/>
        <v>Sitio Santa Lúcia</v>
      </c>
      <c r="C115" s="106">
        <f t="shared" si="21"/>
        <v>2019</v>
      </c>
      <c r="D115" s="101">
        <v>43674</v>
      </c>
      <c r="E115" s="102">
        <v>0.29166666666666669</v>
      </c>
      <c r="F115" s="103">
        <v>0.41666666666666669</v>
      </c>
      <c r="G115" s="103">
        <v>0.33333333333333298</v>
      </c>
      <c r="H115" s="103">
        <v>0.375</v>
      </c>
      <c r="I115" s="90">
        <f t="shared" si="16"/>
        <v>3</v>
      </c>
      <c r="J115" s="90">
        <f t="shared" si="11"/>
        <v>1.0000000000000084</v>
      </c>
      <c r="K115" s="91">
        <f t="shared" si="18"/>
        <v>0.95833333333333348</v>
      </c>
      <c r="L115" s="91">
        <f t="shared" si="19"/>
        <v>3.9583333333333339</v>
      </c>
      <c r="M115" s="29">
        <f t="shared" si="17"/>
        <v>13</v>
      </c>
      <c r="N115" s="92">
        <f t="shared" si="12"/>
        <v>3</v>
      </c>
      <c r="O115" s="104">
        <f t="shared" si="13"/>
        <v>1.016</v>
      </c>
      <c r="P115" s="105">
        <f t="shared" si="14"/>
        <v>27.736799999999999</v>
      </c>
    </row>
    <row r="116" spans="2:16" x14ac:dyDescent="0.25">
      <c r="B116" s="88" t="str">
        <f t="shared" si="20"/>
        <v>Sitio Santa Lúcia</v>
      </c>
      <c r="C116" s="106">
        <f t="shared" si="21"/>
        <v>2019</v>
      </c>
      <c r="D116" s="101">
        <v>43675</v>
      </c>
      <c r="E116" s="102">
        <v>0.27083333333333331</v>
      </c>
      <c r="F116" s="103">
        <v>0.3263888888888889</v>
      </c>
      <c r="G116" s="103">
        <v>0.33333333333333298</v>
      </c>
      <c r="H116" s="103">
        <v>0.41666666666666669</v>
      </c>
      <c r="I116" s="90">
        <f t="shared" si="16"/>
        <v>1.3333333333333339</v>
      </c>
      <c r="J116" s="90">
        <f t="shared" si="11"/>
        <v>2.0000000000000089</v>
      </c>
      <c r="K116" s="91">
        <f t="shared" si="18"/>
        <v>0.95833333333333348</v>
      </c>
      <c r="L116" s="91">
        <f t="shared" si="19"/>
        <v>3.9583333333333339</v>
      </c>
      <c r="M116" s="29">
        <f t="shared" si="17"/>
        <v>13</v>
      </c>
      <c r="N116" s="92">
        <f t="shared" si="12"/>
        <v>1.3333333333333339</v>
      </c>
      <c r="O116" s="104">
        <f t="shared" si="13"/>
        <v>1.016</v>
      </c>
      <c r="P116" s="105">
        <f t="shared" si="14"/>
        <v>12.327466666666673</v>
      </c>
    </row>
    <row r="117" spans="2:16" x14ac:dyDescent="0.25">
      <c r="B117" s="88" t="str">
        <f t="shared" si="20"/>
        <v>Sitio Santa Lúcia</v>
      </c>
      <c r="C117" s="106">
        <f t="shared" si="21"/>
        <v>2019</v>
      </c>
      <c r="D117" s="101">
        <v>43676</v>
      </c>
      <c r="E117" s="102">
        <v>0.29166666666666669</v>
      </c>
      <c r="F117" s="103">
        <v>0.33333333333333298</v>
      </c>
      <c r="G117" s="103">
        <v>0.375</v>
      </c>
      <c r="H117" s="103">
        <v>0.41666666666666669</v>
      </c>
      <c r="I117" s="90">
        <f t="shared" si="16"/>
        <v>0.99999999999999112</v>
      </c>
      <c r="J117" s="90">
        <f t="shared" si="11"/>
        <v>1.0000000000000004</v>
      </c>
      <c r="K117" s="91">
        <f t="shared" si="18"/>
        <v>0.95833333333333348</v>
      </c>
      <c r="L117" s="91">
        <f t="shared" si="19"/>
        <v>3.9583333333333339</v>
      </c>
      <c r="M117" s="29">
        <f t="shared" si="17"/>
        <v>13</v>
      </c>
      <c r="N117" s="92">
        <f t="shared" si="12"/>
        <v>0.99999999999999112</v>
      </c>
      <c r="O117" s="104">
        <f t="shared" si="13"/>
        <v>1.016</v>
      </c>
      <c r="P117" s="105">
        <f t="shared" si="14"/>
        <v>9.2455999999999179</v>
      </c>
    </row>
    <row r="118" spans="2:16" x14ac:dyDescent="0.25">
      <c r="B118" s="88" t="str">
        <f t="shared" si="20"/>
        <v>Sitio Santa Lúcia</v>
      </c>
      <c r="C118" s="106">
        <f t="shared" si="21"/>
        <v>2019</v>
      </c>
      <c r="D118" s="101">
        <v>43677</v>
      </c>
      <c r="E118" s="102">
        <v>0.25</v>
      </c>
      <c r="F118" s="103">
        <v>0.33333333333333298</v>
      </c>
      <c r="G118" s="103">
        <v>0.29166666666666669</v>
      </c>
      <c r="H118" s="103">
        <v>0.33333333333333298</v>
      </c>
      <c r="I118" s="90">
        <f t="shared" si="16"/>
        <v>1.9999999999999916</v>
      </c>
      <c r="J118" s="90">
        <f t="shared" si="11"/>
        <v>0.99999999999999112</v>
      </c>
      <c r="K118" s="91">
        <f t="shared" si="18"/>
        <v>0.95833333333333348</v>
      </c>
      <c r="L118" s="91">
        <f t="shared" si="19"/>
        <v>3.9583333333333339</v>
      </c>
      <c r="M118" s="29">
        <f t="shared" si="17"/>
        <v>13</v>
      </c>
      <c r="N118" s="92">
        <f t="shared" si="12"/>
        <v>1.9999999999999916</v>
      </c>
      <c r="O118" s="104">
        <f t="shared" si="13"/>
        <v>1.016</v>
      </c>
      <c r="P118" s="105">
        <f t="shared" si="14"/>
        <v>18.491199999999921</v>
      </c>
    </row>
    <row r="119" spans="2:16" x14ac:dyDescent="0.25">
      <c r="B119" s="88" t="str">
        <f t="shared" si="20"/>
        <v>Sitio Santa Lúcia</v>
      </c>
      <c r="C119" s="106">
        <f t="shared" si="21"/>
        <v>2019</v>
      </c>
      <c r="D119" s="101">
        <v>43678</v>
      </c>
      <c r="E119" s="102">
        <v>0.25</v>
      </c>
      <c r="F119" s="103">
        <v>0.29166666666666669</v>
      </c>
      <c r="G119" s="103">
        <v>0.35416666666666669</v>
      </c>
      <c r="H119" s="103">
        <v>0.40972222222222227</v>
      </c>
      <c r="I119" s="90">
        <f t="shared" si="16"/>
        <v>1.0000000000000004</v>
      </c>
      <c r="J119" s="90">
        <f t="shared" si="11"/>
        <v>1.3333333333333339</v>
      </c>
      <c r="K119" s="91">
        <f t="shared" si="18"/>
        <v>0.95833333333333348</v>
      </c>
      <c r="L119" s="91">
        <f t="shared" si="19"/>
        <v>3.9583333333333339</v>
      </c>
      <c r="M119" s="29">
        <f t="shared" si="17"/>
        <v>13</v>
      </c>
      <c r="N119" s="92">
        <f t="shared" si="12"/>
        <v>1.0000000000000004</v>
      </c>
      <c r="O119" s="104">
        <f t="shared" si="13"/>
        <v>1.016</v>
      </c>
      <c r="P119" s="105">
        <f t="shared" si="14"/>
        <v>9.2456000000000031</v>
      </c>
    </row>
    <row r="120" spans="2:16" x14ac:dyDescent="0.25">
      <c r="B120" s="88" t="str">
        <f t="shared" si="20"/>
        <v>Sitio Santa Lúcia</v>
      </c>
      <c r="C120" s="106">
        <f t="shared" si="21"/>
        <v>2019</v>
      </c>
      <c r="D120" s="101">
        <v>43679</v>
      </c>
      <c r="E120" s="102">
        <v>0.375</v>
      </c>
      <c r="F120" s="103">
        <v>0.4375</v>
      </c>
      <c r="G120" s="103">
        <v>0.29166666666666669</v>
      </c>
      <c r="H120" s="103">
        <v>0.375</v>
      </c>
      <c r="I120" s="90">
        <f t="shared" si="16"/>
        <v>1.5</v>
      </c>
      <c r="J120" s="90">
        <f t="shared" si="11"/>
        <v>1.9999999999999996</v>
      </c>
      <c r="K120" s="91">
        <f t="shared" si="18"/>
        <v>0.95833333333333348</v>
      </c>
      <c r="L120" s="91">
        <f t="shared" si="19"/>
        <v>3.9583333333333339</v>
      </c>
      <c r="M120" s="29">
        <f t="shared" si="17"/>
        <v>13</v>
      </c>
      <c r="N120" s="92">
        <f t="shared" si="12"/>
        <v>1.5</v>
      </c>
      <c r="O120" s="104">
        <f t="shared" si="13"/>
        <v>1.016</v>
      </c>
      <c r="P120" s="105">
        <f t="shared" si="14"/>
        <v>13.868399999999999</v>
      </c>
    </row>
    <row r="121" spans="2:16" x14ac:dyDescent="0.25">
      <c r="B121" s="88" t="str">
        <f t="shared" si="20"/>
        <v>Sitio Santa Lúcia</v>
      </c>
      <c r="C121" s="106">
        <f t="shared" si="21"/>
        <v>2019</v>
      </c>
      <c r="D121" s="101">
        <v>43680</v>
      </c>
      <c r="E121" s="102">
        <v>0.29166666666666669</v>
      </c>
      <c r="F121" s="103">
        <v>0.41666666666666669</v>
      </c>
      <c r="G121" s="103">
        <v>0.375</v>
      </c>
      <c r="H121" s="103">
        <v>0.45833333333333331</v>
      </c>
      <c r="I121" s="90">
        <f t="shared" si="16"/>
        <v>3</v>
      </c>
      <c r="J121" s="90">
        <f t="shared" si="11"/>
        <v>1.9999999999999996</v>
      </c>
      <c r="K121" s="91">
        <f t="shared" si="18"/>
        <v>0.95833333333333348</v>
      </c>
      <c r="L121" s="91">
        <f t="shared" si="19"/>
        <v>3.9583333333333339</v>
      </c>
      <c r="M121" s="29">
        <f t="shared" si="17"/>
        <v>13</v>
      </c>
      <c r="N121" s="92">
        <f t="shared" si="12"/>
        <v>3</v>
      </c>
      <c r="O121" s="104">
        <f t="shared" si="13"/>
        <v>1.016</v>
      </c>
      <c r="P121" s="105">
        <f t="shared" si="14"/>
        <v>27.736799999999999</v>
      </c>
    </row>
    <row r="122" spans="2:16" x14ac:dyDescent="0.25">
      <c r="B122" s="88" t="str">
        <f t="shared" si="20"/>
        <v>Sitio Santa Lúcia</v>
      </c>
      <c r="C122" s="106">
        <f t="shared" si="15"/>
        <v>2019</v>
      </c>
      <c r="D122" s="101">
        <v>43681</v>
      </c>
      <c r="E122" s="102">
        <v>0.33333333333333298</v>
      </c>
      <c r="F122" s="103">
        <v>0.45833333333333331</v>
      </c>
      <c r="G122" s="103">
        <v>0.25</v>
      </c>
      <c r="H122" s="103">
        <v>0.33333333333333298</v>
      </c>
      <c r="I122" s="90">
        <f t="shared" si="16"/>
        <v>3.000000000000008</v>
      </c>
      <c r="J122" s="90">
        <f t="shared" si="11"/>
        <v>1.9999999999999916</v>
      </c>
      <c r="K122" s="91">
        <f t="shared" si="18"/>
        <v>0.95833333333333348</v>
      </c>
      <c r="L122" s="91">
        <f t="shared" si="19"/>
        <v>3.9583333333333339</v>
      </c>
      <c r="M122" s="29">
        <f t="shared" si="17"/>
        <v>13</v>
      </c>
      <c r="N122" s="92">
        <f t="shared" si="12"/>
        <v>3.000000000000008</v>
      </c>
      <c r="O122" s="104">
        <f t="shared" si="13"/>
        <v>1.016</v>
      </c>
      <c r="P122" s="105">
        <f t="shared" si="14"/>
        <v>27.736800000000073</v>
      </c>
    </row>
    <row r="123" spans="2:16" x14ac:dyDescent="0.25">
      <c r="B123" s="88" t="str">
        <f t="shared" si="20"/>
        <v>Sitio Santa Lúcia</v>
      </c>
      <c r="C123" s="106">
        <f t="shared" si="15"/>
        <v>2019</v>
      </c>
      <c r="D123" s="101">
        <v>43682</v>
      </c>
      <c r="E123" s="102">
        <v>0.29166666666666669</v>
      </c>
      <c r="F123" s="103">
        <v>0.39583333333333331</v>
      </c>
      <c r="G123" s="103">
        <v>0.27083333333333331</v>
      </c>
      <c r="H123" s="103">
        <v>0.31944444444444448</v>
      </c>
      <c r="I123" s="90">
        <f t="shared" si="16"/>
        <v>2.4999999999999991</v>
      </c>
      <c r="J123" s="90">
        <f t="shared" si="11"/>
        <v>1.1666666666666679</v>
      </c>
      <c r="K123" s="91">
        <f t="shared" si="18"/>
        <v>0.95833333333333348</v>
      </c>
      <c r="L123" s="91">
        <f t="shared" si="19"/>
        <v>3.9583333333333339</v>
      </c>
      <c r="M123" s="29">
        <f t="shared" si="17"/>
        <v>13</v>
      </c>
      <c r="N123" s="92">
        <f t="shared" si="12"/>
        <v>2.4999999999999991</v>
      </c>
      <c r="O123" s="104">
        <f t="shared" si="13"/>
        <v>1.016</v>
      </c>
      <c r="P123" s="105">
        <f t="shared" si="14"/>
        <v>23.11399999999999</v>
      </c>
    </row>
    <row r="124" spans="2:16" x14ac:dyDescent="0.25">
      <c r="B124" s="88" t="str">
        <f t="shared" si="20"/>
        <v>Sitio Santa Lúcia</v>
      </c>
      <c r="C124" s="106">
        <f t="shared" si="15"/>
        <v>2019</v>
      </c>
      <c r="D124" s="101">
        <v>43683</v>
      </c>
      <c r="E124" s="102">
        <v>0.375</v>
      </c>
      <c r="F124" s="103">
        <v>0.41666666666666669</v>
      </c>
      <c r="G124" s="103">
        <v>0.33333333333333298</v>
      </c>
      <c r="H124" s="103">
        <v>0.4375</v>
      </c>
      <c r="I124" s="90">
        <f t="shared" si="16"/>
        <v>1.0000000000000004</v>
      </c>
      <c r="J124" s="90">
        <f t="shared" si="11"/>
        <v>2.5000000000000084</v>
      </c>
      <c r="K124" s="91">
        <f t="shared" si="18"/>
        <v>0.95833333333333348</v>
      </c>
      <c r="L124" s="91">
        <f t="shared" si="19"/>
        <v>3.9583333333333339</v>
      </c>
      <c r="M124" s="29">
        <f t="shared" si="17"/>
        <v>13</v>
      </c>
      <c r="N124" s="92">
        <f t="shared" si="12"/>
        <v>1.0000000000000004</v>
      </c>
      <c r="O124" s="104">
        <f t="shared" si="13"/>
        <v>1.016</v>
      </c>
      <c r="P124" s="105">
        <f t="shared" si="14"/>
        <v>9.2456000000000031</v>
      </c>
    </row>
    <row r="125" spans="2:16" x14ac:dyDescent="0.25">
      <c r="B125" s="88" t="str">
        <f t="shared" si="20"/>
        <v>Sitio Santa Lúcia</v>
      </c>
      <c r="C125" s="106">
        <f t="shared" si="15"/>
        <v>2019</v>
      </c>
      <c r="D125" s="101">
        <v>43684</v>
      </c>
      <c r="E125" s="102">
        <v>0.29166666666666669</v>
      </c>
      <c r="F125" s="103">
        <v>0.375</v>
      </c>
      <c r="G125" s="103">
        <v>0.33333333333333298</v>
      </c>
      <c r="H125" s="103">
        <v>0.39583333333333331</v>
      </c>
      <c r="I125" s="90">
        <f t="shared" si="16"/>
        <v>1.9999999999999996</v>
      </c>
      <c r="J125" s="90">
        <f t="shared" si="11"/>
        <v>1.500000000000008</v>
      </c>
      <c r="K125" s="91">
        <f t="shared" si="18"/>
        <v>0.95833333333333348</v>
      </c>
      <c r="L125" s="91">
        <f t="shared" si="19"/>
        <v>3.9583333333333339</v>
      </c>
      <c r="M125" s="29">
        <f t="shared" si="17"/>
        <v>13</v>
      </c>
      <c r="N125" s="92">
        <f t="shared" si="12"/>
        <v>1.9999999999999996</v>
      </c>
      <c r="O125" s="104">
        <f t="shared" si="13"/>
        <v>1.016</v>
      </c>
      <c r="P125" s="105">
        <f t="shared" si="14"/>
        <v>18.491199999999996</v>
      </c>
    </row>
    <row r="126" spans="2:16" x14ac:dyDescent="0.25">
      <c r="B126" s="88" t="str">
        <f t="shared" si="20"/>
        <v>Sitio Santa Lúcia</v>
      </c>
      <c r="C126" s="106">
        <f t="shared" si="15"/>
        <v>2019</v>
      </c>
      <c r="D126" s="101">
        <v>43685</v>
      </c>
      <c r="E126" s="102">
        <v>0.25</v>
      </c>
      <c r="F126" s="103">
        <v>0.39583333333333331</v>
      </c>
      <c r="G126" s="103">
        <v>0.29166666666666669</v>
      </c>
      <c r="H126" s="103">
        <v>0.33333333333333298</v>
      </c>
      <c r="I126" s="90">
        <f t="shared" si="16"/>
        <v>3.4999999999999996</v>
      </c>
      <c r="J126" s="90">
        <f t="shared" si="11"/>
        <v>0.99999999999999112</v>
      </c>
      <c r="K126" s="91">
        <f t="shared" si="18"/>
        <v>0.95833333333333348</v>
      </c>
      <c r="L126" s="91">
        <f t="shared" si="19"/>
        <v>3.9583333333333339</v>
      </c>
      <c r="M126" s="29">
        <f t="shared" si="17"/>
        <v>13</v>
      </c>
      <c r="N126" s="92">
        <f t="shared" si="12"/>
        <v>3.4999999999999996</v>
      </c>
      <c r="O126" s="104">
        <f t="shared" si="13"/>
        <v>1.016</v>
      </c>
      <c r="P126" s="105">
        <f t="shared" si="14"/>
        <v>32.359599999999993</v>
      </c>
    </row>
    <row r="127" spans="2:16" x14ac:dyDescent="0.25">
      <c r="B127" s="88" t="str">
        <f t="shared" si="20"/>
        <v>Sitio Santa Lúcia</v>
      </c>
      <c r="C127" s="106">
        <f t="shared" si="15"/>
        <v>2019</v>
      </c>
      <c r="D127" s="101">
        <v>43686</v>
      </c>
      <c r="E127" s="102">
        <v>0.39583333333333331</v>
      </c>
      <c r="F127" s="103">
        <v>0.47916666666666702</v>
      </c>
      <c r="G127" s="103">
        <v>0.47916666666666702</v>
      </c>
      <c r="H127" s="103">
        <v>0.52083333333333304</v>
      </c>
      <c r="I127" s="90">
        <f t="shared" si="16"/>
        <v>2.0000000000000089</v>
      </c>
      <c r="J127" s="90">
        <f t="shared" si="11"/>
        <v>0.99999999999998446</v>
      </c>
      <c r="K127" s="91">
        <f t="shared" si="18"/>
        <v>0.95833333333333348</v>
      </c>
      <c r="L127" s="91">
        <f t="shared" si="19"/>
        <v>3.9583333333333339</v>
      </c>
      <c r="M127" s="29">
        <f t="shared" si="17"/>
        <v>13</v>
      </c>
      <c r="N127" s="92">
        <f t="shared" si="12"/>
        <v>2.0000000000000089</v>
      </c>
      <c r="O127" s="104">
        <f t="shared" si="13"/>
        <v>1.016</v>
      </c>
      <c r="P127" s="105">
        <f t="shared" si="14"/>
        <v>18.491200000000081</v>
      </c>
    </row>
    <row r="128" spans="2:16" x14ac:dyDescent="0.25">
      <c r="B128" s="88" t="str">
        <f t="shared" si="20"/>
        <v>Sitio Santa Lúcia</v>
      </c>
      <c r="C128" s="106">
        <f t="shared" si="15"/>
        <v>2019</v>
      </c>
      <c r="D128" s="101">
        <v>43687</v>
      </c>
      <c r="E128" s="102">
        <v>0.25</v>
      </c>
      <c r="F128" s="103">
        <v>0.29166666666666669</v>
      </c>
      <c r="G128" s="103">
        <v>0.33333333333333298</v>
      </c>
      <c r="H128" s="103">
        <v>0.41666666666666669</v>
      </c>
      <c r="I128" s="90">
        <f t="shared" si="16"/>
        <v>1.0000000000000004</v>
      </c>
      <c r="J128" s="90">
        <f t="shared" si="11"/>
        <v>2.0000000000000089</v>
      </c>
      <c r="K128" s="91">
        <f t="shared" si="18"/>
        <v>0.95833333333333348</v>
      </c>
      <c r="L128" s="91">
        <f t="shared" si="19"/>
        <v>3.9583333333333339</v>
      </c>
      <c r="M128" s="29">
        <f t="shared" si="17"/>
        <v>13</v>
      </c>
      <c r="N128" s="92">
        <f t="shared" si="12"/>
        <v>1.0000000000000004</v>
      </c>
      <c r="O128" s="104">
        <f t="shared" si="13"/>
        <v>1.016</v>
      </c>
      <c r="P128" s="105">
        <f t="shared" si="14"/>
        <v>9.2456000000000031</v>
      </c>
    </row>
    <row r="129" spans="2:16" x14ac:dyDescent="0.25">
      <c r="B129" s="88" t="str">
        <f t="shared" si="20"/>
        <v>Sitio Santa Lúcia</v>
      </c>
      <c r="C129" s="106">
        <f t="shared" si="15"/>
        <v>2019</v>
      </c>
      <c r="D129" s="101">
        <v>43688</v>
      </c>
      <c r="E129" s="102">
        <v>0.29166666666666669</v>
      </c>
      <c r="F129" s="103">
        <v>0.375</v>
      </c>
      <c r="G129" s="103">
        <v>0.25</v>
      </c>
      <c r="H129" s="103">
        <v>0.33333333333333298</v>
      </c>
      <c r="I129" s="90">
        <f t="shared" si="16"/>
        <v>1.9999999999999996</v>
      </c>
      <c r="J129" s="90">
        <f t="shared" si="11"/>
        <v>1.9999999999999916</v>
      </c>
      <c r="K129" s="91">
        <f t="shared" si="18"/>
        <v>0.95833333333333348</v>
      </c>
      <c r="L129" s="91">
        <f t="shared" si="19"/>
        <v>3.9583333333333339</v>
      </c>
      <c r="M129" s="29">
        <f t="shared" si="17"/>
        <v>13</v>
      </c>
      <c r="N129" s="92">
        <f t="shared" si="12"/>
        <v>1.9999999999999996</v>
      </c>
      <c r="O129" s="104">
        <f t="shared" si="13"/>
        <v>1.016</v>
      </c>
      <c r="P129" s="105">
        <f t="shared" si="14"/>
        <v>18.491199999999996</v>
      </c>
    </row>
    <row r="130" spans="2:16" x14ac:dyDescent="0.25">
      <c r="B130" s="88" t="str">
        <f t="shared" si="20"/>
        <v>Sitio Santa Lúcia</v>
      </c>
      <c r="C130" s="106">
        <f t="shared" si="15"/>
        <v>2019</v>
      </c>
      <c r="D130" s="101">
        <v>43689</v>
      </c>
      <c r="E130" s="102">
        <v>0.375</v>
      </c>
      <c r="F130" s="103">
        <v>0.41666666666666669</v>
      </c>
      <c r="G130" s="103">
        <v>0.45833333333333331</v>
      </c>
      <c r="H130" s="103">
        <v>0.5</v>
      </c>
      <c r="I130" s="90">
        <f t="shared" si="16"/>
        <v>1.0000000000000004</v>
      </c>
      <c r="J130" s="90">
        <f t="shared" si="11"/>
        <v>1.0000000000000004</v>
      </c>
      <c r="K130" s="91">
        <f t="shared" si="18"/>
        <v>0.95833333333333348</v>
      </c>
      <c r="L130" s="91">
        <f t="shared" si="19"/>
        <v>3.9583333333333339</v>
      </c>
      <c r="M130" s="29">
        <f t="shared" si="17"/>
        <v>13</v>
      </c>
      <c r="N130" s="92">
        <f t="shared" si="12"/>
        <v>1.0000000000000004</v>
      </c>
      <c r="O130" s="104">
        <f t="shared" si="13"/>
        <v>1.016</v>
      </c>
      <c r="P130" s="105">
        <f t="shared" si="14"/>
        <v>9.2456000000000031</v>
      </c>
    </row>
    <row r="131" spans="2:16" x14ac:dyDescent="0.25">
      <c r="B131" s="88" t="str">
        <f t="shared" si="20"/>
        <v>Sitio Santa Lúcia</v>
      </c>
      <c r="C131" s="106">
        <f t="shared" si="15"/>
        <v>2019</v>
      </c>
      <c r="D131" s="101">
        <v>43690</v>
      </c>
      <c r="E131" s="102">
        <v>0.33333333333333298</v>
      </c>
      <c r="F131" s="103">
        <v>0.41666666666666669</v>
      </c>
      <c r="G131" s="103">
        <v>0.33333333333333298</v>
      </c>
      <c r="H131" s="103">
        <v>0.375</v>
      </c>
      <c r="I131" s="90">
        <f t="shared" si="16"/>
        <v>2.0000000000000089</v>
      </c>
      <c r="J131" s="90">
        <f t="shared" si="11"/>
        <v>1.0000000000000084</v>
      </c>
      <c r="K131" s="91">
        <f t="shared" si="18"/>
        <v>0.95833333333333348</v>
      </c>
      <c r="L131" s="91">
        <f t="shared" si="19"/>
        <v>3.9583333333333339</v>
      </c>
      <c r="M131" s="29">
        <f t="shared" si="17"/>
        <v>13</v>
      </c>
      <c r="N131" s="92">
        <f t="shared" si="12"/>
        <v>2.0000000000000089</v>
      </c>
      <c r="O131" s="104">
        <f t="shared" si="13"/>
        <v>1.016</v>
      </c>
      <c r="P131" s="105">
        <f t="shared" si="14"/>
        <v>18.491200000000081</v>
      </c>
    </row>
    <row r="132" spans="2:16" x14ac:dyDescent="0.25">
      <c r="B132" s="88" t="str">
        <f t="shared" si="20"/>
        <v>Sitio Santa Lúcia</v>
      </c>
      <c r="C132" s="106">
        <f t="shared" si="15"/>
        <v>2019</v>
      </c>
      <c r="D132" s="101">
        <v>43691</v>
      </c>
      <c r="E132" s="102">
        <v>0.29166666666666669</v>
      </c>
      <c r="F132" s="103">
        <v>0.3611111111111111</v>
      </c>
      <c r="G132" s="103">
        <v>0.375</v>
      </c>
      <c r="H132" s="103">
        <v>0.45833333333333331</v>
      </c>
      <c r="I132" s="90">
        <f t="shared" si="16"/>
        <v>1.6666666666666661</v>
      </c>
      <c r="J132" s="90">
        <f t="shared" si="11"/>
        <v>1.9999999999999996</v>
      </c>
      <c r="K132" s="91">
        <f t="shared" si="18"/>
        <v>0.95833333333333348</v>
      </c>
      <c r="L132" s="91">
        <f t="shared" si="19"/>
        <v>3.9583333333333339</v>
      </c>
      <c r="M132" s="29">
        <f t="shared" si="17"/>
        <v>13</v>
      </c>
      <c r="N132" s="92">
        <f t="shared" si="12"/>
        <v>1.6666666666666661</v>
      </c>
      <c r="O132" s="104">
        <f t="shared" si="13"/>
        <v>1.016</v>
      </c>
      <c r="P132" s="105">
        <f t="shared" si="14"/>
        <v>15.409333333333326</v>
      </c>
    </row>
    <row r="133" spans="2:16" x14ac:dyDescent="0.25">
      <c r="B133" s="88" t="str">
        <f t="shared" si="20"/>
        <v>Sitio Santa Lúcia</v>
      </c>
      <c r="C133" s="106">
        <f t="shared" si="15"/>
        <v>2019</v>
      </c>
      <c r="D133" s="101">
        <v>43692</v>
      </c>
      <c r="E133" s="102">
        <v>0.33333333333333298</v>
      </c>
      <c r="F133" s="103">
        <v>0.41666666666666669</v>
      </c>
      <c r="G133" s="103">
        <v>0.29166666666666669</v>
      </c>
      <c r="H133" s="103">
        <v>0.33333333333333298</v>
      </c>
      <c r="I133" s="90">
        <f t="shared" si="16"/>
        <v>2.0000000000000089</v>
      </c>
      <c r="J133" s="90">
        <f t="shared" si="11"/>
        <v>0.99999999999999112</v>
      </c>
      <c r="K133" s="91">
        <f t="shared" si="18"/>
        <v>0.95833333333333348</v>
      </c>
      <c r="L133" s="91">
        <f t="shared" si="19"/>
        <v>3.9583333333333339</v>
      </c>
      <c r="M133" s="29">
        <f t="shared" si="17"/>
        <v>13</v>
      </c>
      <c r="N133" s="92">
        <f t="shared" si="12"/>
        <v>2.0000000000000089</v>
      </c>
      <c r="O133" s="104">
        <f t="shared" si="13"/>
        <v>1.016</v>
      </c>
      <c r="P133" s="105">
        <f t="shared" si="14"/>
        <v>18.491200000000081</v>
      </c>
    </row>
    <row r="134" spans="2:16" x14ac:dyDescent="0.25">
      <c r="B134" s="88" t="str">
        <f t="shared" si="20"/>
        <v>Sitio Santa Lúcia</v>
      </c>
      <c r="C134" s="106">
        <f t="shared" si="15"/>
        <v>2019</v>
      </c>
      <c r="D134" s="101">
        <v>43693</v>
      </c>
      <c r="E134" s="102">
        <v>0.25</v>
      </c>
      <c r="F134" s="103">
        <v>0.35416666666666669</v>
      </c>
      <c r="G134" s="103">
        <v>0.375</v>
      </c>
      <c r="H134" s="103">
        <v>0.45833333333333331</v>
      </c>
      <c r="I134" s="90">
        <f t="shared" si="16"/>
        <v>2.5000000000000004</v>
      </c>
      <c r="J134" s="90">
        <f t="shared" si="11"/>
        <v>1.9999999999999996</v>
      </c>
      <c r="K134" s="91">
        <f t="shared" si="18"/>
        <v>0.95833333333333348</v>
      </c>
      <c r="L134" s="91">
        <f t="shared" si="19"/>
        <v>3.9583333333333339</v>
      </c>
      <c r="M134" s="29">
        <f t="shared" si="17"/>
        <v>13</v>
      </c>
      <c r="N134" s="92">
        <f t="shared" si="12"/>
        <v>2.5000000000000004</v>
      </c>
      <c r="O134" s="104">
        <f t="shared" si="13"/>
        <v>1.016</v>
      </c>
      <c r="P134" s="105">
        <f t="shared" si="14"/>
        <v>23.114000000000004</v>
      </c>
    </row>
    <row r="135" spans="2:16" x14ac:dyDescent="0.25">
      <c r="B135" s="88" t="str">
        <f t="shared" si="20"/>
        <v>Sitio Santa Lúcia</v>
      </c>
      <c r="C135" s="106">
        <f t="shared" si="15"/>
        <v>2019</v>
      </c>
      <c r="D135" s="101">
        <v>43694</v>
      </c>
      <c r="E135" s="102">
        <v>0.3125</v>
      </c>
      <c r="F135" s="103">
        <v>0.375</v>
      </c>
      <c r="G135" s="103">
        <v>0.27083333333333331</v>
      </c>
      <c r="H135" s="103">
        <v>0.33333333333333298</v>
      </c>
      <c r="I135" s="90">
        <f t="shared" si="16"/>
        <v>1.5</v>
      </c>
      <c r="J135" s="90">
        <f t="shared" si="11"/>
        <v>1.499999999999992</v>
      </c>
      <c r="K135" s="91">
        <f t="shared" si="18"/>
        <v>0.95833333333333348</v>
      </c>
      <c r="L135" s="91">
        <f t="shared" si="19"/>
        <v>3.9583333333333339</v>
      </c>
      <c r="M135" s="29">
        <f t="shared" si="17"/>
        <v>13</v>
      </c>
      <c r="N135" s="92">
        <f t="shared" si="12"/>
        <v>1.5</v>
      </c>
      <c r="O135" s="104">
        <f t="shared" si="13"/>
        <v>1.016</v>
      </c>
      <c r="P135" s="105">
        <f t="shared" si="14"/>
        <v>13.868399999999999</v>
      </c>
    </row>
    <row r="136" spans="2:16" x14ac:dyDescent="0.25">
      <c r="B136" s="88" t="str">
        <f t="shared" si="20"/>
        <v>Sitio Santa Lúcia</v>
      </c>
      <c r="C136" s="106">
        <f t="shared" si="15"/>
        <v>2019</v>
      </c>
      <c r="D136" s="101">
        <v>43695</v>
      </c>
      <c r="E136" s="102">
        <v>0.41666666666666669</v>
      </c>
      <c r="F136" s="103">
        <v>0.5</v>
      </c>
      <c r="G136" s="103">
        <v>0.29166666666666669</v>
      </c>
      <c r="H136" s="103">
        <v>0.41666666666666669</v>
      </c>
      <c r="I136" s="90">
        <f t="shared" si="16"/>
        <v>1.9999999999999996</v>
      </c>
      <c r="J136" s="90">
        <f t="shared" si="11"/>
        <v>3</v>
      </c>
      <c r="K136" s="91">
        <f t="shared" si="18"/>
        <v>0.95833333333333348</v>
      </c>
      <c r="L136" s="91">
        <f t="shared" si="19"/>
        <v>3.9583333333333339</v>
      </c>
      <c r="M136" s="29">
        <f t="shared" si="17"/>
        <v>13</v>
      </c>
      <c r="N136" s="92">
        <f t="shared" si="12"/>
        <v>1.9999999999999996</v>
      </c>
      <c r="O136" s="104">
        <f t="shared" si="13"/>
        <v>1.016</v>
      </c>
      <c r="P136" s="105">
        <f t="shared" si="14"/>
        <v>18.491199999999996</v>
      </c>
    </row>
    <row r="137" spans="2:16" x14ac:dyDescent="0.25">
      <c r="B137" s="88" t="str">
        <f t="shared" si="20"/>
        <v>Sitio Santa Lúcia</v>
      </c>
      <c r="C137" s="106">
        <f t="shared" si="15"/>
        <v>2019</v>
      </c>
      <c r="D137" s="101">
        <v>43696</v>
      </c>
      <c r="E137" s="102">
        <v>0.375</v>
      </c>
      <c r="F137" s="103">
        <v>0.41666666666666669</v>
      </c>
      <c r="G137" s="103">
        <v>0.33333333333333298</v>
      </c>
      <c r="H137" s="103">
        <v>0.41666666666666669</v>
      </c>
      <c r="I137" s="90">
        <f t="shared" si="16"/>
        <v>1.0000000000000004</v>
      </c>
      <c r="J137" s="90">
        <f t="shared" si="11"/>
        <v>2.0000000000000089</v>
      </c>
      <c r="K137" s="91">
        <f t="shared" si="18"/>
        <v>0.95833333333333348</v>
      </c>
      <c r="L137" s="91">
        <f t="shared" si="19"/>
        <v>3.9583333333333339</v>
      </c>
      <c r="M137" s="29">
        <f t="shared" si="17"/>
        <v>13</v>
      </c>
      <c r="N137" s="92">
        <f t="shared" si="12"/>
        <v>1.0000000000000004</v>
      </c>
      <c r="O137" s="104">
        <f t="shared" si="13"/>
        <v>1.016</v>
      </c>
      <c r="P137" s="105">
        <f t="shared" si="14"/>
        <v>9.2456000000000031</v>
      </c>
    </row>
    <row r="138" spans="2:16" x14ac:dyDescent="0.25">
      <c r="B138" s="88" t="str">
        <f t="shared" si="20"/>
        <v>Sitio Santa Lúcia</v>
      </c>
      <c r="C138" s="106">
        <f t="shared" si="15"/>
        <v>2019</v>
      </c>
      <c r="D138" s="101">
        <v>43697</v>
      </c>
      <c r="E138" s="102">
        <v>0.29166666666666669</v>
      </c>
      <c r="F138" s="103">
        <v>0.33333333333333298</v>
      </c>
      <c r="G138" s="103">
        <v>0.25</v>
      </c>
      <c r="H138" s="103">
        <v>0.29166666666666669</v>
      </c>
      <c r="I138" s="90">
        <f t="shared" si="16"/>
        <v>0.99999999999999112</v>
      </c>
      <c r="J138" s="90">
        <f t="shared" si="11"/>
        <v>1.0000000000000004</v>
      </c>
      <c r="K138" s="91">
        <f t="shared" si="18"/>
        <v>0.95833333333333348</v>
      </c>
      <c r="L138" s="91">
        <f t="shared" si="19"/>
        <v>3.9583333333333339</v>
      </c>
      <c r="M138" s="29">
        <f t="shared" si="17"/>
        <v>13</v>
      </c>
      <c r="N138" s="92">
        <f t="shared" si="12"/>
        <v>0.99999999999999112</v>
      </c>
      <c r="O138" s="104">
        <f t="shared" si="13"/>
        <v>1.016</v>
      </c>
      <c r="P138" s="105">
        <f t="shared" si="14"/>
        <v>9.2455999999999179</v>
      </c>
    </row>
    <row r="139" spans="2:16" x14ac:dyDescent="0.25">
      <c r="B139" s="88" t="str">
        <f t="shared" si="20"/>
        <v>Sitio Santa Lúcia</v>
      </c>
      <c r="C139" s="106">
        <f t="shared" si="15"/>
        <v>2019</v>
      </c>
      <c r="D139" s="101">
        <v>43698</v>
      </c>
      <c r="E139" s="102">
        <v>0.41666666666666669</v>
      </c>
      <c r="F139" s="103">
        <v>0.45833333333333331</v>
      </c>
      <c r="G139" s="103">
        <v>0.29166666666666669</v>
      </c>
      <c r="H139" s="103">
        <v>0.375</v>
      </c>
      <c r="I139" s="90">
        <f t="shared" si="16"/>
        <v>0.99999999999999911</v>
      </c>
      <c r="J139" s="90">
        <f t="shared" si="11"/>
        <v>1.9999999999999996</v>
      </c>
      <c r="K139" s="91">
        <f t="shared" si="18"/>
        <v>0.95833333333333348</v>
      </c>
      <c r="L139" s="91">
        <f t="shared" si="19"/>
        <v>3.9583333333333339</v>
      </c>
      <c r="M139" s="29">
        <f t="shared" si="17"/>
        <v>13</v>
      </c>
      <c r="N139" s="92">
        <f t="shared" si="12"/>
        <v>0.99999999999999911</v>
      </c>
      <c r="O139" s="104">
        <f t="shared" si="13"/>
        <v>1.016</v>
      </c>
      <c r="P139" s="105">
        <f t="shared" si="14"/>
        <v>9.2455999999999925</v>
      </c>
    </row>
    <row r="140" spans="2:16" x14ac:dyDescent="0.25">
      <c r="B140" s="88" t="str">
        <f t="shared" si="20"/>
        <v>Sitio Santa Lúcia</v>
      </c>
      <c r="C140" s="106">
        <f t="shared" si="15"/>
        <v>2019</v>
      </c>
      <c r="D140" s="101">
        <v>43699</v>
      </c>
      <c r="E140" s="102">
        <v>0.39583333333333331</v>
      </c>
      <c r="F140" s="103">
        <v>0.44444444444444442</v>
      </c>
      <c r="G140" s="103">
        <v>0.29166666666666669</v>
      </c>
      <c r="H140" s="103">
        <v>0.35416666666666669</v>
      </c>
      <c r="I140" s="90">
        <f t="shared" si="16"/>
        <v>1.1666666666666665</v>
      </c>
      <c r="J140" s="90">
        <f t="shared" si="11"/>
        <v>1.5</v>
      </c>
      <c r="K140" s="91">
        <f t="shared" si="18"/>
        <v>0.95833333333333348</v>
      </c>
      <c r="L140" s="91">
        <f t="shared" si="19"/>
        <v>3.9583333333333339</v>
      </c>
      <c r="M140" s="29">
        <f t="shared" si="17"/>
        <v>13</v>
      </c>
      <c r="N140" s="92">
        <f t="shared" si="12"/>
        <v>1.1666666666666665</v>
      </c>
      <c r="O140" s="104">
        <f t="shared" si="13"/>
        <v>1.016</v>
      </c>
      <c r="P140" s="105">
        <f t="shared" si="14"/>
        <v>10.786533333333331</v>
      </c>
    </row>
    <row r="141" spans="2:16" x14ac:dyDescent="0.25">
      <c r="B141" s="88" t="str">
        <f t="shared" si="20"/>
        <v>Sitio Santa Lúcia</v>
      </c>
      <c r="C141" s="106">
        <f t="shared" si="15"/>
        <v>2019</v>
      </c>
      <c r="D141" s="101">
        <v>43700</v>
      </c>
      <c r="E141" s="102">
        <v>0.29166666666666669</v>
      </c>
      <c r="F141" s="103">
        <v>0.33333333333333298</v>
      </c>
      <c r="G141" s="103">
        <v>0.375</v>
      </c>
      <c r="H141" s="103">
        <v>0.4375</v>
      </c>
      <c r="I141" s="90">
        <f t="shared" si="16"/>
        <v>0.99999999999999112</v>
      </c>
      <c r="J141" s="90">
        <f t="shared" si="11"/>
        <v>1.5</v>
      </c>
      <c r="K141" s="91">
        <f t="shared" si="18"/>
        <v>0.95833333333333348</v>
      </c>
      <c r="L141" s="91">
        <f t="shared" si="19"/>
        <v>3.9583333333333339</v>
      </c>
      <c r="M141" s="29">
        <f t="shared" si="17"/>
        <v>13</v>
      </c>
      <c r="N141" s="92">
        <f t="shared" si="12"/>
        <v>0.99999999999999112</v>
      </c>
      <c r="O141" s="104">
        <f t="shared" si="13"/>
        <v>1.016</v>
      </c>
      <c r="P141" s="105">
        <f t="shared" si="14"/>
        <v>9.2455999999999179</v>
      </c>
    </row>
    <row r="142" spans="2:16" x14ac:dyDescent="0.25">
      <c r="B142" s="88" t="str">
        <f t="shared" si="20"/>
        <v>Sitio Santa Lúcia</v>
      </c>
      <c r="C142" s="106">
        <f t="shared" si="15"/>
        <v>2019</v>
      </c>
      <c r="D142" s="101">
        <v>43701</v>
      </c>
      <c r="E142" s="102">
        <v>0.25</v>
      </c>
      <c r="F142" s="103">
        <v>0.35416666666666669</v>
      </c>
      <c r="G142" s="103">
        <v>0.41666666666666669</v>
      </c>
      <c r="H142" s="103">
        <v>0.47916666666666669</v>
      </c>
      <c r="I142" s="90">
        <f t="shared" si="16"/>
        <v>2.5000000000000004</v>
      </c>
      <c r="J142" s="90">
        <f t="shared" si="11"/>
        <v>1.5</v>
      </c>
      <c r="K142" s="91">
        <f t="shared" si="18"/>
        <v>0.95833333333333348</v>
      </c>
      <c r="L142" s="91">
        <f t="shared" si="19"/>
        <v>3.9583333333333339</v>
      </c>
      <c r="M142" s="29">
        <f t="shared" si="17"/>
        <v>13</v>
      </c>
      <c r="N142" s="92">
        <f t="shared" si="12"/>
        <v>2.5000000000000004</v>
      </c>
      <c r="O142" s="104">
        <f t="shared" si="13"/>
        <v>1.016</v>
      </c>
      <c r="P142" s="105">
        <f t="shared" si="14"/>
        <v>23.114000000000004</v>
      </c>
    </row>
    <row r="143" spans="2:16" x14ac:dyDescent="0.25">
      <c r="B143" s="88" t="str">
        <f t="shared" si="20"/>
        <v>Sitio Santa Lúcia</v>
      </c>
      <c r="C143" s="106">
        <f t="shared" si="15"/>
        <v>2019</v>
      </c>
      <c r="D143" s="101">
        <v>43702</v>
      </c>
      <c r="E143" s="102">
        <v>0.29166666666666669</v>
      </c>
      <c r="F143" s="103">
        <v>0.33333333333333298</v>
      </c>
      <c r="G143" s="103">
        <v>0.29166666666666669</v>
      </c>
      <c r="H143" s="103">
        <v>0.375</v>
      </c>
      <c r="I143" s="90">
        <f t="shared" si="16"/>
        <v>0.99999999999999112</v>
      </c>
      <c r="J143" s="90">
        <f t="shared" si="11"/>
        <v>1.9999999999999996</v>
      </c>
      <c r="K143" s="91">
        <f t="shared" si="18"/>
        <v>0.95833333333333348</v>
      </c>
      <c r="L143" s="91">
        <f t="shared" si="19"/>
        <v>3.9583333333333339</v>
      </c>
      <c r="M143" s="29">
        <f t="shared" si="17"/>
        <v>13</v>
      </c>
      <c r="N143" s="92">
        <f t="shared" si="12"/>
        <v>0.99999999999999112</v>
      </c>
      <c r="O143" s="104">
        <f t="shared" si="13"/>
        <v>1.016</v>
      </c>
      <c r="P143" s="105">
        <f t="shared" si="14"/>
        <v>9.2455999999999179</v>
      </c>
    </row>
    <row r="144" spans="2:16" x14ac:dyDescent="0.25">
      <c r="B144" s="88" t="str">
        <f t="shared" si="20"/>
        <v>Sitio Santa Lúcia</v>
      </c>
      <c r="C144" s="106">
        <f t="shared" si="15"/>
        <v>2019</v>
      </c>
      <c r="D144" s="101">
        <v>43703</v>
      </c>
      <c r="E144" s="102">
        <v>0.27777777777777779</v>
      </c>
      <c r="F144" s="103">
        <v>0.36805555555555558</v>
      </c>
      <c r="G144" s="103">
        <v>0.375</v>
      </c>
      <c r="H144" s="103">
        <v>0.41666666666666669</v>
      </c>
      <c r="I144" s="90">
        <f t="shared" si="16"/>
        <v>2.166666666666667</v>
      </c>
      <c r="J144" s="90">
        <f t="shared" si="11"/>
        <v>1.0000000000000004</v>
      </c>
      <c r="K144" s="91">
        <f t="shared" si="18"/>
        <v>0.95833333333333348</v>
      </c>
      <c r="L144" s="91">
        <f t="shared" si="19"/>
        <v>3.9583333333333339</v>
      </c>
      <c r="M144" s="29">
        <f t="shared" si="17"/>
        <v>13</v>
      </c>
      <c r="N144" s="92">
        <f t="shared" si="12"/>
        <v>2.166666666666667</v>
      </c>
      <c r="O144" s="104">
        <f t="shared" si="13"/>
        <v>1.016</v>
      </c>
      <c r="P144" s="105">
        <f t="shared" si="14"/>
        <v>20.032133333333334</v>
      </c>
    </row>
    <row r="145" spans="2:16" x14ac:dyDescent="0.25">
      <c r="B145" s="88" t="str">
        <f t="shared" si="20"/>
        <v>Sitio Santa Lúcia</v>
      </c>
      <c r="C145" s="106">
        <f t="shared" si="15"/>
        <v>2019</v>
      </c>
      <c r="D145" s="101">
        <v>43704</v>
      </c>
      <c r="E145" s="102">
        <v>0.29166666666666669</v>
      </c>
      <c r="F145" s="103">
        <v>0.33333333333333298</v>
      </c>
      <c r="G145" s="103">
        <v>0.375</v>
      </c>
      <c r="H145" s="103">
        <v>0.41666666666666669</v>
      </c>
      <c r="I145" s="90">
        <f t="shared" si="16"/>
        <v>0.99999999999999112</v>
      </c>
      <c r="J145" s="90">
        <f t="shared" si="11"/>
        <v>1.0000000000000004</v>
      </c>
      <c r="K145" s="91">
        <f t="shared" si="18"/>
        <v>0.95833333333333348</v>
      </c>
      <c r="L145" s="91">
        <f t="shared" si="19"/>
        <v>3.9583333333333339</v>
      </c>
      <c r="M145" s="29">
        <f t="shared" si="17"/>
        <v>13</v>
      </c>
      <c r="N145" s="92">
        <f t="shared" si="12"/>
        <v>0.99999999999999112</v>
      </c>
      <c r="O145" s="104">
        <f t="shared" si="13"/>
        <v>1.016</v>
      </c>
      <c r="P145" s="105">
        <f t="shared" si="14"/>
        <v>9.2455999999999179</v>
      </c>
    </row>
    <row r="146" spans="2:16" x14ac:dyDescent="0.25">
      <c r="B146" s="88" t="str">
        <f t="shared" si="20"/>
        <v>Sitio Santa Lúcia</v>
      </c>
      <c r="C146" s="106">
        <f t="shared" si="15"/>
        <v>2019</v>
      </c>
      <c r="D146" s="101">
        <v>43705</v>
      </c>
      <c r="E146" s="102">
        <v>0.33333333333333298</v>
      </c>
      <c r="F146" s="103">
        <v>0.375</v>
      </c>
      <c r="G146" s="103">
        <v>0.29166666666666669</v>
      </c>
      <c r="H146" s="103">
        <v>0.35416666666666669</v>
      </c>
      <c r="I146" s="90">
        <f t="shared" si="16"/>
        <v>1.0000000000000084</v>
      </c>
      <c r="J146" s="90">
        <f t="shared" si="11"/>
        <v>1.5</v>
      </c>
      <c r="K146" s="91">
        <f t="shared" si="18"/>
        <v>0.95833333333333348</v>
      </c>
      <c r="L146" s="91">
        <f t="shared" si="19"/>
        <v>3.9583333333333339</v>
      </c>
      <c r="M146" s="29">
        <f t="shared" si="17"/>
        <v>13</v>
      </c>
      <c r="N146" s="92">
        <f t="shared" si="12"/>
        <v>1.0000000000000084</v>
      </c>
      <c r="O146" s="104">
        <f t="shared" si="13"/>
        <v>1.016</v>
      </c>
      <c r="P146" s="105">
        <f t="shared" si="14"/>
        <v>9.2456000000000778</v>
      </c>
    </row>
    <row r="147" spans="2:16" x14ac:dyDescent="0.25">
      <c r="B147" s="88" t="str">
        <f t="shared" si="20"/>
        <v>Sitio Santa Lúcia</v>
      </c>
      <c r="C147" s="106">
        <f t="shared" si="15"/>
        <v>2019</v>
      </c>
      <c r="D147" s="101">
        <v>43706</v>
      </c>
      <c r="E147" s="102">
        <v>0.25</v>
      </c>
      <c r="F147" s="103">
        <v>0.29166666666666669</v>
      </c>
      <c r="G147" s="103">
        <v>0.33333333333333298</v>
      </c>
      <c r="H147" s="103">
        <v>0.375</v>
      </c>
      <c r="I147" s="90">
        <f t="shared" si="16"/>
        <v>1.0000000000000004</v>
      </c>
      <c r="J147" s="90">
        <f t="shared" si="11"/>
        <v>1.0000000000000084</v>
      </c>
      <c r="K147" s="91">
        <f t="shared" si="18"/>
        <v>0.95833333333333348</v>
      </c>
      <c r="L147" s="91">
        <f t="shared" si="19"/>
        <v>3.9583333333333339</v>
      </c>
      <c r="M147" s="29">
        <f t="shared" si="17"/>
        <v>13</v>
      </c>
      <c r="N147" s="92">
        <f t="shared" si="12"/>
        <v>1.0000000000000004</v>
      </c>
      <c r="O147" s="104">
        <f t="shared" si="13"/>
        <v>1.016</v>
      </c>
      <c r="P147" s="105">
        <f t="shared" si="14"/>
        <v>9.2456000000000031</v>
      </c>
    </row>
    <row r="148" spans="2:16" x14ac:dyDescent="0.25">
      <c r="B148" s="88" t="str">
        <f t="shared" si="20"/>
        <v>Sitio Santa Lúcia</v>
      </c>
      <c r="C148" s="106">
        <f t="shared" si="15"/>
        <v>2019</v>
      </c>
      <c r="D148" s="101">
        <v>43707</v>
      </c>
      <c r="E148" s="102">
        <v>0.27083333333333331</v>
      </c>
      <c r="F148" s="103">
        <v>0.34027777777777773</v>
      </c>
      <c r="G148" s="103">
        <v>0.375</v>
      </c>
      <c r="H148" s="103">
        <v>0.45833333333333331</v>
      </c>
      <c r="I148" s="90">
        <f t="shared" si="16"/>
        <v>1.6666666666666661</v>
      </c>
      <c r="J148" s="90">
        <f t="shared" si="11"/>
        <v>1.9999999999999996</v>
      </c>
      <c r="K148" s="91">
        <f t="shared" si="18"/>
        <v>0.95833333333333348</v>
      </c>
      <c r="L148" s="91">
        <f t="shared" si="19"/>
        <v>3.9583333333333339</v>
      </c>
      <c r="M148" s="29">
        <f t="shared" si="17"/>
        <v>13</v>
      </c>
      <c r="N148" s="92">
        <f t="shared" si="12"/>
        <v>1.6666666666666661</v>
      </c>
      <c r="O148" s="104">
        <f t="shared" si="13"/>
        <v>1.016</v>
      </c>
      <c r="P148" s="105">
        <f t="shared" si="14"/>
        <v>15.409333333333326</v>
      </c>
    </row>
    <row r="149" spans="2:16" x14ac:dyDescent="0.25">
      <c r="B149" s="88" t="str">
        <f t="shared" si="20"/>
        <v>Sitio Santa Lúcia</v>
      </c>
      <c r="C149" s="106">
        <f t="shared" si="15"/>
        <v>2019</v>
      </c>
      <c r="D149" s="101">
        <v>43708</v>
      </c>
      <c r="E149" s="102">
        <v>0.29166666666666669</v>
      </c>
      <c r="F149" s="103">
        <v>0.33333333333333298</v>
      </c>
      <c r="G149" s="103">
        <v>0.41666666666666669</v>
      </c>
      <c r="H149" s="103">
        <v>0.5</v>
      </c>
      <c r="I149" s="90">
        <f t="shared" si="16"/>
        <v>0.99999999999999112</v>
      </c>
      <c r="J149" s="90">
        <f t="shared" si="11"/>
        <v>1.9999999999999996</v>
      </c>
      <c r="K149" s="91">
        <f t="shared" si="18"/>
        <v>0.95833333333333348</v>
      </c>
      <c r="L149" s="91">
        <f t="shared" si="19"/>
        <v>3.9583333333333339</v>
      </c>
      <c r="M149" s="29">
        <f t="shared" si="17"/>
        <v>13</v>
      </c>
      <c r="N149" s="92">
        <f t="shared" si="12"/>
        <v>0.99999999999999112</v>
      </c>
      <c r="O149" s="104">
        <f t="shared" si="13"/>
        <v>1.016</v>
      </c>
      <c r="P149" s="105">
        <f t="shared" si="14"/>
        <v>9.2455999999999179</v>
      </c>
    </row>
    <row r="150" spans="2:16" x14ac:dyDescent="0.25">
      <c r="B150" s="88" t="str">
        <f t="shared" si="20"/>
        <v>Sitio Santa Lúcia</v>
      </c>
      <c r="C150" s="106">
        <f t="shared" si="15"/>
        <v>2019</v>
      </c>
      <c r="D150" s="101">
        <v>43709</v>
      </c>
      <c r="E150" s="102">
        <v>0.29166666666666669</v>
      </c>
      <c r="F150" s="103">
        <v>0.375</v>
      </c>
      <c r="G150" s="103">
        <v>0.34027777777777773</v>
      </c>
      <c r="H150" s="103">
        <v>0.44444444444444442</v>
      </c>
      <c r="I150" s="90">
        <f t="shared" si="16"/>
        <v>1.9999999999999996</v>
      </c>
      <c r="J150" s="90">
        <f t="shared" si="11"/>
        <v>2.5000000000000004</v>
      </c>
      <c r="K150" s="91">
        <f t="shared" si="18"/>
        <v>0.95833333333333348</v>
      </c>
      <c r="L150" s="91">
        <f t="shared" si="19"/>
        <v>3.9583333333333339</v>
      </c>
      <c r="M150" s="29">
        <f t="shared" si="17"/>
        <v>13</v>
      </c>
      <c r="N150" s="92">
        <f t="shared" si="12"/>
        <v>1.9999999999999996</v>
      </c>
      <c r="O150" s="104">
        <f t="shared" si="13"/>
        <v>1.016</v>
      </c>
      <c r="P150" s="105">
        <f t="shared" si="14"/>
        <v>18.491199999999996</v>
      </c>
    </row>
    <row r="151" spans="2:16" x14ac:dyDescent="0.25">
      <c r="B151" s="88" t="str">
        <f t="shared" si="20"/>
        <v>Sitio Santa Lúcia</v>
      </c>
      <c r="C151" s="106">
        <f t="shared" si="15"/>
        <v>2019</v>
      </c>
      <c r="D151" s="101">
        <v>43710</v>
      </c>
      <c r="E151" s="102">
        <v>0.27083333333333331</v>
      </c>
      <c r="F151" s="103">
        <v>0.33333333333333298</v>
      </c>
      <c r="G151" s="103">
        <v>0.375</v>
      </c>
      <c r="H151" s="103">
        <v>0.41666666666666669</v>
      </c>
      <c r="I151" s="90">
        <f t="shared" si="16"/>
        <v>1.499999999999992</v>
      </c>
      <c r="J151" s="90">
        <f t="shared" si="11"/>
        <v>1.0000000000000004</v>
      </c>
      <c r="K151" s="91">
        <f t="shared" si="18"/>
        <v>0.95833333333333348</v>
      </c>
      <c r="L151" s="91">
        <f t="shared" si="19"/>
        <v>3.9583333333333339</v>
      </c>
      <c r="M151" s="29">
        <f t="shared" si="17"/>
        <v>13</v>
      </c>
      <c r="N151" s="92">
        <f t="shared" si="12"/>
        <v>1.499999999999992</v>
      </c>
      <c r="O151" s="104">
        <f t="shared" si="13"/>
        <v>1.016</v>
      </c>
      <c r="P151" s="105">
        <f t="shared" si="14"/>
        <v>13.868399999999925</v>
      </c>
    </row>
    <row r="152" spans="2:16" x14ac:dyDescent="0.25">
      <c r="B152" s="88" t="str">
        <f t="shared" si="20"/>
        <v>Sitio Santa Lúcia</v>
      </c>
      <c r="C152" s="106">
        <f t="shared" si="15"/>
        <v>2019</v>
      </c>
      <c r="D152" s="101">
        <v>43711</v>
      </c>
      <c r="E152" s="102">
        <v>0.29166666666666669</v>
      </c>
      <c r="F152" s="103">
        <v>0.33333333333333298</v>
      </c>
      <c r="G152" s="103">
        <v>0.375</v>
      </c>
      <c r="H152" s="103">
        <v>0.45833333333333331</v>
      </c>
      <c r="I152" s="90">
        <f t="shared" si="16"/>
        <v>0.99999999999999112</v>
      </c>
      <c r="J152" s="90">
        <f t="shared" si="11"/>
        <v>1.9999999999999996</v>
      </c>
      <c r="K152" s="91">
        <f t="shared" si="18"/>
        <v>0.95833333333333348</v>
      </c>
      <c r="L152" s="91">
        <f t="shared" si="19"/>
        <v>3.9583333333333339</v>
      </c>
      <c r="M152" s="29">
        <f t="shared" si="17"/>
        <v>13</v>
      </c>
      <c r="N152" s="92">
        <f t="shared" si="12"/>
        <v>0.99999999999999112</v>
      </c>
      <c r="O152" s="104">
        <f t="shared" si="13"/>
        <v>1.016</v>
      </c>
      <c r="P152" s="105">
        <f t="shared" si="14"/>
        <v>9.2455999999999179</v>
      </c>
    </row>
    <row r="153" spans="2:16" x14ac:dyDescent="0.25">
      <c r="B153" s="88" t="str">
        <f t="shared" si="20"/>
        <v>Sitio Santa Lúcia</v>
      </c>
      <c r="C153" s="106">
        <f t="shared" si="15"/>
        <v>2019</v>
      </c>
      <c r="D153" s="101">
        <v>43712</v>
      </c>
      <c r="E153" s="102">
        <v>0.27083333333333331</v>
      </c>
      <c r="F153" s="103">
        <v>0.3125</v>
      </c>
      <c r="G153" s="103">
        <v>0.375</v>
      </c>
      <c r="H153" s="103">
        <v>0.41666666666666669</v>
      </c>
      <c r="I153" s="90">
        <f t="shared" si="16"/>
        <v>1.0000000000000004</v>
      </c>
      <c r="J153" s="90">
        <f t="shared" si="11"/>
        <v>1.0000000000000004</v>
      </c>
      <c r="K153" s="91">
        <f t="shared" si="18"/>
        <v>0.95833333333333348</v>
      </c>
      <c r="L153" s="91">
        <f t="shared" si="19"/>
        <v>3.9583333333333339</v>
      </c>
      <c r="M153" s="29">
        <f t="shared" si="17"/>
        <v>13</v>
      </c>
      <c r="N153" s="92">
        <f t="shared" si="12"/>
        <v>1.0000000000000004</v>
      </c>
      <c r="O153" s="104">
        <f t="shared" si="13"/>
        <v>1.016</v>
      </c>
      <c r="P153" s="105">
        <f t="shared" si="14"/>
        <v>9.2456000000000031</v>
      </c>
    </row>
    <row r="154" spans="2:16" x14ac:dyDescent="0.25">
      <c r="B154" s="88" t="str">
        <f t="shared" si="20"/>
        <v>Sitio Santa Lúcia</v>
      </c>
      <c r="C154" s="106">
        <f t="shared" si="15"/>
        <v>2019</v>
      </c>
      <c r="D154" s="101">
        <v>43713</v>
      </c>
      <c r="E154" s="102">
        <v>0.35416666666666669</v>
      </c>
      <c r="F154" s="103">
        <v>0.41666666666666669</v>
      </c>
      <c r="G154" s="103">
        <v>0.33333333333333298</v>
      </c>
      <c r="H154" s="103">
        <v>0.47916666666666669</v>
      </c>
      <c r="I154" s="90">
        <f t="shared" si="16"/>
        <v>1.5</v>
      </c>
      <c r="J154" s="90">
        <f t="shared" si="11"/>
        <v>3.5000000000000089</v>
      </c>
      <c r="K154" s="91">
        <f t="shared" si="18"/>
        <v>0.95833333333333348</v>
      </c>
      <c r="L154" s="91">
        <f t="shared" si="19"/>
        <v>3.9583333333333339</v>
      </c>
      <c r="M154" s="29">
        <f t="shared" si="17"/>
        <v>13</v>
      </c>
      <c r="N154" s="92">
        <f t="shared" si="12"/>
        <v>1.5</v>
      </c>
      <c r="O154" s="104">
        <f t="shared" si="13"/>
        <v>1.016</v>
      </c>
      <c r="P154" s="105">
        <f t="shared" si="14"/>
        <v>13.868399999999999</v>
      </c>
    </row>
    <row r="155" spans="2:16" x14ac:dyDescent="0.25">
      <c r="B155" s="88" t="str">
        <f t="shared" si="20"/>
        <v>Sitio Santa Lúcia</v>
      </c>
      <c r="C155" s="106">
        <f t="shared" si="15"/>
        <v>2019</v>
      </c>
      <c r="D155" s="101">
        <v>43714</v>
      </c>
      <c r="E155" s="102">
        <v>0.25</v>
      </c>
      <c r="F155" s="103">
        <v>0.3263888888888889</v>
      </c>
      <c r="G155" s="103">
        <v>0.375</v>
      </c>
      <c r="H155" s="103">
        <v>0.45833333333333331</v>
      </c>
      <c r="I155" s="90">
        <f t="shared" si="16"/>
        <v>1.8333333333333335</v>
      </c>
      <c r="J155" s="90">
        <f t="shared" si="11"/>
        <v>1.9999999999999996</v>
      </c>
      <c r="K155" s="91">
        <f t="shared" si="18"/>
        <v>0.95833333333333348</v>
      </c>
      <c r="L155" s="91">
        <f t="shared" si="19"/>
        <v>3.9583333333333339</v>
      </c>
      <c r="M155" s="29">
        <f t="shared" si="17"/>
        <v>13</v>
      </c>
      <c r="N155" s="92">
        <f t="shared" si="12"/>
        <v>1.8333333333333335</v>
      </c>
      <c r="O155" s="104">
        <f t="shared" si="13"/>
        <v>1.016</v>
      </c>
      <c r="P155" s="105">
        <f t="shared" si="14"/>
        <v>16.950266666666668</v>
      </c>
    </row>
    <row r="156" spans="2:16" x14ac:dyDescent="0.25">
      <c r="B156" s="88" t="str">
        <f t="shared" si="20"/>
        <v>Sitio Santa Lúcia</v>
      </c>
      <c r="C156" s="106">
        <f t="shared" si="15"/>
        <v>2019</v>
      </c>
      <c r="D156" s="101">
        <v>43715</v>
      </c>
      <c r="E156" s="102">
        <v>0.29166666666666669</v>
      </c>
      <c r="F156" s="103">
        <v>0.34027777777777773</v>
      </c>
      <c r="G156" s="103">
        <v>0.25</v>
      </c>
      <c r="H156" s="103">
        <v>0.3125</v>
      </c>
      <c r="I156" s="90">
        <f t="shared" si="16"/>
        <v>1.1666666666666652</v>
      </c>
      <c r="J156" s="90">
        <f t="shared" si="11"/>
        <v>1.5</v>
      </c>
      <c r="K156" s="91">
        <f t="shared" si="18"/>
        <v>0.95833333333333348</v>
      </c>
      <c r="L156" s="91">
        <f t="shared" si="19"/>
        <v>3.9583333333333339</v>
      </c>
      <c r="M156" s="29">
        <f t="shared" si="17"/>
        <v>13</v>
      </c>
      <c r="N156" s="92">
        <f t="shared" si="12"/>
        <v>1.1666666666666652</v>
      </c>
      <c r="O156" s="104">
        <f t="shared" si="13"/>
        <v>1.016</v>
      </c>
      <c r="P156" s="105">
        <f t="shared" si="14"/>
        <v>10.786533333333319</v>
      </c>
    </row>
    <row r="157" spans="2:16" x14ac:dyDescent="0.25">
      <c r="B157" s="88" t="str">
        <f t="shared" si="20"/>
        <v>Sitio Santa Lúcia</v>
      </c>
      <c r="C157" s="106">
        <f t="shared" si="15"/>
        <v>2019</v>
      </c>
      <c r="D157" s="101">
        <v>43716</v>
      </c>
      <c r="E157" s="102">
        <v>0.41666666666666669</v>
      </c>
      <c r="F157" s="103">
        <v>0.5</v>
      </c>
      <c r="G157" s="103">
        <v>0.29166666666666669</v>
      </c>
      <c r="H157" s="103">
        <v>0.375</v>
      </c>
      <c r="I157" s="90">
        <f t="shared" si="16"/>
        <v>1.9999999999999996</v>
      </c>
      <c r="J157" s="90">
        <f t="shared" si="11"/>
        <v>1.9999999999999996</v>
      </c>
      <c r="K157" s="91">
        <f t="shared" si="18"/>
        <v>0.95833333333333348</v>
      </c>
      <c r="L157" s="91">
        <f t="shared" si="19"/>
        <v>3.9583333333333339</v>
      </c>
      <c r="M157" s="29">
        <f t="shared" si="17"/>
        <v>13</v>
      </c>
      <c r="N157" s="92">
        <f t="shared" si="12"/>
        <v>1.9999999999999996</v>
      </c>
      <c r="O157" s="104">
        <f t="shared" si="13"/>
        <v>1.016</v>
      </c>
      <c r="P157" s="105">
        <f t="shared" si="14"/>
        <v>18.491199999999996</v>
      </c>
    </row>
    <row r="158" spans="2:16" x14ac:dyDescent="0.25">
      <c r="B158" s="88" t="str">
        <f t="shared" si="20"/>
        <v>Sitio Santa Lúcia</v>
      </c>
      <c r="C158" s="106">
        <f t="shared" si="15"/>
        <v>2019</v>
      </c>
      <c r="D158" s="101">
        <v>43717</v>
      </c>
      <c r="E158" s="102">
        <v>0.35416666666666669</v>
      </c>
      <c r="F158" s="103">
        <v>0.40277777777777773</v>
      </c>
      <c r="G158" s="103">
        <v>0.41666666666666669</v>
      </c>
      <c r="H158" s="103">
        <v>0.47916666666666669</v>
      </c>
      <c r="I158" s="90">
        <f t="shared" si="16"/>
        <v>1.1666666666666652</v>
      </c>
      <c r="J158" s="90">
        <f t="shared" si="11"/>
        <v>1.5</v>
      </c>
      <c r="K158" s="91">
        <f t="shared" si="18"/>
        <v>0.95833333333333348</v>
      </c>
      <c r="L158" s="91">
        <f t="shared" si="19"/>
        <v>3.9583333333333339</v>
      </c>
      <c r="M158" s="29">
        <f t="shared" si="17"/>
        <v>13</v>
      </c>
      <c r="N158" s="92">
        <f t="shared" si="12"/>
        <v>1.1666666666666652</v>
      </c>
      <c r="O158" s="104">
        <f t="shared" si="13"/>
        <v>1.016</v>
      </c>
      <c r="P158" s="105">
        <f t="shared" si="14"/>
        <v>10.786533333333319</v>
      </c>
    </row>
    <row r="159" spans="2:16" x14ac:dyDescent="0.25">
      <c r="B159" s="88" t="str">
        <f t="shared" si="20"/>
        <v>Sitio Santa Lúcia</v>
      </c>
      <c r="C159" s="106">
        <f t="shared" si="15"/>
        <v>2019</v>
      </c>
      <c r="D159" s="101">
        <v>43718</v>
      </c>
      <c r="E159" s="102">
        <v>0.29166666666666669</v>
      </c>
      <c r="F159" s="103">
        <v>0.33333333333333298</v>
      </c>
      <c r="G159" s="103">
        <v>0.29166666666666669</v>
      </c>
      <c r="H159" s="103">
        <v>0.375</v>
      </c>
      <c r="I159" s="90">
        <f t="shared" si="16"/>
        <v>0.99999999999999112</v>
      </c>
      <c r="J159" s="90">
        <f t="shared" si="11"/>
        <v>1.9999999999999996</v>
      </c>
      <c r="K159" s="91">
        <f t="shared" si="18"/>
        <v>0.95833333333333348</v>
      </c>
      <c r="L159" s="91">
        <f t="shared" si="19"/>
        <v>3.9583333333333339</v>
      </c>
      <c r="M159" s="29">
        <f t="shared" si="17"/>
        <v>13</v>
      </c>
      <c r="N159" s="92">
        <f t="shared" si="12"/>
        <v>0.99999999999999112</v>
      </c>
      <c r="O159" s="104">
        <f t="shared" si="13"/>
        <v>1.016</v>
      </c>
      <c r="P159" s="105">
        <f t="shared" si="14"/>
        <v>9.2455999999999179</v>
      </c>
    </row>
    <row r="160" spans="2:16" x14ac:dyDescent="0.25">
      <c r="B160" s="88" t="str">
        <f t="shared" ref="B160:B223" si="22">$B$17</f>
        <v>Sitio Santa Lúcia</v>
      </c>
      <c r="C160" s="106">
        <f t="shared" si="15"/>
        <v>2019</v>
      </c>
      <c r="D160" s="101">
        <v>43719</v>
      </c>
      <c r="E160" s="102">
        <v>0.35416666666666669</v>
      </c>
      <c r="F160" s="103">
        <v>0.40972222222222227</v>
      </c>
      <c r="G160" s="103">
        <v>0.25</v>
      </c>
      <c r="H160" s="103">
        <v>0.29166666666666669</v>
      </c>
      <c r="I160" s="90">
        <f t="shared" si="16"/>
        <v>1.3333333333333339</v>
      </c>
      <c r="J160" s="90">
        <f t="shared" si="11"/>
        <v>1.0000000000000004</v>
      </c>
      <c r="K160" s="91">
        <f t="shared" si="18"/>
        <v>0.95833333333333348</v>
      </c>
      <c r="L160" s="91">
        <f t="shared" si="19"/>
        <v>3.9583333333333339</v>
      </c>
      <c r="M160" s="29">
        <f t="shared" si="17"/>
        <v>13</v>
      </c>
      <c r="N160" s="92">
        <f t="shared" si="12"/>
        <v>1.3333333333333339</v>
      </c>
      <c r="O160" s="104">
        <f t="shared" si="13"/>
        <v>1.016</v>
      </c>
      <c r="P160" s="105">
        <f t="shared" si="14"/>
        <v>12.327466666666673</v>
      </c>
    </row>
    <row r="161" spans="2:16" x14ac:dyDescent="0.25">
      <c r="B161" s="88" t="str">
        <f t="shared" si="22"/>
        <v>Sitio Santa Lúcia</v>
      </c>
      <c r="C161" s="106">
        <f t="shared" si="15"/>
        <v>2019</v>
      </c>
      <c r="D161" s="101">
        <v>43720</v>
      </c>
      <c r="E161" s="102">
        <v>0.33333333333333298</v>
      </c>
      <c r="F161" s="103">
        <v>0.41666666666666669</v>
      </c>
      <c r="G161" s="103">
        <v>0.4375</v>
      </c>
      <c r="H161" s="103">
        <v>0.5</v>
      </c>
      <c r="I161" s="90">
        <f t="shared" si="16"/>
        <v>2.0000000000000089</v>
      </c>
      <c r="J161" s="90">
        <f t="shared" si="11"/>
        <v>1.5</v>
      </c>
      <c r="K161" s="91">
        <f t="shared" si="18"/>
        <v>0.95833333333333348</v>
      </c>
      <c r="L161" s="91">
        <f t="shared" si="19"/>
        <v>3.9583333333333339</v>
      </c>
      <c r="M161" s="29">
        <f t="shared" si="17"/>
        <v>13</v>
      </c>
      <c r="N161" s="92">
        <f t="shared" si="12"/>
        <v>2.0000000000000089</v>
      </c>
      <c r="O161" s="104">
        <f t="shared" si="13"/>
        <v>1.016</v>
      </c>
      <c r="P161" s="105">
        <f t="shared" si="14"/>
        <v>18.491200000000081</v>
      </c>
    </row>
    <row r="162" spans="2:16" x14ac:dyDescent="0.25">
      <c r="B162" s="88" t="str">
        <f t="shared" si="22"/>
        <v>Sitio Santa Lúcia</v>
      </c>
      <c r="C162" s="106">
        <f t="shared" si="15"/>
        <v>2019</v>
      </c>
      <c r="D162" s="101">
        <v>43721</v>
      </c>
      <c r="E162" s="102">
        <v>0.29166666666666669</v>
      </c>
      <c r="F162" s="103">
        <v>0.35416666666666669</v>
      </c>
      <c r="G162" s="103">
        <v>0.41666666666666669</v>
      </c>
      <c r="H162" s="103">
        <v>0.47916666666666669</v>
      </c>
      <c r="I162" s="90">
        <f t="shared" si="16"/>
        <v>1.5</v>
      </c>
      <c r="J162" s="90">
        <f t="shared" si="11"/>
        <v>1.5</v>
      </c>
      <c r="K162" s="91">
        <f t="shared" si="18"/>
        <v>0.95833333333333348</v>
      </c>
      <c r="L162" s="91">
        <f t="shared" si="19"/>
        <v>3.9583333333333339</v>
      </c>
      <c r="M162" s="29">
        <f t="shared" si="17"/>
        <v>13</v>
      </c>
      <c r="N162" s="92">
        <f t="shared" si="12"/>
        <v>1.5</v>
      </c>
      <c r="O162" s="104">
        <f t="shared" si="13"/>
        <v>1.016</v>
      </c>
      <c r="P162" s="105">
        <f t="shared" si="14"/>
        <v>13.868399999999999</v>
      </c>
    </row>
    <row r="163" spans="2:16" x14ac:dyDescent="0.25">
      <c r="B163" s="88" t="str">
        <f t="shared" si="22"/>
        <v>Sitio Santa Lúcia</v>
      </c>
      <c r="C163" s="106">
        <f t="shared" si="15"/>
        <v>2019</v>
      </c>
      <c r="D163" s="101">
        <v>43722</v>
      </c>
      <c r="E163" s="102">
        <v>0.375</v>
      </c>
      <c r="F163" s="103">
        <v>0.41666666666666669</v>
      </c>
      <c r="G163" s="103">
        <v>0.33333333333333298</v>
      </c>
      <c r="H163" s="103">
        <v>0.4375</v>
      </c>
      <c r="I163" s="90">
        <f t="shared" si="16"/>
        <v>1.0000000000000004</v>
      </c>
      <c r="J163" s="90">
        <f t="shared" si="11"/>
        <v>2.5000000000000084</v>
      </c>
      <c r="K163" s="91">
        <f t="shared" si="18"/>
        <v>0.95833333333333348</v>
      </c>
      <c r="L163" s="91">
        <f t="shared" si="19"/>
        <v>3.9583333333333339</v>
      </c>
      <c r="M163" s="29">
        <f t="shared" si="17"/>
        <v>13</v>
      </c>
      <c r="N163" s="92">
        <f t="shared" si="12"/>
        <v>1.0000000000000004</v>
      </c>
      <c r="O163" s="104">
        <f t="shared" si="13"/>
        <v>1.016</v>
      </c>
      <c r="P163" s="105">
        <f t="shared" si="14"/>
        <v>9.2456000000000031</v>
      </c>
    </row>
    <row r="164" spans="2:16" x14ac:dyDescent="0.25">
      <c r="B164" s="88" t="str">
        <f t="shared" si="22"/>
        <v>Sitio Santa Lúcia</v>
      </c>
      <c r="C164" s="106">
        <f t="shared" si="15"/>
        <v>2019</v>
      </c>
      <c r="D164" s="101">
        <v>43723</v>
      </c>
      <c r="E164" s="102">
        <v>0.33333333333333298</v>
      </c>
      <c r="F164" s="103">
        <v>0.41666666666666669</v>
      </c>
      <c r="G164" s="103">
        <v>0.29166666666666669</v>
      </c>
      <c r="H164" s="103">
        <v>0.375</v>
      </c>
      <c r="I164" s="90">
        <f t="shared" si="16"/>
        <v>2.0000000000000089</v>
      </c>
      <c r="J164" s="90">
        <f t="shared" si="11"/>
        <v>1.9999999999999996</v>
      </c>
      <c r="K164" s="91">
        <f t="shared" si="18"/>
        <v>0.95833333333333348</v>
      </c>
      <c r="L164" s="91">
        <f t="shared" si="19"/>
        <v>3.9583333333333339</v>
      </c>
      <c r="M164" s="29">
        <f t="shared" si="17"/>
        <v>13</v>
      </c>
      <c r="N164" s="92">
        <f t="shared" si="12"/>
        <v>2.0000000000000089</v>
      </c>
      <c r="O164" s="104">
        <f t="shared" si="13"/>
        <v>1.016</v>
      </c>
      <c r="P164" s="105">
        <f t="shared" si="14"/>
        <v>18.491200000000081</v>
      </c>
    </row>
    <row r="165" spans="2:16" x14ac:dyDescent="0.25">
      <c r="B165" s="88" t="str">
        <f t="shared" si="22"/>
        <v>Sitio Santa Lúcia</v>
      </c>
      <c r="C165" s="106">
        <f t="shared" si="15"/>
        <v>2019</v>
      </c>
      <c r="D165" s="101">
        <v>43724</v>
      </c>
      <c r="E165" s="102">
        <v>0.25</v>
      </c>
      <c r="F165" s="103">
        <v>0.3125</v>
      </c>
      <c r="G165" s="103">
        <v>0.33333333333333298</v>
      </c>
      <c r="H165" s="103">
        <v>0.375</v>
      </c>
      <c r="I165" s="90">
        <f t="shared" si="16"/>
        <v>1.5</v>
      </c>
      <c r="J165" s="90">
        <f t="shared" si="11"/>
        <v>1.0000000000000084</v>
      </c>
      <c r="K165" s="91">
        <f t="shared" si="18"/>
        <v>0.95833333333333348</v>
      </c>
      <c r="L165" s="91">
        <f t="shared" si="19"/>
        <v>3.9583333333333339</v>
      </c>
      <c r="M165" s="29">
        <f t="shared" si="17"/>
        <v>13</v>
      </c>
      <c r="N165" s="92">
        <f t="shared" si="12"/>
        <v>1.5</v>
      </c>
      <c r="O165" s="104">
        <f t="shared" si="13"/>
        <v>1.016</v>
      </c>
      <c r="P165" s="105">
        <f t="shared" si="14"/>
        <v>13.868399999999999</v>
      </c>
    </row>
    <row r="166" spans="2:16" x14ac:dyDescent="0.25">
      <c r="B166" s="88" t="str">
        <f t="shared" si="22"/>
        <v>Sitio Santa Lúcia</v>
      </c>
      <c r="C166" s="106">
        <f t="shared" si="15"/>
        <v>2019</v>
      </c>
      <c r="D166" s="101">
        <v>43725</v>
      </c>
      <c r="E166" s="102">
        <v>0.27083333333333331</v>
      </c>
      <c r="F166" s="103">
        <v>0.3263888888888889</v>
      </c>
      <c r="G166" s="103">
        <v>0.33333333333333298</v>
      </c>
      <c r="H166" s="103">
        <v>0.41666666666666669</v>
      </c>
      <c r="I166" s="90">
        <f t="shared" si="16"/>
        <v>1.3333333333333339</v>
      </c>
      <c r="J166" s="90">
        <f t="shared" si="11"/>
        <v>2.0000000000000089</v>
      </c>
      <c r="K166" s="91">
        <f t="shared" si="18"/>
        <v>0.95833333333333348</v>
      </c>
      <c r="L166" s="91">
        <f t="shared" si="19"/>
        <v>3.9583333333333339</v>
      </c>
      <c r="M166" s="29">
        <f t="shared" si="17"/>
        <v>13</v>
      </c>
      <c r="N166" s="92">
        <f t="shared" si="12"/>
        <v>1.3333333333333339</v>
      </c>
      <c r="O166" s="104">
        <f t="shared" si="13"/>
        <v>1.016</v>
      </c>
      <c r="P166" s="105">
        <f t="shared" si="14"/>
        <v>12.327466666666673</v>
      </c>
    </row>
    <row r="167" spans="2:16" x14ac:dyDescent="0.25">
      <c r="B167" s="88" t="str">
        <f t="shared" si="22"/>
        <v>Sitio Santa Lúcia</v>
      </c>
      <c r="C167" s="106">
        <f t="shared" si="15"/>
        <v>2019</v>
      </c>
      <c r="D167" s="101">
        <v>43726</v>
      </c>
      <c r="E167" s="102">
        <v>0.35416666666666669</v>
      </c>
      <c r="F167" s="103">
        <v>0.40277777777777773</v>
      </c>
      <c r="G167" s="103">
        <v>0.29166666666666669</v>
      </c>
      <c r="H167" s="103">
        <v>0.375</v>
      </c>
      <c r="I167" s="90">
        <f t="shared" si="16"/>
        <v>1.1666666666666652</v>
      </c>
      <c r="J167" s="90">
        <f t="shared" si="11"/>
        <v>1.9999999999999996</v>
      </c>
      <c r="K167" s="91">
        <f t="shared" si="18"/>
        <v>0.95833333333333348</v>
      </c>
      <c r="L167" s="91">
        <f t="shared" si="19"/>
        <v>3.9583333333333339</v>
      </c>
      <c r="M167" s="29">
        <f t="shared" si="17"/>
        <v>13</v>
      </c>
      <c r="N167" s="92">
        <f t="shared" si="12"/>
        <v>1.1666666666666652</v>
      </c>
      <c r="O167" s="104">
        <f t="shared" si="13"/>
        <v>1.016</v>
      </c>
      <c r="P167" s="105">
        <f t="shared" si="14"/>
        <v>10.786533333333319</v>
      </c>
    </row>
    <row r="168" spans="2:16" x14ac:dyDescent="0.25">
      <c r="B168" s="88" t="str">
        <f t="shared" si="22"/>
        <v>Sitio Santa Lúcia</v>
      </c>
      <c r="C168" s="106">
        <f t="shared" si="15"/>
        <v>2019</v>
      </c>
      <c r="D168" s="101">
        <v>43727</v>
      </c>
      <c r="E168" s="102">
        <v>0.38194444444444442</v>
      </c>
      <c r="F168" s="103">
        <v>0.44444444444444442</v>
      </c>
      <c r="G168" s="103">
        <v>0.25</v>
      </c>
      <c r="H168" s="103">
        <v>0.29166666666666669</v>
      </c>
      <c r="I168" s="90">
        <f t="shared" si="16"/>
        <v>1.5</v>
      </c>
      <c r="J168" s="90">
        <f t="shared" si="11"/>
        <v>1.0000000000000004</v>
      </c>
      <c r="K168" s="91">
        <f t="shared" si="18"/>
        <v>0.95833333333333348</v>
      </c>
      <c r="L168" s="91">
        <f t="shared" si="19"/>
        <v>3.9583333333333339</v>
      </c>
      <c r="M168" s="29">
        <f t="shared" si="17"/>
        <v>13</v>
      </c>
      <c r="N168" s="92">
        <f t="shared" si="12"/>
        <v>1.5</v>
      </c>
      <c r="O168" s="104">
        <f t="shared" si="13"/>
        <v>1.016</v>
      </c>
      <c r="P168" s="105">
        <f t="shared" si="14"/>
        <v>13.868399999999999</v>
      </c>
    </row>
    <row r="169" spans="2:16" x14ac:dyDescent="0.25">
      <c r="B169" s="88" t="str">
        <f t="shared" si="22"/>
        <v>Sitio Santa Lúcia</v>
      </c>
      <c r="C169" s="106">
        <f t="shared" si="15"/>
        <v>2019</v>
      </c>
      <c r="D169" s="101">
        <v>43728</v>
      </c>
      <c r="E169" s="102">
        <v>0.34027777777777773</v>
      </c>
      <c r="F169" s="103">
        <v>0.40277777777777773</v>
      </c>
      <c r="G169" s="103">
        <v>0.41666666666666669</v>
      </c>
      <c r="H169" s="103">
        <v>0.47916666666666669</v>
      </c>
      <c r="I169" s="90">
        <f t="shared" si="16"/>
        <v>1.5</v>
      </c>
      <c r="J169" s="90">
        <f t="shared" si="11"/>
        <v>1.5</v>
      </c>
      <c r="K169" s="91">
        <f t="shared" si="18"/>
        <v>0.95833333333333348</v>
      </c>
      <c r="L169" s="91">
        <f t="shared" si="19"/>
        <v>3.9583333333333339</v>
      </c>
      <c r="M169" s="29">
        <f t="shared" si="17"/>
        <v>13</v>
      </c>
      <c r="N169" s="92">
        <f t="shared" si="12"/>
        <v>1.5</v>
      </c>
      <c r="O169" s="104">
        <f t="shared" si="13"/>
        <v>1.016</v>
      </c>
      <c r="P169" s="105">
        <f t="shared" si="14"/>
        <v>13.868399999999999</v>
      </c>
    </row>
    <row r="170" spans="2:16" x14ac:dyDescent="0.25">
      <c r="B170" s="88" t="str">
        <f t="shared" si="22"/>
        <v>Sitio Santa Lúcia</v>
      </c>
      <c r="C170" s="106">
        <f t="shared" si="15"/>
        <v>2019</v>
      </c>
      <c r="D170" s="101">
        <v>43729</v>
      </c>
      <c r="E170" s="102">
        <v>0.29166666666666669</v>
      </c>
      <c r="F170" s="103">
        <v>0.375</v>
      </c>
      <c r="G170" s="103">
        <v>0.33333333333333298</v>
      </c>
      <c r="H170" s="103">
        <v>0.41666666666666669</v>
      </c>
      <c r="I170" s="90">
        <f t="shared" si="16"/>
        <v>1.9999999999999996</v>
      </c>
      <c r="J170" s="90">
        <f t="shared" si="11"/>
        <v>2.0000000000000089</v>
      </c>
      <c r="K170" s="91">
        <f t="shared" si="18"/>
        <v>0.95833333333333348</v>
      </c>
      <c r="L170" s="91">
        <f t="shared" si="19"/>
        <v>3.9583333333333339</v>
      </c>
      <c r="M170" s="29">
        <f t="shared" si="17"/>
        <v>13</v>
      </c>
      <c r="N170" s="92">
        <f t="shared" si="12"/>
        <v>1.9999999999999996</v>
      </c>
      <c r="O170" s="104">
        <f t="shared" si="13"/>
        <v>1.016</v>
      </c>
      <c r="P170" s="105">
        <f t="shared" si="14"/>
        <v>18.491199999999996</v>
      </c>
    </row>
    <row r="171" spans="2:16" x14ac:dyDescent="0.25">
      <c r="B171" s="88" t="str">
        <f t="shared" si="22"/>
        <v>Sitio Santa Lúcia</v>
      </c>
      <c r="C171" s="106">
        <f t="shared" si="15"/>
        <v>2019</v>
      </c>
      <c r="D171" s="101">
        <v>43730</v>
      </c>
      <c r="E171" s="102">
        <v>0.375</v>
      </c>
      <c r="F171" s="103">
        <v>0.41666666666666669</v>
      </c>
      <c r="G171" s="103">
        <v>0.25</v>
      </c>
      <c r="H171" s="103">
        <v>0.29166666666666669</v>
      </c>
      <c r="I171" s="90">
        <f t="shared" si="16"/>
        <v>1.0000000000000004</v>
      </c>
      <c r="J171" s="90">
        <f t="shared" si="11"/>
        <v>1.0000000000000004</v>
      </c>
      <c r="K171" s="91">
        <f t="shared" si="18"/>
        <v>0.95833333333333348</v>
      </c>
      <c r="L171" s="91">
        <f t="shared" si="19"/>
        <v>3.9583333333333339</v>
      </c>
      <c r="M171" s="29">
        <f t="shared" si="17"/>
        <v>13</v>
      </c>
      <c r="N171" s="92">
        <f t="shared" si="12"/>
        <v>1.0000000000000004</v>
      </c>
      <c r="O171" s="104">
        <f t="shared" si="13"/>
        <v>1.016</v>
      </c>
      <c r="P171" s="105">
        <f t="shared" si="14"/>
        <v>9.2456000000000031</v>
      </c>
    </row>
    <row r="172" spans="2:16" x14ac:dyDescent="0.25">
      <c r="B172" s="88" t="str">
        <f t="shared" si="22"/>
        <v>Sitio Santa Lúcia</v>
      </c>
      <c r="C172" s="106">
        <f t="shared" si="15"/>
        <v>2019</v>
      </c>
      <c r="D172" s="101">
        <v>43731</v>
      </c>
      <c r="E172" s="102">
        <v>0.33333333333333298</v>
      </c>
      <c r="F172" s="103">
        <v>0.39583333333333331</v>
      </c>
      <c r="G172" s="103">
        <v>0.41666666666666669</v>
      </c>
      <c r="H172" s="103">
        <v>0.5</v>
      </c>
      <c r="I172" s="90">
        <f t="shared" si="16"/>
        <v>1.500000000000008</v>
      </c>
      <c r="J172" s="90">
        <f t="shared" si="11"/>
        <v>1.9999999999999996</v>
      </c>
      <c r="K172" s="91">
        <f t="shared" si="18"/>
        <v>0.95833333333333348</v>
      </c>
      <c r="L172" s="91">
        <f t="shared" si="19"/>
        <v>3.9583333333333339</v>
      </c>
      <c r="M172" s="29">
        <f t="shared" si="17"/>
        <v>13</v>
      </c>
      <c r="N172" s="92">
        <f t="shared" si="12"/>
        <v>1.500000000000008</v>
      </c>
      <c r="O172" s="104">
        <f t="shared" si="13"/>
        <v>1.016</v>
      </c>
      <c r="P172" s="105">
        <f t="shared" si="14"/>
        <v>13.868400000000072</v>
      </c>
    </row>
    <row r="173" spans="2:16" x14ac:dyDescent="0.25">
      <c r="B173" s="88" t="str">
        <f t="shared" si="22"/>
        <v>Sitio Santa Lúcia</v>
      </c>
      <c r="C173" s="106">
        <f t="shared" si="15"/>
        <v>2019</v>
      </c>
      <c r="D173" s="101">
        <v>43732</v>
      </c>
      <c r="E173" s="102">
        <v>0.29166666666666669</v>
      </c>
      <c r="F173" s="103">
        <v>0.33333333333333298</v>
      </c>
      <c r="G173" s="103">
        <v>0.375</v>
      </c>
      <c r="H173" s="103">
        <v>0.45833333333333331</v>
      </c>
      <c r="I173" s="90">
        <f t="shared" si="16"/>
        <v>0.99999999999999112</v>
      </c>
      <c r="J173" s="90">
        <f t="shared" si="11"/>
        <v>1.9999999999999996</v>
      </c>
      <c r="K173" s="91">
        <f t="shared" si="18"/>
        <v>0.95833333333333348</v>
      </c>
      <c r="L173" s="91">
        <f t="shared" si="19"/>
        <v>3.9583333333333339</v>
      </c>
      <c r="M173" s="29">
        <f t="shared" si="17"/>
        <v>13</v>
      </c>
      <c r="N173" s="92">
        <f t="shared" si="12"/>
        <v>0.99999999999999112</v>
      </c>
      <c r="O173" s="104">
        <f t="shared" si="13"/>
        <v>1.016</v>
      </c>
      <c r="P173" s="105">
        <f t="shared" si="14"/>
        <v>9.2455999999999179</v>
      </c>
    </row>
    <row r="174" spans="2:16" x14ac:dyDescent="0.25">
      <c r="B174" s="88" t="str">
        <f t="shared" si="22"/>
        <v>Sitio Santa Lúcia</v>
      </c>
      <c r="C174" s="106">
        <f t="shared" si="15"/>
        <v>2019</v>
      </c>
      <c r="D174" s="101">
        <v>43733</v>
      </c>
      <c r="E174" s="102">
        <v>0.3125</v>
      </c>
      <c r="F174" s="103">
        <v>0.3611111111111111</v>
      </c>
      <c r="G174" s="103">
        <v>0.41666666666666669</v>
      </c>
      <c r="H174" s="103">
        <v>0.5</v>
      </c>
      <c r="I174" s="90">
        <f t="shared" si="16"/>
        <v>1.1666666666666665</v>
      </c>
      <c r="J174" s="90">
        <f t="shared" si="11"/>
        <v>1.9999999999999996</v>
      </c>
      <c r="K174" s="91">
        <f t="shared" si="18"/>
        <v>0.95833333333333348</v>
      </c>
      <c r="L174" s="91">
        <f t="shared" si="19"/>
        <v>3.9583333333333339</v>
      </c>
      <c r="M174" s="29">
        <f t="shared" si="17"/>
        <v>13</v>
      </c>
      <c r="N174" s="92">
        <f t="shared" si="12"/>
        <v>1.1666666666666665</v>
      </c>
      <c r="O174" s="104">
        <f t="shared" si="13"/>
        <v>1.016</v>
      </c>
      <c r="P174" s="105">
        <f t="shared" si="14"/>
        <v>10.786533333333331</v>
      </c>
    </row>
    <row r="175" spans="2:16" x14ac:dyDescent="0.25">
      <c r="B175" s="88" t="str">
        <f t="shared" si="22"/>
        <v>Sitio Santa Lúcia</v>
      </c>
      <c r="C175" s="106">
        <f t="shared" si="15"/>
        <v>2019</v>
      </c>
      <c r="D175" s="101">
        <v>43734</v>
      </c>
      <c r="E175" s="102">
        <v>0.375</v>
      </c>
      <c r="F175" s="103">
        <v>0.4375</v>
      </c>
      <c r="G175" s="103">
        <v>0.33333333333333298</v>
      </c>
      <c r="H175" s="103">
        <v>0.41666666666666669</v>
      </c>
      <c r="I175" s="90">
        <f t="shared" si="16"/>
        <v>1.5</v>
      </c>
      <c r="J175" s="90">
        <f t="shared" si="11"/>
        <v>2.0000000000000089</v>
      </c>
      <c r="K175" s="91">
        <f t="shared" si="18"/>
        <v>0.95833333333333348</v>
      </c>
      <c r="L175" s="91">
        <f t="shared" si="19"/>
        <v>3.9583333333333339</v>
      </c>
      <c r="M175" s="29">
        <f t="shared" si="17"/>
        <v>13</v>
      </c>
      <c r="N175" s="92">
        <f t="shared" si="12"/>
        <v>1.5</v>
      </c>
      <c r="O175" s="104">
        <f t="shared" si="13"/>
        <v>1.016</v>
      </c>
      <c r="P175" s="105">
        <f t="shared" si="14"/>
        <v>13.868399999999999</v>
      </c>
    </row>
    <row r="176" spans="2:16" x14ac:dyDescent="0.25">
      <c r="B176" s="88" t="str">
        <f t="shared" si="22"/>
        <v>Sitio Santa Lúcia</v>
      </c>
      <c r="C176" s="106">
        <f t="shared" si="15"/>
        <v>2019</v>
      </c>
      <c r="D176" s="101">
        <v>43735</v>
      </c>
      <c r="E176" s="102">
        <v>0.25</v>
      </c>
      <c r="F176" s="103">
        <v>0.33333333333333298</v>
      </c>
      <c r="G176" s="103">
        <v>0.29166666666666669</v>
      </c>
      <c r="H176" s="103">
        <v>0.375</v>
      </c>
      <c r="I176" s="90">
        <f t="shared" si="16"/>
        <v>1.9999999999999916</v>
      </c>
      <c r="J176" s="90">
        <f t="shared" si="11"/>
        <v>1.9999999999999996</v>
      </c>
      <c r="K176" s="91">
        <f t="shared" si="18"/>
        <v>0.95833333333333348</v>
      </c>
      <c r="L176" s="91">
        <f t="shared" si="19"/>
        <v>3.9583333333333339</v>
      </c>
      <c r="M176" s="29">
        <f t="shared" si="17"/>
        <v>13</v>
      </c>
      <c r="N176" s="92">
        <f t="shared" si="12"/>
        <v>1.9999999999999916</v>
      </c>
      <c r="O176" s="104">
        <f t="shared" si="13"/>
        <v>1.016</v>
      </c>
      <c r="P176" s="105">
        <f t="shared" si="14"/>
        <v>18.491199999999921</v>
      </c>
    </row>
    <row r="177" spans="2:16" x14ac:dyDescent="0.25">
      <c r="B177" s="88" t="str">
        <f t="shared" si="22"/>
        <v>Sitio Santa Lúcia</v>
      </c>
      <c r="C177" s="106">
        <f t="shared" si="15"/>
        <v>2019</v>
      </c>
      <c r="D177" s="101">
        <v>43736</v>
      </c>
      <c r="E177" s="102">
        <v>0.41666666666666669</v>
      </c>
      <c r="F177" s="103">
        <v>0.5</v>
      </c>
      <c r="G177" s="103">
        <v>0.33333333333333298</v>
      </c>
      <c r="H177" s="103">
        <v>0.41666666666666669</v>
      </c>
      <c r="I177" s="90">
        <f t="shared" si="16"/>
        <v>1.9999999999999996</v>
      </c>
      <c r="J177" s="90">
        <f t="shared" ref="J177:J240" si="23">((H177-G177)-INT($D$20))*24</f>
        <v>2.0000000000000089</v>
      </c>
      <c r="K177" s="91">
        <f t="shared" si="18"/>
        <v>0.95833333333333348</v>
      </c>
      <c r="L177" s="91">
        <f t="shared" si="19"/>
        <v>3.9583333333333339</v>
      </c>
      <c r="M177" s="29">
        <f t="shared" si="17"/>
        <v>13</v>
      </c>
      <c r="N177" s="92">
        <f t="shared" ref="N177:N240" si="24">I177</f>
        <v>1.9999999999999996</v>
      </c>
      <c r="O177" s="104">
        <f t="shared" si="13"/>
        <v>1.016</v>
      </c>
      <c r="P177" s="105">
        <f t="shared" ref="P177:P240" si="25">M177*N177*O177*0.7</f>
        <v>18.491199999999996</v>
      </c>
    </row>
    <row r="178" spans="2:16" x14ac:dyDescent="0.25">
      <c r="B178" s="88" t="str">
        <f t="shared" si="22"/>
        <v>Sitio Santa Lúcia</v>
      </c>
      <c r="C178" s="106">
        <f t="shared" si="15"/>
        <v>2019</v>
      </c>
      <c r="D178" s="101">
        <v>43737</v>
      </c>
      <c r="E178" s="102">
        <v>0.31944444444444448</v>
      </c>
      <c r="F178" s="103">
        <v>0.41666666666666669</v>
      </c>
      <c r="G178" s="103">
        <v>0.33333333333333298</v>
      </c>
      <c r="H178" s="103">
        <v>0.375</v>
      </c>
      <c r="I178" s="90">
        <f t="shared" ref="I178:I241" si="26">((F178-E178)-INT($D$20))*24</f>
        <v>2.333333333333333</v>
      </c>
      <c r="J178" s="90">
        <f t="shared" si="23"/>
        <v>1.0000000000000084</v>
      </c>
      <c r="K178" s="91">
        <f t="shared" si="18"/>
        <v>0.95833333333333348</v>
      </c>
      <c r="L178" s="91">
        <f t="shared" si="19"/>
        <v>3.9583333333333339</v>
      </c>
      <c r="M178" s="29">
        <f t="shared" ref="M178:M241" si="27">VLOOKUP(B178,$I$5:$J$17,2,FALSE)</f>
        <v>13</v>
      </c>
      <c r="N178" s="92">
        <f t="shared" si="24"/>
        <v>2.333333333333333</v>
      </c>
      <c r="O178" s="104">
        <f t="shared" si="13"/>
        <v>1.016</v>
      </c>
      <c r="P178" s="105">
        <f t="shared" si="25"/>
        <v>21.573066666666662</v>
      </c>
    </row>
    <row r="179" spans="2:16" x14ac:dyDescent="0.25">
      <c r="B179" s="88" t="str">
        <f t="shared" si="22"/>
        <v>Sitio Santa Lúcia</v>
      </c>
      <c r="C179" s="106">
        <f t="shared" si="15"/>
        <v>2019</v>
      </c>
      <c r="D179" s="101">
        <v>43738</v>
      </c>
      <c r="E179" s="102">
        <v>0.25</v>
      </c>
      <c r="F179" s="103">
        <v>0.29166666666666669</v>
      </c>
      <c r="G179" s="103">
        <v>0.33333333333333298</v>
      </c>
      <c r="H179" s="103">
        <v>0.41666666666666669</v>
      </c>
      <c r="I179" s="90">
        <f t="shared" si="26"/>
        <v>1.0000000000000004</v>
      </c>
      <c r="J179" s="90">
        <f t="shared" si="23"/>
        <v>2.0000000000000089</v>
      </c>
      <c r="K179" s="91">
        <f t="shared" si="18"/>
        <v>0.95833333333333348</v>
      </c>
      <c r="L179" s="91">
        <f t="shared" si="19"/>
        <v>3.9583333333333339</v>
      </c>
      <c r="M179" s="29">
        <f t="shared" si="27"/>
        <v>13</v>
      </c>
      <c r="N179" s="92">
        <f t="shared" si="24"/>
        <v>1.0000000000000004</v>
      </c>
      <c r="O179" s="104">
        <f t="shared" si="13"/>
        <v>1.016</v>
      </c>
      <c r="P179" s="105">
        <f t="shared" si="25"/>
        <v>9.2456000000000031</v>
      </c>
    </row>
    <row r="180" spans="2:16" x14ac:dyDescent="0.25">
      <c r="B180" s="88" t="str">
        <f t="shared" si="22"/>
        <v>Sitio Santa Lúcia</v>
      </c>
      <c r="C180" s="106">
        <f t="shared" si="15"/>
        <v>2019</v>
      </c>
      <c r="D180" s="101">
        <v>43739</v>
      </c>
      <c r="E180" s="102">
        <v>0.29166666666666669</v>
      </c>
      <c r="F180" s="103">
        <v>0.33333333333333298</v>
      </c>
      <c r="G180" s="103">
        <v>0.41666666666666669</v>
      </c>
      <c r="H180" s="103">
        <v>0.47916666666666669</v>
      </c>
      <c r="I180" s="90">
        <f t="shared" si="26"/>
        <v>0.99999999999999112</v>
      </c>
      <c r="J180" s="90">
        <f t="shared" si="23"/>
        <v>1.5</v>
      </c>
      <c r="K180" s="91">
        <f t="shared" si="18"/>
        <v>0.95833333333333348</v>
      </c>
      <c r="L180" s="91">
        <f t="shared" si="19"/>
        <v>3.9583333333333339</v>
      </c>
      <c r="M180" s="29">
        <f t="shared" si="27"/>
        <v>13</v>
      </c>
      <c r="N180" s="92">
        <f t="shared" si="24"/>
        <v>0.99999999999999112</v>
      </c>
      <c r="O180" s="104">
        <f t="shared" si="13"/>
        <v>1.016</v>
      </c>
      <c r="P180" s="105">
        <f t="shared" si="25"/>
        <v>9.2455999999999179</v>
      </c>
    </row>
    <row r="181" spans="2:16" x14ac:dyDescent="0.25">
      <c r="B181" s="88" t="str">
        <f t="shared" si="22"/>
        <v>Sitio Santa Lúcia</v>
      </c>
      <c r="C181" s="106">
        <f t="shared" si="15"/>
        <v>2019</v>
      </c>
      <c r="D181" s="101">
        <v>43740</v>
      </c>
      <c r="E181" s="102">
        <v>0.375</v>
      </c>
      <c r="F181" s="103">
        <v>0.41666666666666669</v>
      </c>
      <c r="G181" s="103">
        <v>0.29166666666666669</v>
      </c>
      <c r="H181" s="103">
        <v>0.33333333333333298</v>
      </c>
      <c r="I181" s="90">
        <f t="shared" si="26"/>
        <v>1.0000000000000004</v>
      </c>
      <c r="J181" s="90">
        <f t="shared" si="23"/>
        <v>0.99999999999999112</v>
      </c>
      <c r="K181" s="91">
        <f t="shared" si="18"/>
        <v>0.95833333333333348</v>
      </c>
      <c r="L181" s="91">
        <f t="shared" si="19"/>
        <v>3.9583333333333339</v>
      </c>
      <c r="M181" s="29">
        <f t="shared" si="27"/>
        <v>13</v>
      </c>
      <c r="N181" s="92">
        <f t="shared" si="24"/>
        <v>1.0000000000000004</v>
      </c>
      <c r="O181" s="104">
        <f t="shared" ref="O181:O244" si="28">$D$21/1000</f>
        <v>1.016</v>
      </c>
      <c r="P181" s="105">
        <f t="shared" si="25"/>
        <v>9.2456000000000031</v>
      </c>
    </row>
    <row r="182" spans="2:16" x14ac:dyDescent="0.25">
      <c r="B182" s="88" t="str">
        <f t="shared" si="22"/>
        <v>Sitio Santa Lúcia</v>
      </c>
      <c r="C182" s="106">
        <f t="shared" ref="C182:C245" si="29">YEAR(D182)</f>
        <v>2019</v>
      </c>
      <c r="D182" s="101">
        <v>43741</v>
      </c>
      <c r="E182" s="102">
        <v>0.29166666666666669</v>
      </c>
      <c r="F182" s="103">
        <v>0.375</v>
      </c>
      <c r="G182" s="103">
        <v>0.33333333333333298</v>
      </c>
      <c r="H182" s="103">
        <v>0.45833333333333331</v>
      </c>
      <c r="I182" s="90">
        <f t="shared" si="26"/>
        <v>1.9999999999999996</v>
      </c>
      <c r="J182" s="90">
        <f t="shared" si="23"/>
        <v>3.000000000000008</v>
      </c>
      <c r="K182" s="91">
        <f t="shared" si="18"/>
        <v>0.95833333333333348</v>
      </c>
      <c r="L182" s="91">
        <f t="shared" si="19"/>
        <v>3.9583333333333339</v>
      </c>
      <c r="M182" s="29">
        <f t="shared" si="27"/>
        <v>13</v>
      </c>
      <c r="N182" s="92">
        <f t="shared" si="24"/>
        <v>1.9999999999999996</v>
      </c>
      <c r="O182" s="104">
        <f t="shared" si="28"/>
        <v>1.016</v>
      </c>
      <c r="P182" s="105">
        <f t="shared" si="25"/>
        <v>18.491199999999996</v>
      </c>
    </row>
    <row r="183" spans="2:16" x14ac:dyDescent="0.25">
      <c r="B183" s="88" t="str">
        <f t="shared" si="22"/>
        <v>Sitio Santa Lúcia</v>
      </c>
      <c r="C183" s="106">
        <f t="shared" si="29"/>
        <v>2019</v>
      </c>
      <c r="D183" s="101">
        <v>43742</v>
      </c>
      <c r="E183" s="102">
        <v>0.41666666666666669</v>
      </c>
      <c r="F183" s="103">
        <v>0.47916666666666669</v>
      </c>
      <c r="G183" s="103">
        <v>0.33333333333333298</v>
      </c>
      <c r="H183" s="103">
        <v>0.41666666666666669</v>
      </c>
      <c r="I183" s="90">
        <f t="shared" si="26"/>
        <v>1.5</v>
      </c>
      <c r="J183" s="90">
        <f t="shared" si="23"/>
        <v>2.0000000000000089</v>
      </c>
      <c r="K183" s="91">
        <f t="shared" ref="K183:K246" si="30">VLOOKUP(B183,$B$5:$J$17,5,FALSE)</f>
        <v>0.95833333333333348</v>
      </c>
      <c r="L183" s="91">
        <f t="shared" ref="L183:L246" si="31">VLOOKUP(B183,$B$5:$J$17,6,FALSE)</f>
        <v>3.9583333333333339</v>
      </c>
      <c r="M183" s="29">
        <f t="shared" si="27"/>
        <v>13</v>
      </c>
      <c r="N183" s="92">
        <f t="shared" si="24"/>
        <v>1.5</v>
      </c>
      <c r="O183" s="104">
        <f t="shared" si="28"/>
        <v>1.016</v>
      </c>
      <c r="P183" s="105">
        <f t="shared" si="25"/>
        <v>13.868399999999999</v>
      </c>
    </row>
    <row r="184" spans="2:16" x14ac:dyDescent="0.25">
      <c r="B184" s="88" t="str">
        <f t="shared" si="22"/>
        <v>Sitio Santa Lúcia</v>
      </c>
      <c r="C184" s="106">
        <f t="shared" si="29"/>
        <v>2019</v>
      </c>
      <c r="D184" s="101">
        <v>43743</v>
      </c>
      <c r="E184" s="102">
        <v>0.29166666666666669</v>
      </c>
      <c r="F184" s="103">
        <v>0.33333333333333298</v>
      </c>
      <c r="G184" s="103">
        <v>0.375</v>
      </c>
      <c r="H184" s="103">
        <v>0.41666666666666669</v>
      </c>
      <c r="I184" s="90">
        <f t="shared" si="26"/>
        <v>0.99999999999999112</v>
      </c>
      <c r="J184" s="90">
        <f t="shared" si="23"/>
        <v>1.0000000000000004</v>
      </c>
      <c r="K184" s="91">
        <f t="shared" si="30"/>
        <v>0.95833333333333348</v>
      </c>
      <c r="L184" s="91">
        <f t="shared" si="31"/>
        <v>3.9583333333333339</v>
      </c>
      <c r="M184" s="29">
        <f t="shared" si="27"/>
        <v>13</v>
      </c>
      <c r="N184" s="92">
        <f t="shared" si="24"/>
        <v>0.99999999999999112</v>
      </c>
      <c r="O184" s="104">
        <f t="shared" si="28"/>
        <v>1.016</v>
      </c>
      <c r="P184" s="105">
        <f t="shared" si="25"/>
        <v>9.2455999999999179</v>
      </c>
    </row>
    <row r="185" spans="2:16" x14ac:dyDescent="0.25">
      <c r="B185" s="88" t="str">
        <f t="shared" si="22"/>
        <v>Sitio Santa Lúcia</v>
      </c>
      <c r="C185" s="106">
        <f t="shared" si="29"/>
        <v>2019</v>
      </c>
      <c r="D185" s="101">
        <v>43744</v>
      </c>
      <c r="E185" s="102">
        <v>0.41666666666666669</v>
      </c>
      <c r="F185" s="103">
        <v>0.5</v>
      </c>
      <c r="G185" s="103">
        <v>0.33333333333333298</v>
      </c>
      <c r="H185" s="103">
        <v>0.41666666666666669</v>
      </c>
      <c r="I185" s="90">
        <f t="shared" si="26"/>
        <v>1.9999999999999996</v>
      </c>
      <c r="J185" s="90">
        <f t="shared" si="23"/>
        <v>2.0000000000000089</v>
      </c>
      <c r="K185" s="91">
        <f t="shared" si="30"/>
        <v>0.95833333333333348</v>
      </c>
      <c r="L185" s="91">
        <f t="shared" si="31"/>
        <v>3.9583333333333339</v>
      </c>
      <c r="M185" s="29">
        <f t="shared" si="27"/>
        <v>13</v>
      </c>
      <c r="N185" s="92">
        <f t="shared" si="24"/>
        <v>1.9999999999999996</v>
      </c>
      <c r="O185" s="104">
        <f t="shared" si="28"/>
        <v>1.016</v>
      </c>
      <c r="P185" s="105">
        <f t="shared" si="25"/>
        <v>18.491199999999996</v>
      </c>
    </row>
    <row r="186" spans="2:16" x14ac:dyDescent="0.25">
      <c r="B186" s="88" t="str">
        <f t="shared" si="22"/>
        <v>Sitio Santa Lúcia</v>
      </c>
      <c r="C186" s="106">
        <f t="shared" si="29"/>
        <v>2019</v>
      </c>
      <c r="D186" s="101">
        <v>43745</v>
      </c>
      <c r="E186" s="102">
        <v>0.33333333333333298</v>
      </c>
      <c r="F186" s="103">
        <v>0.41666666666666669</v>
      </c>
      <c r="G186" s="103">
        <v>0.33333333333333298</v>
      </c>
      <c r="H186" s="103">
        <v>0.45833333333333331</v>
      </c>
      <c r="I186" s="90">
        <f t="shared" si="26"/>
        <v>2.0000000000000089</v>
      </c>
      <c r="J186" s="90">
        <f t="shared" si="23"/>
        <v>3.000000000000008</v>
      </c>
      <c r="K186" s="91">
        <f t="shared" si="30"/>
        <v>0.95833333333333348</v>
      </c>
      <c r="L186" s="91">
        <f t="shared" si="31"/>
        <v>3.9583333333333339</v>
      </c>
      <c r="M186" s="29">
        <f t="shared" si="27"/>
        <v>13</v>
      </c>
      <c r="N186" s="92">
        <f t="shared" si="24"/>
        <v>2.0000000000000089</v>
      </c>
      <c r="O186" s="104">
        <f t="shared" si="28"/>
        <v>1.016</v>
      </c>
      <c r="P186" s="105">
        <f t="shared" si="25"/>
        <v>18.491200000000081</v>
      </c>
    </row>
    <row r="187" spans="2:16" x14ac:dyDescent="0.25">
      <c r="B187" s="88" t="str">
        <f t="shared" si="22"/>
        <v>Sitio Santa Lúcia</v>
      </c>
      <c r="C187" s="106">
        <f t="shared" si="29"/>
        <v>2019</v>
      </c>
      <c r="D187" s="101">
        <v>43746</v>
      </c>
      <c r="E187" s="102">
        <v>0.29166666666666669</v>
      </c>
      <c r="F187" s="103">
        <v>0.33333333333333298</v>
      </c>
      <c r="G187" s="103">
        <v>0.41666666666666669</v>
      </c>
      <c r="H187" s="103">
        <v>0.5</v>
      </c>
      <c r="I187" s="90">
        <f t="shared" si="26"/>
        <v>0.99999999999999112</v>
      </c>
      <c r="J187" s="90">
        <f t="shared" si="23"/>
        <v>1.9999999999999996</v>
      </c>
      <c r="K187" s="91">
        <f t="shared" si="30"/>
        <v>0.95833333333333348</v>
      </c>
      <c r="L187" s="91">
        <f t="shared" si="31"/>
        <v>3.9583333333333339</v>
      </c>
      <c r="M187" s="29">
        <f t="shared" si="27"/>
        <v>13</v>
      </c>
      <c r="N187" s="92">
        <f t="shared" si="24"/>
        <v>0.99999999999999112</v>
      </c>
      <c r="O187" s="104">
        <f t="shared" si="28"/>
        <v>1.016</v>
      </c>
      <c r="P187" s="105">
        <f t="shared" si="25"/>
        <v>9.2455999999999179</v>
      </c>
    </row>
    <row r="188" spans="2:16" x14ac:dyDescent="0.25">
      <c r="B188" s="88" t="str">
        <f t="shared" si="22"/>
        <v>Sitio Santa Lúcia</v>
      </c>
      <c r="C188" s="106">
        <f t="shared" si="29"/>
        <v>2019</v>
      </c>
      <c r="D188" s="101">
        <v>43747</v>
      </c>
      <c r="E188" s="102">
        <v>0.33333333333333298</v>
      </c>
      <c r="F188" s="103">
        <v>0.39583333333333331</v>
      </c>
      <c r="G188" s="103">
        <v>0.41666666666666669</v>
      </c>
      <c r="H188" s="103">
        <v>0.47916666666666669</v>
      </c>
      <c r="I188" s="90">
        <f t="shared" si="26"/>
        <v>1.500000000000008</v>
      </c>
      <c r="J188" s="90">
        <f t="shared" si="23"/>
        <v>1.5</v>
      </c>
      <c r="K188" s="91">
        <f t="shared" si="30"/>
        <v>0.95833333333333348</v>
      </c>
      <c r="L188" s="91">
        <f t="shared" si="31"/>
        <v>3.9583333333333339</v>
      </c>
      <c r="M188" s="29">
        <f t="shared" si="27"/>
        <v>13</v>
      </c>
      <c r="N188" s="92">
        <f t="shared" si="24"/>
        <v>1.500000000000008</v>
      </c>
      <c r="O188" s="104">
        <f t="shared" si="28"/>
        <v>1.016</v>
      </c>
      <c r="P188" s="105">
        <f t="shared" si="25"/>
        <v>13.868400000000072</v>
      </c>
    </row>
    <row r="189" spans="2:16" x14ac:dyDescent="0.25">
      <c r="B189" s="88" t="str">
        <f t="shared" si="22"/>
        <v>Sitio Santa Lúcia</v>
      </c>
      <c r="C189" s="106">
        <f t="shared" si="29"/>
        <v>2019</v>
      </c>
      <c r="D189" s="101">
        <v>43748</v>
      </c>
      <c r="E189" s="102">
        <v>0.375</v>
      </c>
      <c r="F189" s="103">
        <v>0.41666666666666669</v>
      </c>
      <c r="G189" s="103">
        <v>0.33333333333333298</v>
      </c>
      <c r="H189" s="103">
        <v>0.375</v>
      </c>
      <c r="I189" s="90">
        <f t="shared" si="26"/>
        <v>1.0000000000000004</v>
      </c>
      <c r="J189" s="90">
        <f t="shared" si="23"/>
        <v>1.0000000000000084</v>
      </c>
      <c r="K189" s="91">
        <f t="shared" si="30"/>
        <v>0.95833333333333348</v>
      </c>
      <c r="L189" s="91">
        <f t="shared" si="31"/>
        <v>3.9583333333333339</v>
      </c>
      <c r="M189" s="29">
        <f t="shared" si="27"/>
        <v>13</v>
      </c>
      <c r="N189" s="92">
        <f t="shared" si="24"/>
        <v>1.0000000000000004</v>
      </c>
      <c r="O189" s="104">
        <f t="shared" si="28"/>
        <v>1.016</v>
      </c>
      <c r="P189" s="105">
        <f t="shared" si="25"/>
        <v>9.2456000000000031</v>
      </c>
    </row>
    <row r="190" spans="2:16" x14ac:dyDescent="0.25">
      <c r="B190" s="88" t="str">
        <f t="shared" si="22"/>
        <v>Sitio Santa Lúcia</v>
      </c>
      <c r="C190" s="106">
        <f t="shared" si="29"/>
        <v>2019</v>
      </c>
      <c r="D190" s="101">
        <v>43749</v>
      </c>
      <c r="E190" s="102">
        <v>0.41666666666666669</v>
      </c>
      <c r="F190" s="103">
        <v>0.47916666666666669</v>
      </c>
      <c r="G190" s="103">
        <v>0.29166666666666669</v>
      </c>
      <c r="H190" s="103">
        <v>0.33333333333333298</v>
      </c>
      <c r="I190" s="90">
        <f t="shared" si="26"/>
        <v>1.5</v>
      </c>
      <c r="J190" s="90">
        <f t="shared" si="23"/>
        <v>0.99999999999999112</v>
      </c>
      <c r="K190" s="91">
        <f t="shared" si="30"/>
        <v>0.95833333333333348</v>
      </c>
      <c r="L190" s="91">
        <f t="shared" si="31"/>
        <v>3.9583333333333339</v>
      </c>
      <c r="M190" s="29">
        <f t="shared" si="27"/>
        <v>13</v>
      </c>
      <c r="N190" s="92">
        <f t="shared" si="24"/>
        <v>1.5</v>
      </c>
      <c r="O190" s="104">
        <f t="shared" si="28"/>
        <v>1.016</v>
      </c>
      <c r="P190" s="105">
        <f t="shared" si="25"/>
        <v>13.868399999999999</v>
      </c>
    </row>
    <row r="191" spans="2:16" x14ac:dyDescent="0.25">
      <c r="B191" s="88" t="str">
        <f t="shared" si="22"/>
        <v>Sitio Santa Lúcia</v>
      </c>
      <c r="C191" s="106">
        <f t="shared" si="29"/>
        <v>2019</v>
      </c>
      <c r="D191" s="101">
        <v>43750</v>
      </c>
      <c r="E191" s="102">
        <v>0.375</v>
      </c>
      <c r="F191" s="103">
        <v>0.41666666666666669</v>
      </c>
      <c r="G191" s="103">
        <v>0.33333333333333298</v>
      </c>
      <c r="H191" s="103">
        <v>0.375</v>
      </c>
      <c r="I191" s="90">
        <f t="shared" si="26"/>
        <v>1.0000000000000004</v>
      </c>
      <c r="J191" s="90">
        <f t="shared" si="23"/>
        <v>1.0000000000000084</v>
      </c>
      <c r="K191" s="91">
        <f t="shared" si="30"/>
        <v>0.95833333333333348</v>
      </c>
      <c r="L191" s="91">
        <f t="shared" si="31"/>
        <v>3.9583333333333339</v>
      </c>
      <c r="M191" s="29">
        <f t="shared" si="27"/>
        <v>13</v>
      </c>
      <c r="N191" s="92">
        <f t="shared" si="24"/>
        <v>1.0000000000000004</v>
      </c>
      <c r="O191" s="104">
        <f t="shared" si="28"/>
        <v>1.016</v>
      </c>
      <c r="P191" s="105">
        <f t="shared" si="25"/>
        <v>9.2456000000000031</v>
      </c>
    </row>
    <row r="192" spans="2:16" x14ac:dyDescent="0.25">
      <c r="B192" s="88" t="str">
        <f t="shared" si="22"/>
        <v>Sitio Santa Lúcia</v>
      </c>
      <c r="C192" s="106">
        <f t="shared" si="29"/>
        <v>2019</v>
      </c>
      <c r="D192" s="101">
        <v>43751</v>
      </c>
      <c r="E192" s="102">
        <v>0.29166666666666669</v>
      </c>
      <c r="F192" s="103">
        <v>0.33333333333333298</v>
      </c>
      <c r="G192" s="103">
        <v>0.375</v>
      </c>
      <c r="H192" s="103">
        <v>0.41666666666666669</v>
      </c>
      <c r="I192" s="90">
        <f t="shared" si="26"/>
        <v>0.99999999999999112</v>
      </c>
      <c r="J192" s="90">
        <f t="shared" si="23"/>
        <v>1.0000000000000004</v>
      </c>
      <c r="K192" s="91">
        <f t="shared" si="30"/>
        <v>0.95833333333333348</v>
      </c>
      <c r="L192" s="91">
        <f t="shared" si="31"/>
        <v>3.9583333333333339</v>
      </c>
      <c r="M192" s="29">
        <f t="shared" si="27"/>
        <v>13</v>
      </c>
      <c r="N192" s="92">
        <f t="shared" si="24"/>
        <v>0.99999999999999112</v>
      </c>
      <c r="O192" s="104">
        <f t="shared" si="28"/>
        <v>1.016</v>
      </c>
      <c r="P192" s="105">
        <f t="shared" si="25"/>
        <v>9.2455999999999179</v>
      </c>
    </row>
    <row r="193" spans="2:16" x14ac:dyDescent="0.25">
      <c r="B193" s="88" t="str">
        <f t="shared" si="22"/>
        <v>Sitio Santa Lúcia</v>
      </c>
      <c r="C193" s="106">
        <f t="shared" si="29"/>
        <v>2019</v>
      </c>
      <c r="D193" s="101">
        <v>43752</v>
      </c>
      <c r="E193" s="102">
        <v>0.375</v>
      </c>
      <c r="F193" s="103">
        <v>0.4375</v>
      </c>
      <c r="G193" s="103">
        <v>0.33333333333333298</v>
      </c>
      <c r="H193" s="103">
        <v>0.375</v>
      </c>
      <c r="I193" s="90">
        <f t="shared" si="26"/>
        <v>1.5</v>
      </c>
      <c r="J193" s="90">
        <f t="shared" si="23"/>
        <v>1.0000000000000084</v>
      </c>
      <c r="K193" s="91">
        <f t="shared" si="30"/>
        <v>0.95833333333333348</v>
      </c>
      <c r="L193" s="91">
        <f t="shared" si="31"/>
        <v>3.9583333333333339</v>
      </c>
      <c r="M193" s="29">
        <f t="shared" si="27"/>
        <v>13</v>
      </c>
      <c r="N193" s="92">
        <f t="shared" si="24"/>
        <v>1.5</v>
      </c>
      <c r="O193" s="104">
        <f t="shared" si="28"/>
        <v>1.016</v>
      </c>
      <c r="P193" s="105">
        <f t="shared" si="25"/>
        <v>13.868399999999999</v>
      </c>
    </row>
    <row r="194" spans="2:16" x14ac:dyDescent="0.25">
      <c r="B194" s="88" t="str">
        <f t="shared" si="22"/>
        <v>Sitio Santa Lúcia</v>
      </c>
      <c r="C194" s="106">
        <f t="shared" si="29"/>
        <v>2019</v>
      </c>
      <c r="D194" s="101">
        <v>43753</v>
      </c>
      <c r="E194" s="102">
        <v>0.25</v>
      </c>
      <c r="F194" s="103">
        <v>0.29166666666666669</v>
      </c>
      <c r="G194" s="103">
        <v>0.29166666666666669</v>
      </c>
      <c r="H194" s="103">
        <v>0.33333333333333298</v>
      </c>
      <c r="I194" s="90">
        <f t="shared" si="26"/>
        <v>1.0000000000000004</v>
      </c>
      <c r="J194" s="90">
        <f t="shared" si="23"/>
        <v>0.99999999999999112</v>
      </c>
      <c r="K194" s="91">
        <f t="shared" si="30"/>
        <v>0.95833333333333348</v>
      </c>
      <c r="L194" s="91">
        <f t="shared" si="31"/>
        <v>3.9583333333333339</v>
      </c>
      <c r="M194" s="29">
        <f t="shared" si="27"/>
        <v>13</v>
      </c>
      <c r="N194" s="92">
        <f t="shared" si="24"/>
        <v>1.0000000000000004</v>
      </c>
      <c r="O194" s="104">
        <f t="shared" si="28"/>
        <v>1.016</v>
      </c>
      <c r="P194" s="105">
        <f t="shared" si="25"/>
        <v>9.2456000000000031</v>
      </c>
    </row>
    <row r="195" spans="2:16" x14ac:dyDescent="0.25">
      <c r="B195" s="88" t="str">
        <f t="shared" si="22"/>
        <v>Sitio Santa Lúcia</v>
      </c>
      <c r="C195" s="106">
        <f t="shared" si="29"/>
        <v>2019</v>
      </c>
      <c r="D195" s="101">
        <v>43754</v>
      </c>
      <c r="E195" s="102">
        <v>0.29166666666666669</v>
      </c>
      <c r="F195" s="103">
        <v>0.375</v>
      </c>
      <c r="G195" s="103">
        <v>0.25</v>
      </c>
      <c r="H195" s="103">
        <v>0.3125</v>
      </c>
      <c r="I195" s="90">
        <f t="shared" si="26"/>
        <v>1.9999999999999996</v>
      </c>
      <c r="J195" s="90">
        <f t="shared" si="23"/>
        <v>1.5</v>
      </c>
      <c r="K195" s="91">
        <f t="shared" si="30"/>
        <v>0.95833333333333348</v>
      </c>
      <c r="L195" s="91">
        <f t="shared" si="31"/>
        <v>3.9583333333333339</v>
      </c>
      <c r="M195" s="29">
        <f t="shared" si="27"/>
        <v>13</v>
      </c>
      <c r="N195" s="92">
        <f t="shared" si="24"/>
        <v>1.9999999999999996</v>
      </c>
      <c r="O195" s="104">
        <f t="shared" si="28"/>
        <v>1.016</v>
      </c>
      <c r="P195" s="105">
        <f t="shared" si="25"/>
        <v>18.491199999999996</v>
      </c>
    </row>
    <row r="196" spans="2:16" x14ac:dyDescent="0.25">
      <c r="B196" s="88" t="str">
        <f t="shared" si="22"/>
        <v>Sitio Santa Lúcia</v>
      </c>
      <c r="C196" s="106">
        <f t="shared" si="29"/>
        <v>2019</v>
      </c>
      <c r="D196" s="101">
        <v>43755</v>
      </c>
      <c r="E196" s="102">
        <v>0.33333333333333298</v>
      </c>
      <c r="F196" s="103">
        <v>0.39583333333333331</v>
      </c>
      <c r="G196" s="103">
        <v>0.41666666666666669</v>
      </c>
      <c r="H196" s="103">
        <v>0.5</v>
      </c>
      <c r="I196" s="90">
        <f t="shared" si="26"/>
        <v>1.500000000000008</v>
      </c>
      <c r="J196" s="90">
        <f t="shared" si="23"/>
        <v>1.9999999999999996</v>
      </c>
      <c r="K196" s="91">
        <f t="shared" si="30"/>
        <v>0.95833333333333348</v>
      </c>
      <c r="L196" s="91">
        <f t="shared" si="31"/>
        <v>3.9583333333333339</v>
      </c>
      <c r="M196" s="29">
        <f t="shared" si="27"/>
        <v>13</v>
      </c>
      <c r="N196" s="92">
        <f t="shared" si="24"/>
        <v>1.500000000000008</v>
      </c>
      <c r="O196" s="104">
        <f t="shared" si="28"/>
        <v>1.016</v>
      </c>
      <c r="P196" s="105">
        <f t="shared" si="25"/>
        <v>13.868400000000072</v>
      </c>
    </row>
    <row r="197" spans="2:16" x14ac:dyDescent="0.25">
      <c r="B197" s="88" t="str">
        <f t="shared" si="22"/>
        <v>Sitio Santa Lúcia</v>
      </c>
      <c r="C197" s="106">
        <f t="shared" si="29"/>
        <v>2019</v>
      </c>
      <c r="D197" s="101">
        <v>43756</v>
      </c>
      <c r="E197" s="102">
        <v>0.375</v>
      </c>
      <c r="F197" s="103">
        <v>0.41666666666666669</v>
      </c>
      <c r="G197" s="103">
        <v>0.45833333333333331</v>
      </c>
      <c r="H197" s="103">
        <v>0.5</v>
      </c>
      <c r="I197" s="90">
        <f t="shared" si="26"/>
        <v>1.0000000000000004</v>
      </c>
      <c r="J197" s="90">
        <f t="shared" si="23"/>
        <v>1.0000000000000004</v>
      </c>
      <c r="K197" s="91">
        <f t="shared" si="30"/>
        <v>0.95833333333333348</v>
      </c>
      <c r="L197" s="91">
        <f t="shared" si="31"/>
        <v>3.9583333333333339</v>
      </c>
      <c r="M197" s="29">
        <f t="shared" si="27"/>
        <v>13</v>
      </c>
      <c r="N197" s="92">
        <f t="shared" si="24"/>
        <v>1.0000000000000004</v>
      </c>
      <c r="O197" s="104">
        <f t="shared" si="28"/>
        <v>1.016</v>
      </c>
      <c r="P197" s="105">
        <f t="shared" si="25"/>
        <v>9.2456000000000031</v>
      </c>
    </row>
    <row r="198" spans="2:16" x14ac:dyDescent="0.25">
      <c r="B198" s="88" t="str">
        <f t="shared" si="22"/>
        <v>Sitio Santa Lúcia</v>
      </c>
      <c r="C198" s="106">
        <f t="shared" si="29"/>
        <v>2019</v>
      </c>
      <c r="D198" s="101">
        <v>43757</v>
      </c>
      <c r="E198" s="102">
        <v>0.29166666666666669</v>
      </c>
      <c r="F198" s="103">
        <v>0.41666666666666669</v>
      </c>
      <c r="G198" s="103">
        <v>0.33333333333333298</v>
      </c>
      <c r="H198" s="103">
        <v>0.45833333333333331</v>
      </c>
      <c r="I198" s="90">
        <f t="shared" si="26"/>
        <v>3</v>
      </c>
      <c r="J198" s="90">
        <f t="shared" si="23"/>
        <v>3.000000000000008</v>
      </c>
      <c r="K198" s="91">
        <f t="shared" si="30"/>
        <v>0.95833333333333348</v>
      </c>
      <c r="L198" s="91">
        <f t="shared" si="31"/>
        <v>3.9583333333333339</v>
      </c>
      <c r="M198" s="29">
        <f t="shared" si="27"/>
        <v>13</v>
      </c>
      <c r="N198" s="92">
        <f t="shared" si="24"/>
        <v>3</v>
      </c>
      <c r="O198" s="104">
        <f t="shared" si="28"/>
        <v>1.016</v>
      </c>
      <c r="P198" s="105">
        <f t="shared" si="25"/>
        <v>27.736799999999999</v>
      </c>
    </row>
    <row r="199" spans="2:16" x14ac:dyDescent="0.25">
      <c r="B199" s="88" t="str">
        <f t="shared" si="22"/>
        <v>Sitio Santa Lúcia</v>
      </c>
      <c r="C199" s="106">
        <f t="shared" si="29"/>
        <v>2019</v>
      </c>
      <c r="D199" s="101">
        <v>43758</v>
      </c>
      <c r="E199" s="102">
        <v>0.3125</v>
      </c>
      <c r="F199" s="103">
        <v>0.35416666666666702</v>
      </c>
      <c r="G199" s="103">
        <v>0.41666666666666669</v>
      </c>
      <c r="H199" s="103">
        <v>0.47916666666666669</v>
      </c>
      <c r="I199" s="90">
        <f t="shared" si="26"/>
        <v>1.0000000000000084</v>
      </c>
      <c r="J199" s="90">
        <f t="shared" si="23"/>
        <v>1.5</v>
      </c>
      <c r="K199" s="91">
        <f t="shared" si="30"/>
        <v>0.95833333333333348</v>
      </c>
      <c r="L199" s="91">
        <f t="shared" si="31"/>
        <v>3.9583333333333339</v>
      </c>
      <c r="M199" s="29">
        <f t="shared" si="27"/>
        <v>13</v>
      </c>
      <c r="N199" s="92">
        <f t="shared" si="24"/>
        <v>1.0000000000000084</v>
      </c>
      <c r="O199" s="104">
        <f t="shared" si="28"/>
        <v>1.016</v>
      </c>
      <c r="P199" s="105">
        <f t="shared" si="25"/>
        <v>9.2456000000000778</v>
      </c>
    </row>
    <row r="200" spans="2:16" x14ac:dyDescent="0.25">
      <c r="B200" s="88" t="str">
        <f t="shared" si="22"/>
        <v>Sitio Santa Lúcia</v>
      </c>
      <c r="C200" s="106">
        <f t="shared" si="29"/>
        <v>2019</v>
      </c>
      <c r="D200" s="101">
        <v>43759</v>
      </c>
      <c r="E200" s="102">
        <v>0.29166666666666669</v>
      </c>
      <c r="F200" s="103">
        <v>0.33333333333333298</v>
      </c>
      <c r="G200" s="103">
        <v>0.375</v>
      </c>
      <c r="H200" s="103">
        <v>0.41666666666666669</v>
      </c>
      <c r="I200" s="90">
        <f t="shared" si="26"/>
        <v>0.99999999999999112</v>
      </c>
      <c r="J200" s="90">
        <f t="shared" si="23"/>
        <v>1.0000000000000004</v>
      </c>
      <c r="K200" s="91">
        <f t="shared" si="30"/>
        <v>0.95833333333333348</v>
      </c>
      <c r="L200" s="91">
        <f t="shared" si="31"/>
        <v>3.9583333333333339</v>
      </c>
      <c r="M200" s="29">
        <f t="shared" si="27"/>
        <v>13</v>
      </c>
      <c r="N200" s="92">
        <f t="shared" si="24"/>
        <v>0.99999999999999112</v>
      </c>
      <c r="O200" s="104">
        <f t="shared" si="28"/>
        <v>1.016</v>
      </c>
      <c r="P200" s="105">
        <f t="shared" si="25"/>
        <v>9.2455999999999179</v>
      </c>
    </row>
    <row r="201" spans="2:16" x14ac:dyDescent="0.25">
      <c r="B201" s="88" t="str">
        <f t="shared" si="22"/>
        <v>Sitio Santa Lúcia</v>
      </c>
      <c r="C201" s="106">
        <f t="shared" si="29"/>
        <v>2019</v>
      </c>
      <c r="D201" s="101">
        <v>43760</v>
      </c>
      <c r="E201" s="102">
        <v>0.375</v>
      </c>
      <c r="F201" s="103">
        <v>0.41666666666666669</v>
      </c>
      <c r="G201" s="103">
        <v>0.41666666666666669</v>
      </c>
      <c r="H201" s="103">
        <v>0.5</v>
      </c>
      <c r="I201" s="90">
        <f t="shared" si="26"/>
        <v>1.0000000000000004</v>
      </c>
      <c r="J201" s="90">
        <f t="shared" si="23"/>
        <v>1.9999999999999996</v>
      </c>
      <c r="K201" s="91">
        <f t="shared" si="30"/>
        <v>0.95833333333333348</v>
      </c>
      <c r="L201" s="91">
        <f t="shared" si="31"/>
        <v>3.9583333333333339</v>
      </c>
      <c r="M201" s="29">
        <f t="shared" si="27"/>
        <v>13</v>
      </c>
      <c r="N201" s="92">
        <f t="shared" si="24"/>
        <v>1.0000000000000004</v>
      </c>
      <c r="O201" s="104">
        <f t="shared" si="28"/>
        <v>1.016</v>
      </c>
      <c r="P201" s="105">
        <f t="shared" si="25"/>
        <v>9.2456000000000031</v>
      </c>
    </row>
    <row r="202" spans="2:16" x14ac:dyDescent="0.25">
      <c r="B202" s="88" t="str">
        <f t="shared" si="22"/>
        <v>Sitio Santa Lúcia</v>
      </c>
      <c r="C202" s="106">
        <f t="shared" si="29"/>
        <v>2019</v>
      </c>
      <c r="D202" s="101">
        <v>43761</v>
      </c>
      <c r="E202" s="102">
        <v>0.29166666666666669</v>
      </c>
      <c r="F202" s="103">
        <v>0.375</v>
      </c>
      <c r="G202" s="103">
        <v>0.41666666666666669</v>
      </c>
      <c r="H202" s="103">
        <v>0.45833333333333331</v>
      </c>
      <c r="I202" s="90">
        <f t="shared" si="26"/>
        <v>1.9999999999999996</v>
      </c>
      <c r="J202" s="90">
        <f t="shared" si="23"/>
        <v>0.99999999999999911</v>
      </c>
      <c r="K202" s="91">
        <f t="shared" si="30"/>
        <v>0.95833333333333348</v>
      </c>
      <c r="L202" s="91">
        <f t="shared" si="31"/>
        <v>3.9583333333333339</v>
      </c>
      <c r="M202" s="29">
        <f t="shared" si="27"/>
        <v>13</v>
      </c>
      <c r="N202" s="92">
        <f t="shared" si="24"/>
        <v>1.9999999999999996</v>
      </c>
      <c r="O202" s="104">
        <f t="shared" si="28"/>
        <v>1.016</v>
      </c>
      <c r="P202" s="105">
        <f t="shared" si="25"/>
        <v>18.491199999999996</v>
      </c>
    </row>
    <row r="203" spans="2:16" x14ac:dyDescent="0.25">
      <c r="B203" s="88" t="str">
        <f t="shared" si="22"/>
        <v>Sitio Santa Lúcia</v>
      </c>
      <c r="C203" s="106">
        <f t="shared" si="29"/>
        <v>2019</v>
      </c>
      <c r="D203" s="101">
        <v>43762</v>
      </c>
      <c r="E203" s="102">
        <v>0.33333333333333298</v>
      </c>
      <c r="F203" s="103">
        <v>0.375</v>
      </c>
      <c r="G203" s="103">
        <v>0.29166666666666669</v>
      </c>
      <c r="H203" s="103">
        <v>0.375</v>
      </c>
      <c r="I203" s="90">
        <f t="shared" si="26"/>
        <v>1.0000000000000084</v>
      </c>
      <c r="J203" s="90">
        <f t="shared" si="23"/>
        <v>1.9999999999999996</v>
      </c>
      <c r="K203" s="91">
        <f t="shared" si="30"/>
        <v>0.95833333333333348</v>
      </c>
      <c r="L203" s="91">
        <f t="shared" si="31"/>
        <v>3.9583333333333339</v>
      </c>
      <c r="M203" s="29">
        <f t="shared" si="27"/>
        <v>13</v>
      </c>
      <c r="N203" s="92">
        <f t="shared" si="24"/>
        <v>1.0000000000000084</v>
      </c>
      <c r="O203" s="104">
        <f t="shared" si="28"/>
        <v>1.016</v>
      </c>
      <c r="P203" s="105">
        <f t="shared" si="25"/>
        <v>9.2456000000000778</v>
      </c>
    </row>
    <row r="204" spans="2:16" x14ac:dyDescent="0.25">
      <c r="B204" s="88" t="str">
        <f t="shared" si="22"/>
        <v>Sitio Santa Lúcia</v>
      </c>
      <c r="C204" s="106">
        <f t="shared" si="29"/>
        <v>2019</v>
      </c>
      <c r="D204" s="101">
        <v>43763</v>
      </c>
      <c r="E204" s="102">
        <v>0.33333333333333298</v>
      </c>
      <c r="F204" s="103">
        <v>0.41666666666666669</v>
      </c>
      <c r="G204" s="103">
        <v>0.29166666666666669</v>
      </c>
      <c r="H204" s="103">
        <v>0.33333333333333298</v>
      </c>
      <c r="I204" s="90">
        <f t="shared" si="26"/>
        <v>2.0000000000000089</v>
      </c>
      <c r="J204" s="90">
        <f t="shared" si="23"/>
        <v>0.99999999999999112</v>
      </c>
      <c r="K204" s="91">
        <f t="shared" si="30"/>
        <v>0.95833333333333348</v>
      </c>
      <c r="L204" s="91">
        <f t="shared" si="31"/>
        <v>3.9583333333333339</v>
      </c>
      <c r="M204" s="29">
        <f t="shared" si="27"/>
        <v>13</v>
      </c>
      <c r="N204" s="92">
        <f t="shared" si="24"/>
        <v>2.0000000000000089</v>
      </c>
      <c r="O204" s="104">
        <f t="shared" si="28"/>
        <v>1.016</v>
      </c>
      <c r="P204" s="105">
        <f t="shared" si="25"/>
        <v>18.491200000000081</v>
      </c>
    </row>
    <row r="205" spans="2:16" x14ac:dyDescent="0.25">
      <c r="B205" s="88" t="str">
        <f t="shared" si="22"/>
        <v>Sitio Santa Lúcia</v>
      </c>
      <c r="C205" s="106">
        <f t="shared" si="29"/>
        <v>2019</v>
      </c>
      <c r="D205" s="101">
        <v>43764</v>
      </c>
      <c r="E205" s="102">
        <v>0.375</v>
      </c>
      <c r="F205" s="103">
        <v>0.45833333333333331</v>
      </c>
      <c r="G205" s="103">
        <v>0.41666666666666669</v>
      </c>
      <c r="H205" s="103">
        <v>0.47916666666666669</v>
      </c>
      <c r="I205" s="90">
        <f t="shared" si="26"/>
        <v>1.9999999999999996</v>
      </c>
      <c r="J205" s="90">
        <f t="shared" si="23"/>
        <v>1.5</v>
      </c>
      <c r="K205" s="91">
        <f t="shared" si="30"/>
        <v>0.95833333333333348</v>
      </c>
      <c r="L205" s="91">
        <f t="shared" si="31"/>
        <v>3.9583333333333339</v>
      </c>
      <c r="M205" s="29">
        <f t="shared" si="27"/>
        <v>13</v>
      </c>
      <c r="N205" s="92">
        <f t="shared" si="24"/>
        <v>1.9999999999999996</v>
      </c>
      <c r="O205" s="104">
        <f t="shared" si="28"/>
        <v>1.016</v>
      </c>
      <c r="P205" s="105">
        <f t="shared" si="25"/>
        <v>18.491199999999996</v>
      </c>
    </row>
    <row r="206" spans="2:16" x14ac:dyDescent="0.25">
      <c r="B206" s="88" t="str">
        <f t="shared" si="22"/>
        <v>Sitio Santa Lúcia</v>
      </c>
      <c r="C206" s="106">
        <f t="shared" si="29"/>
        <v>2019</v>
      </c>
      <c r="D206" s="101">
        <v>43765</v>
      </c>
      <c r="E206" s="102">
        <v>0.25</v>
      </c>
      <c r="F206" s="103">
        <v>0.29166666666666669</v>
      </c>
      <c r="G206" s="103">
        <v>0.33333333333333298</v>
      </c>
      <c r="H206" s="103">
        <v>0.375</v>
      </c>
      <c r="I206" s="90">
        <f t="shared" si="26"/>
        <v>1.0000000000000004</v>
      </c>
      <c r="J206" s="90">
        <f t="shared" si="23"/>
        <v>1.0000000000000084</v>
      </c>
      <c r="K206" s="91">
        <f t="shared" si="30"/>
        <v>0.95833333333333348</v>
      </c>
      <c r="L206" s="91">
        <f t="shared" si="31"/>
        <v>3.9583333333333339</v>
      </c>
      <c r="M206" s="29">
        <f t="shared" si="27"/>
        <v>13</v>
      </c>
      <c r="N206" s="92">
        <f t="shared" si="24"/>
        <v>1.0000000000000004</v>
      </c>
      <c r="O206" s="104">
        <f t="shared" si="28"/>
        <v>1.016</v>
      </c>
      <c r="P206" s="105">
        <f t="shared" si="25"/>
        <v>9.2456000000000031</v>
      </c>
    </row>
    <row r="207" spans="2:16" x14ac:dyDescent="0.25">
      <c r="B207" s="88" t="str">
        <f t="shared" si="22"/>
        <v>Sitio Santa Lúcia</v>
      </c>
      <c r="C207" s="106">
        <f t="shared" si="29"/>
        <v>2019</v>
      </c>
      <c r="D207" s="101">
        <v>43766</v>
      </c>
      <c r="E207" s="102">
        <v>0.29166666666666669</v>
      </c>
      <c r="F207" s="103">
        <v>0.33333333333333298</v>
      </c>
      <c r="G207" s="103">
        <v>0.41666666666666669</v>
      </c>
      <c r="H207" s="103">
        <v>0.45833333333333331</v>
      </c>
      <c r="I207" s="90">
        <f t="shared" si="26"/>
        <v>0.99999999999999112</v>
      </c>
      <c r="J207" s="90">
        <f t="shared" si="23"/>
        <v>0.99999999999999911</v>
      </c>
      <c r="K207" s="91">
        <f t="shared" si="30"/>
        <v>0.95833333333333348</v>
      </c>
      <c r="L207" s="91">
        <f t="shared" si="31"/>
        <v>3.9583333333333339</v>
      </c>
      <c r="M207" s="29">
        <f t="shared" si="27"/>
        <v>13</v>
      </c>
      <c r="N207" s="92">
        <f t="shared" si="24"/>
        <v>0.99999999999999112</v>
      </c>
      <c r="O207" s="104">
        <f t="shared" si="28"/>
        <v>1.016</v>
      </c>
      <c r="P207" s="105">
        <f t="shared" si="25"/>
        <v>9.2455999999999179</v>
      </c>
    </row>
    <row r="208" spans="2:16" x14ac:dyDescent="0.25">
      <c r="B208" s="88" t="str">
        <f t="shared" si="22"/>
        <v>Sitio Santa Lúcia</v>
      </c>
      <c r="C208" s="106">
        <f t="shared" si="29"/>
        <v>2019</v>
      </c>
      <c r="D208" s="101">
        <v>43767</v>
      </c>
      <c r="E208" s="102">
        <v>0.25</v>
      </c>
      <c r="F208" s="103">
        <v>0.33333333333333298</v>
      </c>
      <c r="G208" s="103">
        <v>0.29166666666666669</v>
      </c>
      <c r="H208" s="103">
        <v>0.375</v>
      </c>
      <c r="I208" s="90">
        <f t="shared" si="26"/>
        <v>1.9999999999999916</v>
      </c>
      <c r="J208" s="90">
        <f t="shared" si="23"/>
        <v>1.9999999999999996</v>
      </c>
      <c r="K208" s="91">
        <f t="shared" si="30"/>
        <v>0.95833333333333348</v>
      </c>
      <c r="L208" s="91">
        <f t="shared" si="31"/>
        <v>3.9583333333333339</v>
      </c>
      <c r="M208" s="29">
        <f t="shared" si="27"/>
        <v>13</v>
      </c>
      <c r="N208" s="92">
        <f t="shared" si="24"/>
        <v>1.9999999999999916</v>
      </c>
      <c r="O208" s="104">
        <f t="shared" si="28"/>
        <v>1.016</v>
      </c>
      <c r="P208" s="105">
        <f t="shared" si="25"/>
        <v>18.491199999999921</v>
      </c>
    </row>
    <row r="209" spans="2:16" x14ac:dyDescent="0.25">
      <c r="B209" s="88" t="str">
        <f t="shared" si="22"/>
        <v>Sitio Santa Lúcia</v>
      </c>
      <c r="C209" s="106">
        <f t="shared" si="29"/>
        <v>2019</v>
      </c>
      <c r="D209" s="101">
        <v>43768</v>
      </c>
      <c r="E209" s="102">
        <v>0.375</v>
      </c>
      <c r="F209" s="103">
        <v>0.41666666666666669</v>
      </c>
      <c r="G209" s="103">
        <v>0.33333333333333298</v>
      </c>
      <c r="H209" s="103">
        <v>0.41666666666666669</v>
      </c>
      <c r="I209" s="90">
        <f t="shared" si="26"/>
        <v>1.0000000000000004</v>
      </c>
      <c r="J209" s="90">
        <f t="shared" si="23"/>
        <v>2.0000000000000089</v>
      </c>
      <c r="K209" s="91">
        <f t="shared" si="30"/>
        <v>0.95833333333333348</v>
      </c>
      <c r="L209" s="91">
        <f t="shared" si="31"/>
        <v>3.9583333333333339</v>
      </c>
      <c r="M209" s="29">
        <f t="shared" si="27"/>
        <v>13</v>
      </c>
      <c r="N209" s="92">
        <f t="shared" si="24"/>
        <v>1.0000000000000004</v>
      </c>
      <c r="O209" s="104">
        <f t="shared" si="28"/>
        <v>1.016</v>
      </c>
      <c r="P209" s="105">
        <f t="shared" si="25"/>
        <v>9.2456000000000031</v>
      </c>
    </row>
    <row r="210" spans="2:16" x14ac:dyDescent="0.25">
      <c r="B210" s="88" t="str">
        <f t="shared" si="22"/>
        <v>Sitio Santa Lúcia</v>
      </c>
      <c r="C210" s="106">
        <f t="shared" si="29"/>
        <v>2019</v>
      </c>
      <c r="D210" s="101">
        <v>43769</v>
      </c>
      <c r="E210" s="102">
        <v>0.29166666666666669</v>
      </c>
      <c r="F210" s="103">
        <v>0.375</v>
      </c>
      <c r="G210" s="103">
        <v>0.41666666666666669</v>
      </c>
      <c r="H210" s="103">
        <v>0.45833333333333331</v>
      </c>
      <c r="I210" s="90">
        <f t="shared" si="26"/>
        <v>1.9999999999999996</v>
      </c>
      <c r="J210" s="90">
        <f t="shared" si="23"/>
        <v>0.99999999999999911</v>
      </c>
      <c r="K210" s="91">
        <f t="shared" si="30"/>
        <v>0.95833333333333348</v>
      </c>
      <c r="L210" s="91">
        <f t="shared" si="31"/>
        <v>3.9583333333333339</v>
      </c>
      <c r="M210" s="29">
        <f t="shared" si="27"/>
        <v>13</v>
      </c>
      <c r="N210" s="92">
        <f t="shared" si="24"/>
        <v>1.9999999999999996</v>
      </c>
      <c r="O210" s="104">
        <f t="shared" si="28"/>
        <v>1.016</v>
      </c>
      <c r="P210" s="105">
        <f t="shared" si="25"/>
        <v>18.491199999999996</v>
      </c>
    </row>
    <row r="211" spans="2:16" x14ac:dyDescent="0.25">
      <c r="B211" s="88" t="str">
        <f t="shared" si="22"/>
        <v>Sitio Santa Lúcia</v>
      </c>
      <c r="C211" s="106">
        <f t="shared" si="29"/>
        <v>2019</v>
      </c>
      <c r="D211" s="101">
        <v>43770</v>
      </c>
      <c r="E211" s="102">
        <v>0.25</v>
      </c>
      <c r="F211" s="103">
        <v>0.29166666666666669</v>
      </c>
      <c r="G211" s="103">
        <v>0.33333333333333298</v>
      </c>
      <c r="H211" s="103">
        <v>0.375</v>
      </c>
      <c r="I211" s="90">
        <f t="shared" si="26"/>
        <v>1.0000000000000004</v>
      </c>
      <c r="J211" s="90">
        <f t="shared" si="23"/>
        <v>1.0000000000000084</v>
      </c>
      <c r="K211" s="91">
        <f t="shared" si="30"/>
        <v>0.95833333333333348</v>
      </c>
      <c r="L211" s="91">
        <f t="shared" si="31"/>
        <v>3.9583333333333339</v>
      </c>
      <c r="M211" s="29">
        <f t="shared" si="27"/>
        <v>13</v>
      </c>
      <c r="N211" s="92">
        <f t="shared" si="24"/>
        <v>1.0000000000000004</v>
      </c>
      <c r="O211" s="104">
        <f t="shared" si="28"/>
        <v>1.016</v>
      </c>
      <c r="P211" s="105">
        <f t="shared" si="25"/>
        <v>9.2456000000000031</v>
      </c>
    </row>
    <row r="212" spans="2:16" x14ac:dyDescent="0.25">
      <c r="B212" s="88" t="str">
        <f t="shared" si="22"/>
        <v>Sitio Santa Lúcia</v>
      </c>
      <c r="C212" s="106">
        <f t="shared" si="29"/>
        <v>2019</v>
      </c>
      <c r="D212" s="101">
        <v>43771</v>
      </c>
      <c r="E212" s="102">
        <v>0.41666666666666669</v>
      </c>
      <c r="F212" s="103">
        <v>0.45833333333333331</v>
      </c>
      <c r="G212" s="103">
        <v>0.375</v>
      </c>
      <c r="H212" s="103">
        <v>0.41666666666666669</v>
      </c>
      <c r="I212" s="90">
        <f t="shared" si="26"/>
        <v>0.99999999999999911</v>
      </c>
      <c r="J212" s="90">
        <f t="shared" si="23"/>
        <v>1.0000000000000004</v>
      </c>
      <c r="K212" s="91">
        <f t="shared" si="30"/>
        <v>0.95833333333333348</v>
      </c>
      <c r="L212" s="91">
        <f t="shared" si="31"/>
        <v>3.9583333333333339</v>
      </c>
      <c r="M212" s="29">
        <f t="shared" si="27"/>
        <v>13</v>
      </c>
      <c r="N212" s="92">
        <f t="shared" si="24"/>
        <v>0.99999999999999911</v>
      </c>
      <c r="O212" s="104">
        <f t="shared" si="28"/>
        <v>1.016</v>
      </c>
      <c r="P212" s="105">
        <f t="shared" si="25"/>
        <v>9.2455999999999925</v>
      </c>
    </row>
    <row r="213" spans="2:16" x14ac:dyDescent="0.25">
      <c r="B213" s="88" t="str">
        <f t="shared" si="22"/>
        <v>Sitio Santa Lúcia</v>
      </c>
      <c r="C213" s="106">
        <f t="shared" si="29"/>
        <v>2019</v>
      </c>
      <c r="D213" s="101">
        <v>43772</v>
      </c>
      <c r="E213" s="102">
        <v>0.3125</v>
      </c>
      <c r="F213" s="103">
        <v>0.3611111111111111</v>
      </c>
      <c r="G213" s="103">
        <v>0.375</v>
      </c>
      <c r="H213" s="103">
        <v>0.41666666666666669</v>
      </c>
      <c r="I213" s="90">
        <f t="shared" si="26"/>
        <v>1.1666666666666665</v>
      </c>
      <c r="J213" s="90">
        <f t="shared" si="23"/>
        <v>1.0000000000000004</v>
      </c>
      <c r="K213" s="91">
        <f t="shared" si="30"/>
        <v>0.95833333333333348</v>
      </c>
      <c r="L213" s="91">
        <f t="shared" si="31"/>
        <v>3.9583333333333339</v>
      </c>
      <c r="M213" s="29">
        <f t="shared" si="27"/>
        <v>13</v>
      </c>
      <c r="N213" s="92">
        <f t="shared" si="24"/>
        <v>1.1666666666666665</v>
      </c>
      <c r="O213" s="104">
        <f t="shared" si="28"/>
        <v>1.016</v>
      </c>
      <c r="P213" s="105">
        <f t="shared" si="25"/>
        <v>10.786533333333331</v>
      </c>
    </row>
    <row r="214" spans="2:16" x14ac:dyDescent="0.25">
      <c r="B214" s="88" t="str">
        <f t="shared" si="22"/>
        <v>Sitio Santa Lúcia</v>
      </c>
      <c r="C214" s="106">
        <f t="shared" si="29"/>
        <v>2019</v>
      </c>
      <c r="D214" s="101">
        <v>43773</v>
      </c>
      <c r="E214" s="102">
        <v>0.41666666666666669</v>
      </c>
      <c r="F214" s="103">
        <v>0.47916666666666669</v>
      </c>
      <c r="G214" s="103">
        <v>0.33333333333333298</v>
      </c>
      <c r="H214" s="103">
        <v>0.41666666666666669</v>
      </c>
      <c r="I214" s="90">
        <f t="shared" si="26"/>
        <v>1.5</v>
      </c>
      <c r="J214" s="90">
        <f t="shared" si="23"/>
        <v>2.0000000000000089</v>
      </c>
      <c r="K214" s="91">
        <f t="shared" si="30"/>
        <v>0.95833333333333348</v>
      </c>
      <c r="L214" s="91">
        <f t="shared" si="31"/>
        <v>3.9583333333333339</v>
      </c>
      <c r="M214" s="29">
        <f t="shared" si="27"/>
        <v>13</v>
      </c>
      <c r="N214" s="92">
        <f t="shared" si="24"/>
        <v>1.5</v>
      </c>
      <c r="O214" s="104">
        <f t="shared" si="28"/>
        <v>1.016</v>
      </c>
      <c r="P214" s="105">
        <f t="shared" si="25"/>
        <v>13.868399999999999</v>
      </c>
    </row>
    <row r="215" spans="2:16" x14ac:dyDescent="0.25">
      <c r="B215" s="88" t="str">
        <f t="shared" si="22"/>
        <v>Sitio Santa Lúcia</v>
      </c>
      <c r="C215" s="106">
        <f t="shared" si="29"/>
        <v>2019</v>
      </c>
      <c r="D215" s="101">
        <v>43774</v>
      </c>
      <c r="E215" s="102">
        <v>0.29166666666666669</v>
      </c>
      <c r="F215" s="103">
        <v>0.39583333333333331</v>
      </c>
      <c r="G215" s="103">
        <v>0.33333333333333298</v>
      </c>
      <c r="H215" s="103">
        <v>0.45833333333333331</v>
      </c>
      <c r="I215" s="90">
        <f t="shared" si="26"/>
        <v>2.4999999999999991</v>
      </c>
      <c r="J215" s="90">
        <f t="shared" si="23"/>
        <v>3.000000000000008</v>
      </c>
      <c r="K215" s="91">
        <f t="shared" si="30"/>
        <v>0.95833333333333348</v>
      </c>
      <c r="L215" s="91">
        <f t="shared" si="31"/>
        <v>3.9583333333333339</v>
      </c>
      <c r="M215" s="29">
        <f t="shared" si="27"/>
        <v>13</v>
      </c>
      <c r="N215" s="92">
        <f t="shared" si="24"/>
        <v>2.4999999999999991</v>
      </c>
      <c r="O215" s="104">
        <f t="shared" si="28"/>
        <v>1.016</v>
      </c>
      <c r="P215" s="105">
        <f t="shared" si="25"/>
        <v>23.11399999999999</v>
      </c>
    </row>
    <row r="216" spans="2:16" x14ac:dyDescent="0.25">
      <c r="B216" s="88" t="str">
        <f t="shared" si="22"/>
        <v>Sitio Santa Lúcia</v>
      </c>
      <c r="C216" s="106">
        <f t="shared" si="29"/>
        <v>2019</v>
      </c>
      <c r="D216" s="101">
        <v>43775</v>
      </c>
      <c r="E216" s="102">
        <v>0.27777777777777779</v>
      </c>
      <c r="F216" s="103">
        <v>0.375</v>
      </c>
      <c r="G216" s="103">
        <v>0.41666666666666669</v>
      </c>
      <c r="H216" s="103">
        <v>0.5</v>
      </c>
      <c r="I216" s="90">
        <f t="shared" si="26"/>
        <v>2.333333333333333</v>
      </c>
      <c r="J216" s="90">
        <f t="shared" si="23"/>
        <v>1.9999999999999996</v>
      </c>
      <c r="K216" s="91">
        <f t="shared" si="30"/>
        <v>0.95833333333333348</v>
      </c>
      <c r="L216" s="91">
        <f t="shared" si="31"/>
        <v>3.9583333333333339</v>
      </c>
      <c r="M216" s="29">
        <f t="shared" si="27"/>
        <v>13</v>
      </c>
      <c r="N216" s="92">
        <f t="shared" si="24"/>
        <v>2.333333333333333</v>
      </c>
      <c r="O216" s="104">
        <f t="shared" si="28"/>
        <v>1.016</v>
      </c>
      <c r="P216" s="105">
        <f t="shared" si="25"/>
        <v>21.573066666666662</v>
      </c>
    </row>
    <row r="217" spans="2:16" x14ac:dyDescent="0.25">
      <c r="B217" s="88" t="str">
        <f t="shared" si="22"/>
        <v>Sitio Santa Lúcia</v>
      </c>
      <c r="C217" s="106">
        <f t="shared" si="29"/>
        <v>2019</v>
      </c>
      <c r="D217" s="101">
        <v>43776</v>
      </c>
      <c r="E217" s="102">
        <v>0.29166666666666669</v>
      </c>
      <c r="F217" s="103">
        <v>0.35416666666666669</v>
      </c>
      <c r="G217" s="103">
        <v>0.375</v>
      </c>
      <c r="H217" s="103">
        <v>0.41666666666666669</v>
      </c>
      <c r="I217" s="90">
        <f t="shared" si="26"/>
        <v>1.5</v>
      </c>
      <c r="J217" s="90">
        <f t="shared" si="23"/>
        <v>1.0000000000000004</v>
      </c>
      <c r="K217" s="91">
        <f t="shared" si="30"/>
        <v>0.95833333333333348</v>
      </c>
      <c r="L217" s="91">
        <f t="shared" si="31"/>
        <v>3.9583333333333339</v>
      </c>
      <c r="M217" s="29">
        <f t="shared" si="27"/>
        <v>13</v>
      </c>
      <c r="N217" s="92">
        <f t="shared" si="24"/>
        <v>1.5</v>
      </c>
      <c r="O217" s="104">
        <f t="shared" si="28"/>
        <v>1.016</v>
      </c>
      <c r="P217" s="105">
        <f t="shared" si="25"/>
        <v>13.868399999999999</v>
      </c>
    </row>
    <row r="218" spans="2:16" x14ac:dyDescent="0.25">
      <c r="B218" s="88" t="str">
        <f t="shared" si="22"/>
        <v>Sitio Santa Lúcia</v>
      </c>
      <c r="C218" s="106">
        <f t="shared" si="29"/>
        <v>2019</v>
      </c>
      <c r="D218" s="101">
        <v>43777</v>
      </c>
      <c r="E218" s="102">
        <v>0.25</v>
      </c>
      <c r="F218" s="103">
        <v>0.33333333333333298</v>
      </c>
      <c r="G218" s="103">
        <v>0.41666666666666669</v>
      </c>
      <c r="H218" s="103">
        <v>0.5</v>
      </c>
      <c r="I218" s="90">
        <f t="shared" si="26"/>
        <v>1.9999999999999916</v>
      </c>
      <c r="J218" s="90">
        <f t="shared" si="23"/>
        <v>1.9999999999999996</v>
      </c>
      <c r="K218" s="91">
        <f t="shared" si="30"/>
        <v>0.95833333333333348</v>
      </c>
      <c r="L218" s="91">
        <f t="shared" si="31"/>
        <v>3.9583333333333339</v>
      </c>
      <c r="M218" s="29">
        <f t="shared" si="27"/>
        <v>13</v>
      </c>
      <c r="N218" s="92">
        <f t="shared" si="24"/>
        <v>1.9999999999999916</v>
      </c>
      <c r="O218" s="104">
        <f t="shared" si="28"/>
        <v>1.016</v>
      </c>
      <c r="P218" s="105">
        <f t="shared" si="25"/>
        <v>18.491199999999921</v>
      </c>
    </row>
    <row r="219" spans="2:16" x14ac:dyDescent="0.25">
      <c r="B219" s="88" t="str">
        <f t="shared" si="22"/>
        <v>Sitio Santa Lúcia</v>
      </c>
      <c r="C219" s="106">
        <f t="shared" si="29"/>
        <v>2019</v>
      </c>
      <c r="D219" s="101">
        <v>43778</v>
      </c>
      <c r="E219" s="102">
        <v>0.375</v>
      </c>
      <c r="F219" s="103">
        <v>0.45833333333333331</v>
      </c>
      <c r="G219" s="103">
        <v>0.25</v>
      </c>
      <c r="H219" s="103">
        <v>0.3125</v>
      </c>
      <c r="I219" s="90">
        <f t="shared" si="26"/>
        <v>1.9999999999999996</v>
      </c>
      <c r="J219" s="90">
        <f t="shared" si="23"/>
        <v>1.5</v>
      </c>
      <c r="K219" s="91">
        <f t="shared" si="30"/>
        <v>0.95833333333333348</v>
      </c>
      <c r="L219" s="91">
        <f t="shared" si="31"/>
        <v>3.9583333333333339</v>
      </c>
      <c r="M219" s="29">
        <f t="shared" si="27"/>
        <v>13</v>
      </c>
      <c r="N219" s="92">
        <f t="shared" si="24"/>
        <v>1.9999999999999996</v>
      </c>
      <c r="O219" s="104">
        <f t="shared" si="28"/>
        <v>1.016</v>
      </c>
      <c r="P219" s="105">
        <f t="shared" si="25"/>
        <v>18.491199999999996</v>
      </c>
    </row>
    <row r="220" spans="2:16" x14ac:dyDescent="0.25">
      <c r="B220" s="88" t="str">
        <f t="shared" si="22"/>
        <v>Sitio Santa Lúcia</v>
      </c>
      <c r="C220" s="106">
        <f t="shared" si="29"/>
        <v>2019</v>
      </c>
      <c r="D220" s="101">
        <v>43779</v>
      </c>
      <c r="E220" s="102">
        <v>0.375</v>
      </c>
      <c r="F220" s="103">
        <v>0.5</v>
      </c>
      <c r="G220" s="103">
        <v>0.29166666666666669</v>
      </c>
      <c r="H220" s="103">
        <v>0.41666666666666669</v>
      </c>
      <c r="I220" s="90">
        <f t="shared" si="26"/>
        <v>3</v>
      </c>
      <c r="J220" s="90">
        <f t="shared" si="23"/>
        <v>3</v>
      </c>
      <c r="K220" s="91">
        <f t="shared" si="30"/>
        <v>0.95833333333333348</v>
      </c>
      <c r="L220" s="91">
        <f t="shared" si="31"/>
        <v>3.9583333333333339</v>
      </c>
      <c r="M220" s="29">
        <f t="shared" si="27"/>
        <v>13</v>
      </c>
      <c r="N220" s="92">
        <f t="shared" si="24"/>
        <v>3</v>
      </c>
      <c r="O220" s="104">
        <f t="shared" si="28"/>
        <v>1.016</v>
      </c>
      <c r="P220" s="105">
        <f t="shared" si="25"/>
        <v>27.736799999999999</v>
      </c>
    </row>
    <row r="221" spans="2:16" x14ac:dyDescent="0.25">
      <c r="B221" s="88" t="str">
        <f t="shared" si="22"/>
        <v>Sitio Santa Lúcia</v>
      </c>
      <c r="C221" s="106">
        <f t="shared" si="29"/>
        <v>2019</v>
      </c>
      <c r="D221" s="101">
        <v>43780</v>
      </c>
      <c r="E221" s="102">
        <v>0.33333333333333298</v>
      </c>
      <c r="F221" s="103">
        <v>0.39583333333333331</v>
      </c>
      <c r="G221" s="103">
        <v>0.25</v>
      </c>
      <c r="H221" s="103">
        <v>0.33333333333333298</v>
      </c>
      <c r="I221" s="90">
        <f t="shared" si="26"/>
        <v>1.500000000000008</v>
      </c>
      <c r="J221" s="90">
        <f t="shared" si="23"/>
        <v>1.9999999999999916</v>
      </c>
      <c r="K221" s="91">
        <f t="shared" si="30"/>
        <v>0.95833333333333348</v>
      </c>
      <c r="L221" s="91">
        <f t="shared" si="31"/>
        <v>3.9583333333333339</v>
      </c>
      <c r="M221" s="29">
        <f t="shared" si="27"/>
        <v>13</v>
      </c>
      <c r="N221" s="92">
        <f t="shared" si="24"/>
        <v>1.500000000000008</v>
      </c>
      <c r="O221" s="104">
        <f t="shared" si="28"/>
        <v>1.016</v>
      </c>
      <c r="P221" s="105">
        <f t="shared" si="25"/>
        <v>13.868400000000072</v>
      </c>
    </row>
    <row r="222" spans="2:16" x14ac:dyDescent="0.25">
      <c r="B222" s="88" t="str">
        <f t="shared" si="22"/>
        <v>Sitio Santa Lúcia</v>
      </c>
      <c r="C222" s="106">
        <f t="shared" si="29"/>
        <v>2019</v>
      </c>
      <c r="D222" s="101">
        <v>43781</v>
      </c>
      <c r="E222" s="102">
        <v>0.33333333333333298</v>
      </c>
      <c r="F222" s="103">
        <v>0.45833333333333331</v>
      </c>
      <c r="G222" s="103">
        <v>0.29166666666666669</v>
      </c>
      <c r="H222" s="103">
        <v>0.375</v>
      </c>
      <c r="I222" s="90">
        <f t="shared" si="26"/>
        <v>3.000000000000008</v>
      </c>
      <c r="J222" s="90">
        <f t="shared" si="23"/>
        <v>1.9999999999999996</v>
      </c>
      <c r="K222" s="91">
        <f t="shared" si="30"/>
        <v>0.95833333333333348</v>
      </c>
      <c r="L222" s="91">
        <f t="shared" si="31"/>
        <v>3.9583333333333339</v>
      </c>
      <c r="M222" s="29">
        <f t="shared" si="27"/>
        <v>13</v>
      </c>
      <c r="N222" s="92">
        <f t="shared" si="24"/>
        <v>3.000000000000008</v>
      </c>
      <c r="O222" s="104">
        <f t="shared" si="28"/>
        <v>1.016</v>
      </c>
      <c r="P222" s="105">
        <f t="shared" si="25"/>
        <v>27.736800000000073</v>
      </c>
    </row>
    <row r="223" spans="2:16" x14ac:dyDescent="0.25">
      <c r="B223" s="88" t="str">
        <f t="shared" si="22"/>
        <v>Sitio Santa Lúcia</v>
      </c>
      <c r="C223" s="106">
        <f t="shared" si="29"/>
        <v>2019</v>
      </c>
      <c r="D223" s="101">
        <v>43782</v>
      </c>
      <c r="E223" s="102">
        <v>0.33333333333333298</v>
      </c>
      <c r="F223" s="103">
        <v>0.41666666666666669</v>
      </c>
      <c r="G223" s="103">
        <v>0.39583333333333331</v>
      </c>
      <c r="H223" s="103">
        <v>0.4513888888888889</v>
      </c>
      <c r="I223" s="90">
        <f t="shared" si="26"/>
        <v>2.0000000000000089</v>
      </c>
      <c r="J223" s="90">
        <f t="shared" si="23"/>
        <v>1.3333333333333339</v>
      </c>
      <c r="K223" s="91">
        <f t="shared" si="30"/>
        <v>0.95833333333333348</v>
      </c>
      <c r="L223" s="91">
        <f t="shared" si="31"/>
        <v>3.9583333333333339</v>
      </c>
      <c r="M223" s="29">
        <f t="shared" si="27"/>
        <v>13</v>
      </c>
      <c r="N223" s="92">
        <f t="shared" si="24"/>
        <v>2.0000000000000089</v>
      </c>
      <c r="O223" s="104">
        <f t="shared" si="28"/>
        <v>1.016</v>
      </c>
      <c r="P223" s="105">
        <f t="shared" si="25"/>
        <v>18.491200000000081</v>
      </c>
    </row>
    <row r="224" spans="2:16" x14ac:dyDescent="0.25">
      <c r="B224" s="88" t="str">
        <f t="shared" ref="B224:B287" si="32">$B$17</f>
        <v>Sitio Santa Lúcia</v>
      </c>
      <c r="C224" s="106">
        <f t="shared" si="29"/>
        <v>2019</v>
      </c>
      <c r="D224" s="101">
        <v>43783</v>
      </c>
      <c r="E224" s="102">
        <v>0.41666666666666669</v>
      </c>
      <c r="F224" s="103">
        <v>0.45833333333333331</v>
      </c>
      <c r="G224" s="103">
        <v>0.375</v>
      </c>
      <c r="H224" s="103">
        <v>0.41666666666666669</v>
      </c>
      <c r="I224" s="90">
        <f t="shared" si="26"/>
        <v>0.99999999999999911</v>
      </c>
      <c r="J224" s="90">
        <f t="shared" si="23"/>
        <v>1.0000000000000004</v>
      </c>
      <c r="K224" s="91">
        <f t="shared" si="30"/>
        <v>0.95833333333333348</v>
      </c>
      <c r="L224" s="91">
        <f t="shared" si="31"/>
        <v>3.9583333333333339</v>
      </c>
      <c r="M224" s="29">
        <f t="shared" si="27"/>
        <v>13</v>
      </c>
      <c r="N224" s="92">
        <f t="shared" si="24"/>
        <v>0.99999999999999911</v>
      </c>
      <c r="O224" s="104">
        <f t="shared" si="28"/>
        <v>1.016</v>
      </c>
      <c r="P224" s="105">
        <f t="shared" si="25"/>
        <v>9.2455999999999925</v>
      </c>
    </row>
    <row r="225" spans="2:16" x14ac:dyDescent="0.25">
      <c r="B225" s="88" t="str">
        <f t="shared" si="32"/>
        <v>Sitio Santa Lúcia</v>
      </c>
      <c r="C225" s="106">
        <f t="shared" si="29"/>
        <v>2019</v>
      </c>
      <c r="D225" s="101">
        <v>43784</v>
      </c>
      <c r="E225" s="102">
        <v>0.29166666666666669</v>
      </c>
      <c r="F225" s="103">
        <v>0.33333333333333298</v>
      </c>
      <c r="G225" s="103">
        <v>0.39583333333333331</v>
      </c>
      <c r="H225" s="103">
        <v>0.44444444444444442</v>
      </c>
      <c r="I225" s="90">
        <f t="shared" si="26"/>
        <v>0.99999999999999112</v>
      </c>
      <c r="J225" s="90">
        <f t="shared" si="23"/>
        <v>1.1666666666666665</v>
      </c>
      <c r="K225" s="91">
        <f t="shared" si="30"/>
        <v>0.95833333333333348</v>
      </c>
      <c r="L225" s="91">
        <f t="shared" si="31"/>
        <v>3.9583333333333339</v>
      </c>
      <c r="M225" s="29">
        <f t="shared" si="27"/>
        <v>13</v>
      </c>
      <c r="N225" s="92">
        <f t="shared" si="24"/>
        <v>0.99999999999999112</v>
      </c>
      <c r="O225" s="104">
        <f t="shared" si="28"/>
        <v>1.016</v>
      </c>
      <c r="P225" s="105">
        <f t="shared" si="25"/>
        <v>9.2455999999999179</v>
      </c>
    </row>
    <row r="226" spans="2:16" x14ac:dyDescent="0.25">
      <c r="B226" s="88" t="str">
        <f t="shared" si="32"/>
        <v>Sitio Santa Lúcia</v>
      </c>
      <c r="C226" s="106">
        <f t="shared" si="29"/>
        <v>2019</v>
      </c>
      <c r="D226" s="101">
        <v>43785</v>
      </c>
      <c r="E226" s="102">
        <v>0.25</v>
      </c>
      <c r="F226" s="103">
        <v>0.33333333333333298</v>
      </c>
      <c r="G226" s="103">
        <v>0.27083333333333331</v>
      </c>
      <c r="H226" s="103">
        <v>0.29166666666666669</v>
      </c>
      <c r="I226" s="90">
        <f t="shared" si="26"/>
        <v>1.9999999999999916</v>
      </c>
      <c r="J226" s="90">
        <f t="shared" si="23"/>
        <v>0.50000000000000089</v>
      </c>
      <c r="K226" s="91">
        <f t="shared" si="30"/>
        <v>0.95833333333333348</v>
      </c>
      <c r="L226" s="91">
        <f t="shared" si="31"/>
        <v>3.9583333333333339</v>
      </c>
      <c r="M226" s="29">
        <f t="shared" si="27"/>
        <v>13</v>
      </c>
      <c r="N226" s="92">
        <f t="shared" si="24"/>
        <v>1.9999999999999916</v>
      </c>
      <c r="O226" s="104">
        <f t="shared" si="28"/>
        <v>1.016</v>
      </c>
      <c r="P226" s="105">
        <f t="shared" si="25"/>
        <v>18.491199999999921</v>
      </c>
    </row>
    <row r="227" spans="2:16" x14ac:dyDescent="0.25">
      <c r="B227" s="88" t="str">
        <f t="shared" si="32"/>
        <v>Sitio Santa Lúcia</v>
      </c>
      <c r="C227" s="106">
        <f t="shared" si="29"/>
        <v>2019</v>
      </c>
      <c r="D227" s="101">
        <v>43786</v>
      </c>
      <c r="E227" s="102">
        <v>0.29166666666666669</v>
      </c>
      <c r="F227" s="103">
        <v>0.375</v>
      </c>
      <c r="G227" s="103">
        <v>0.25</v>
      </c>
      <c r="H227" s="103">
        <v>0.33333333333333298</v>
      </c>
      <c r="I227" s="90">
        <f t="shared" si="26"/>
        <v>1.9999999999999996</v>
      </c>
      <c r="J227" s="90">
        <f t="shared" si="23"/>
        <v>1.9999999999999916</v>
      </c>
      <c r="K227" s="91">
        <f t="shared" si="30"/>
        <v>0.95833333333333348</v>
      </c>
      <c r="L227" s="91">
        <f t="shared" si="31"/>
        <v>3.9583333333333339</v>
      </c>
      <c r="M227" s="29">
        <f t="shared" si="27"/>
        <v>13</v>
      </c>
      <c r="N227" s="92">
        <f t="shared" si="24"/>
        <v>1.9999999999999996</v>
      </c>
      <c r="O227" s="104">
        <f t="shared" si="28"/>
        <v>1.016</v>
      </c>
      <c r="P227" s="105">
        <f t="shared" si="25"/>
        <v>18.491199999999996</v>
      </c>
    </row>
    <row r="228" spans="2:16" x14ac:dyDescent="0.25">
      <c r="B228" s="88" t="str">
        <f t="shared" si="32"/>
        <v>Sitio Santa Lúcia</v>
      </c>
      <c r="C228" s="106">
        <f t="shared" si="29"/>
        <v>2019</v>
      </c>
      <c r="D228" s="101">
        <v>43787</v>
      </c>
      <c r="E228" s="102">
        <v>0.375</v>
      </c>
      <c r="F228" s="103">
        <v>0.41666666666666669</v>
      </c>
      <c r="G228" s="103">
        <v>0.4375</v>
      </c>
      <c r="H228" s="103">
        <v>0.5</v>
      </c>
      <c r="I228" s="90">
        <f t="shared" si="26"/>
        <v>1.0000000000000004</v>
      </c>
      <c r="J228" s="90">
        <f t="shared" si="23"/>
        <v>1.5</v>
      </c>
      <c r="K228" s="91">
        <f t="shared" si="30"/>
        <v>0.95833333333333348</v>
      </c>
      <c r="L228" s="91">
        <f t="shared" si="31"/>
        <v>3.9583333333333339</v>
      </c>
      <c r="M228" s="29">
        <f t="shared" si="27"/>
        <v>13</v>
      </c>
      <c r="N228" s="92">
        <f t="shared" si="24"/>
        <v>1.0000000000000004</v>
      </c>
      <c r="O228" s="104">
        <f t="shared" si="28"/>
        <v>1.016</v>
      </c>
      <c r="P228" s="105">
        <f t="shared" si="25"/>
        <v>9.2456000000000031</v>
      </c>
    </row>
    <row r="229" spans="2:16" x14ac:dyDescent="0.25">
      <c r="B229" s="88" t="str">
        <f t="shared" si="32"/>
        <v>Sitio Santa Lúcia</v>
      </c>
      <c r="C229" s="106">
        <f t="shared" si="29"/>
        <v>2019</v>
      </c>
      <c r="D229" s="101">
        <v>43788</v>
      </c>
      <c r="E229" s="102">
        <v>0.38194444444444442</v>
      </c>
      <c r="F229" s="103">
        <v>0.41666666666666669</v>
      </c>
      <c r="G229" s="103">
        <v>0.33333333333333298</v>
      </c>
      <c r="H229" s="103">
        <v>0.41666666666666669</v>
      </c>
      <c r="I229" s="90">
        <f t="shared" si="26"/>
        <v>0.83333333333333437</v>
      </c>
      <c r="J229" s="90">
        <f t="shared" si="23"/>
        <v>2.0000000000000089</v>
      </c>
      <c r="K229" s="91">
        <f t="shared" si="30"/>
        <v>0.95833333333333348</v>
      </c>
      <c r="L229" s="91">
        <f t="shared" si="31"/>
        <v>3.9583333333333339</v>
      </c>
      <c r="M229" s="29">
        <f t="shared" si="27"/>
        <v>13</v>
      </c>
      <c r="N229" s="92">
        <f t="shared" si="24"/>
        <v>0.83333333333333437</v>
      </c>
      <c r="O229" s="104">
        <f t="shared" si="28"/>
        <v>1.016</v>
      </c>
      <c r="P229" s="105">
        <f t="shared" si="25"/>
        <v>7.7046666666666752</v>
      </c>
    </row>
    <row r="230" spans="2:16" x14ac:dyDescent="0.25">
      <c r="B230" s="88" t="str">
        <f t="shared" si="32"/>
        <v>Sitio Santa Lúcia</v>
      </c>
      <c r="C230" s="106">
        <f t="shared" si="29"/>
        <v>2019</v>
      </c>
      <c r="D230" s="101">
        <v>43789</v>
      </c>
      <c r="E230" s="102">
        <v>0</v>
      </c>
      <c r="F230" s="103">
        <v>0</v>
      </c>
      <c r="G230" s="103">
        <v>0</v>
      </c>
      <c r="H230" s="103">
        <v>0</v>
      </c>
      <c r="I230" s="90">
        <f t="shared" si="26"/>
        <v>0</v>
      </c>
      <c r="J230" s="90">
        <f t="shared" si="23"/>
        <v>0</v>
      </c>
      <c r="K230" s="91">
        <f t="shared" si="30"/>
        <v>0.95833333333333348</v>
      </c>
      <c r="L230" s="91">
        <f t="shared" si="31"/>
        <v>3.9583333333333339</v>
      </c>
      <c r="M230" s="29">
        <f t="shared" si="27"/>
        <v>13</v>
      </c>
      <c r="N230" s="92">
        <f t="shared" si="24"/>
        <v>0</v>
      </c>
      <c r="O230" s="104">
        <f t="shared" si="28"/>
        <v>1.016</v>
      </c>
      <c r="P230" s="105">
        <f t="shared" si="25"/>
        <v>0</v>
      </c>
    </row>
    <row r="231" spans="2:16" x14ac:dyDescent="0.25">
      <c r="B231" s="88" t="str">
        <f t="shared" si="32"/>
        <v>Sitio Santa Lúcia</v>
      </c>
      <c r="C231" s="106">
        <f t="shared" si="29"/>
        <v>2019</v>
      </c>
      <c r="D231" s="101">
        <v>43790</v>
      </c>
      <c r="E231" s="102">
        <v>0</v>
      </c>
      <c r="F231" s="103">
        <v>0</v>
      </c>
      <c r="G231" s="103">
        <v>0</v>
      </c>
      <c r="H231" s="103">
        <v>0</v>
      </c>
      <c r="I231" s="90">
        <f t="shared" si="26"/>
        <v>0</v>
      </c>
      <c r="J231" s="90">
        <f t="shared" si="23"/>
        <v>0</v>
      </c>
      <c r="K231" s="91">
        <f t="shared" si="30"/>
        <v>0.95833333333333348</v>
      </c>
      <c r="L231" s="91">
        <f t="shared" si="31"/>
        <v>3.9583333333333339</v>
      </c>
      <c r="M231" s="29">
        <f t="shared" si="27"/>
        <v>13</v>
      </c>
      <c r="N231" s="92">
        <f t="shared" si="24"/>
        <v>0</v>
      </c>
      <c r="O231" s="104">
        <f t="shared" si="28"/>
        <v>1.016</v>
      </c>
      <c r="P231" s="105">
        <f t="shared" si="25"/>
        <v>0</v>
      </c>
    </row>
    <row r="232" spans="2:16" x14ac:dyDescent="0.25">
      <c r="B232" s="88" t="str">
        <f t="shared" si="32"/>
        <v>Sitio Santa Lúcia</v>
      </c>
      <c r="C232" s="106">
        <f t="shared" si="29"/>
        <v>2019</v>
      </c>
      <c r="D232" s="101">
        <v>43791</v>
      </c>
      <c r="E232" s="102">
        <v>0</v>
      </c>
      <c r="F232" s="103">
        <v>0</v>
      </c>
      <c r="G232" s="103">
        <v>0</v>
      </c>
      <c r="H232" s="103">
        <v>0</v>
      </c>
      <c r="I232" s="90">
        <f t="shared" si="26"/>
        <v>0</v>
      </c>
      <c r="J232" s="90">
        <f t="shared" si="23"/>
        <v>0</v>
      </c>
      <c r="K232" s="91">
        <f t="shared" si="30"/>
        <v>0.95833333333333348</v>
      </c>
      <c r="L232" s="91">
        <f t="shared" si="31"/>
        <v>3.9583333333333339</v>
      </c>
      <c r="M232" s="29">
        <f t="shared" si="27"/>
        <v>13</v>
      </c>
      <c r="N232" s="92">
        <f t="shared" si="24"/>
        <v>0</v>
      </c>
      <c r="O232" s="104">
        <f t="shared" si="28"/>
        <v>1.016</v>
      </c>
      <c r="P232" s="105">
        <f t="shared" si="25"/>
        <v>0</v>
      </c>
    </row>
    <row r="233" spans="2:16" x14ac:dyDescent="0.25">
      <c r="B233" s="88" t="str">
        <f t="shared" si="32"/>
        <v>Sitio Santa Lúcia</v>
      </c>
      <c r="C233" s="106">
        <f t="shared" si="29"/>
        <v>2019</v>
      </c>
      <c r="D233" s="101">
        <v>43792</v>
      </c>
      <c r="E233" s="102">
        <v>0</v>
      </c>
      <c r="F233" s="103">
        <v>0</v>
      </c>
      <c r="G233" s="103">
        <v>0</v>
      </c>
      <c r="H233" s="103">
        <v>0</v>
      </c>
      <c r="I233" s="90">
        <f t="shared" si="26"/>
        <v>0</v>
      </c>
      <c r="J233" s="90">
        <f t="shared" si="23"/>
        <v>0</v>
      </c>
      <c r="K233" s="91">
        <f t="shared" si="30"/>
        <v>0.95833333333333348</v>
      </c>
      <c r="L233" s="91">
        <f t="shared" si="31"/>
        <v>3.9583333333333339</v>
      </c>
      <c r="M233" s="29">
        <f t="shared" si="27"/>
        <v>13</v>
      </c>
      <c r="N233" s="92">
        <f t="shared" si="24"/>
        <v>0</v>
      </c>
      <c r="O233" s="104">
        <f t="shared" si="28"/>
        <v>1.016</v>
      </c>
      <c r="P233" s="105">
        <f t="shared" si="25"/>
        <v>0</v>
      </c>
    </row>
    <row r="234" spans="2:16" x14ac:dyDescent="0.25">
      <c r="B234" s="88" t="str">
        <f t="shared" si="32"/>
        <v>Sitio Santa Lúcia</v>
      </c>
      <c r="C234" s="106">
        <f t="shared" si="29"/>
        <v>2019</v>
      </c>
      <c r="D234" s="101">
        <v>43793</v>
      </c>
      <c r="E234" s="102">
        <v>0</v>
      </c>
      <c r="F234" s="103">
        <v>0</v>
      </c>
      <c r="G234" s="103">
        <v>0</v>
      </c>
      <c r="H234" s="103">
        <v>0</v>
      </c>
      <c r="I234" s="90">
        <f t="shared" si="26"/>
        <v>0</v>
      </c>
      <c r="J234" s="90">
        <f t="shared" si="23"/>
        <v>0</v>
      </c>
      <c r="K234" s="91">
        <f t="shared" si="30"/>
        <v>0.95833333333333348</v>
      </c>
      <c r="L234" s="91">
        <f t="shared" si="31"/>
        <v>3.9583333333333339</v>
      </c>
      <c r="M234" s="29">
        <f t="shared" si="27"/>
        <v>13</v>
      </c>
      <c r="N234" s="92">
        <f t="shared" si="24"/>
        <v>0</v>
      </c>
      <c r="O234" s="104">
        <f t="shared" si="28"/>
        <v>1.016</v>
      </c>
      <c r="P234" s="105">
        <f t="shared" si="25"/>
        <v>0</v>
      </c>
    </row>
    <row r="235" spans="2:16" x14ac:dyDescent="0.25">
      <c r="B235" s="88" t="str">
        <f t="shared" si="32"/>
        <v>Sitio Santa Lúcia</v>
      </c>
      <c r="C235" s="106">
        <f t="shared" si="29"/>
        <v>2019</v>
      </c>
      <c r="D235" s="101">
        <v>43794</v>
      </c>
      <c r="E235" s="102">
        <v>0</v>
      </c>
      <c r="F235" s="103">
        <v>0</v>
      </c>
      <c r="G235" s="103">
        <v>0</v>
      </c>
      <c r="H235" s="103">
        <v>0</v>
      </c>
      <c r="I235" s="90">
        <f t="shared" si="26"/>
        <v>0</v>
      </c>
      <c r="J235" s="90">
        <f t="shared" si="23"/>
        <v>0</v>
      </c>
      <c r="K235" s="91">
        <f t="shared" si="30"/>
        <v>0.95833333333333348</v>
      </c>
      <c r="L235" s="91">
        <f t="shared" si="31"/>
        <v>3.9583333333333339</v>
      </c>
      <c r="M235" s="29">
        <f t="shared" si="27"/>
        <v>13</v>
      </c>
      <c r="N235" s="92">
        <f t="shared" si="24"/>
        <v>0</v>
      </c>
      <c r="O235" s="104">
        <f t="shared" si="28"/>
        <v>1.016</v>
      </c>
      <c r="P235" s="105">
        <f t="shared" si="25"/>
        <v>0</v>
      </c>
    </row>
    <row r="236" spans="2:16" x14ac:dyDescent="0.25">
      <c r="B236" s="88" t="str">
        <f t="shared" si="32"/>
        <v>Sitio Santa Lúcia</v>
      </c>
      <c r="C236" s="106">
        <f t="shared" si="29"/>
        <v>2019</v>
      </c>
      <c r="D236" s="101">
        <v>43795</v>
      </c>
      <c r="E236" s="102">
        <v>0</v>
      </c>
      <c r="F236" s="103">
        <v>0</v>
      </c>
      <c r="G236" s="103">
        <v>0</v>
      </c>
      <c r="H236" s="103">
        <v>0</v>
      </c>
      <c r="I236" s="90">
        <f t="shared" si="26"/>
        <v>0</v>
      </c>
      <c r="J236" s="90">
        <f t="shared" si="23"/>
        <v>0</v>
      </c>
      <c r="K236" s="91">
        <f t="shared" si="30"/>
        <v>0.95833333333333348</v>
      </c>
      <c r="L236" s="91">
        <f t="shared" si="31"/>
        <v>3.9583333333333339</v>
      </c>
      <c r="M236" s="29">
        <f t="shared" si="27"/>
        <v>13</v>
      </c>
      <c r="N236" s="92">
        <f t="shared" si="24"/>
        <v>0</v>
      </c>
      <c r="O236" s="104">
        <f t="shared" si="28"/>
        <v>1.016</v>
      </c>
      <c r="P236" s="105">
        <f t="shared" si="25"/>
        <v>0</v>
      </c>
    </row>
    <row r="237" spans="2:16" x14ac:dyDescent="0.25">
      <c r="B237" s="88" t="str">
        <f t="shared" si="32"/>
        <v>Sitio Santa Lúcia</v>
      </c>
      <c r="C237" s="106">
        <f t="shared" si="29"/>
        <v>2019</v>
      </c>
      <c r="D237" s="101">
        <v>43796</v>
      </c>
      <c r="E237" s="102">
        <v>0</v>
      </c>
      <c r="F237" s="103">
        <v>0</v>
      </c>
      <c r="G237" s="103">
        <v>0</v>
      </c>
      <c r="H237" s="103">
        <v>0</v>
      </c>
      <c r="I237" s="90">
        <f t="shared" si="26"/>
        <v>0</v>
      </c>
      <c r="J237" s="90">
        <f t="shared" si="23"/>
        <v>0</v>
      </c>
      <c r="K237" s="91">
        <f t="shared" si="30"/>
        <v>0.95833333333333348</v>
      </c>
      <c r="L237" s="91">
        <f t="shared" si="31"/>
        <v>3.9583333333333339</v>
      </c>
      <c r="M237" s="29">
        <f t="shared" si="27"/>
        <v>13</v>
      </c>
      <c r="N237" s="92">
        <f t="shared" si="24"/>
        <v>0</v>
      </c>
      <c r="O237" s="104">
        <f t="shared" si="28"/>
        <v>1.016</v>
      </c>
      <c r="P237" s="105">
        <f t="shared" si="25"/>
        <v>0</v>
      </c>
    </row>
    <row r="238" spans="2:16" x14ac:dyDescent="0.25">
      <c r="B238" s="88" t="str">
        <f t="shared" si="32"/>
        <v>Sitio Santa Lúcia</v>
      </c>
      <c r="C238" s="106">
        <f t="shared" si="29"/>
        <v>2019</v>
      </c>
      <c r="D238" s="101">
        <v>43797</v>
      </c>
      <c r="E238" s="102">
        <v>0</v>
      </c>
      <c r="F238" s="103">
        <v>0</v>
      </c>
      <c r="G238" s="103">
        <v>0</v>
      </c>
      <c r="H238" s="103">
        <v>0</v>
      </c>
      <c r="I238" s="90">
        <f t="shared" si="26"/>
        <v>0</v>
      </c>
      <c r="J238" s="90">
        <f t="shared" si="23"/>
        <v>0</v>
      </c>
      <c r="K238" s="91">
        <f t="shared" si="30"/>
        <v>0.95833333333333348</v>
      </c>
      <c r="L238" s="91">
        <f t="shared" si="31"/>
        <v>3.9583333333333339</v>
      </c>
      <c r="M238" s="29">
        <f t="shared" si="27"/>
        <v>13</v>
      </c>
      <c r="N238" s="92">
        <f t="shared" si="24"/>
        <v>0</v>
      </c>
      <c r="O238" s="104">
        <f t="shared" si="28"/>
        <v>1.016</v>
      </c>
      <c r="P238" s="105">
        <f t="shared" si="25"/>
        <v>0</v>
      </c>
    </row>
    <row r="239" spans="2:16" x14ac:dyDescent="0.25">
      <c r="B239" s="88" t="str">
        <f t="shared" si="32"/>
        <v>Sitio Santa Lúcia</v>
      </c>
      <c r="C239" s="106">
        <f t="shared" si="29"/>
        <v>2019</v>
      </c>
      <c r="D239" s="101">
        <v>43798</v>
      </c>
      <c r="E239" s="102">
        <v>0</v>
      </c>
      <c r="F239" s="103">
        <v>0</v>
      </c>
      <c r="G239" s="103">
        <v>0</v>
      </c>
      <c r="H239" s="103">
        <v>0</v>
      </c>
      <c r="I239" s="90">
        <f t="shared" si="26"/>
        <v>0</v>
      </c>
      <c r="J239" s="90">
        <f t="shared" si="23"/>
        <v>0</v>
      </c>
      <c r="K239" s="91">
        <f t="shared" si="30"/>
        <v>0.95833333333333348</v>
      </c>
      <c r="L239" s="91">
        <f t="shared" si="31"/>
        <v>3.9583333333333339</v>
      </c>
      <c r="M239" s="29">
        <f t="shared" si="27"/>
        <v>13</v>
      </c>
      <c r="N239" s="92">
        <f t="shared" si="24"/>
        <v>0</v>
      </c>
      <c r="O239" s="104">
        <f t="shared" si="28"/>
        <v>1.016</v>
      </c>
      <c r="P239" s="105">
        <f t="shared" si="25"/>
        <v>0</v>
      </c>
    </row>
    <row r="240" spans="2:16" x14ac:dyDescent="0.25">
      <c r="B240" s="88" t="str">
        <f t="shared" si="32"/>
        <v>Sitio Santa Lúcia</v>
      </c>
      <c r="C240" s="106">
        <f t="shared" si="29"/>
        <v>2019</v>
      </c>
      <c r="D240" s="101">
        <v>43799</v>
      </c>
      <c r="E240" s="102">
        <v>0</v>
      </c>
      <c r="F240" s="103">
        <v>0</v>
      </c>
      <c r="G240" s="103">
        <v>0</v>
      </c>
      <c r="H240" s="103">
        <v>0</v>
      </c>
      <c r="I240" s="90">
        <f t="shared" si="26"/>
        <v>0</v>
      </c>
      <c r="J240" s="90">
        <f t="shared" si="23"/>
        <v>0</v>
      </c>
      <c r="K240" s="91">
        <f t="shared" si="30"/>
        <v>0.95833333333333348</v>
      </c>
      <c r="L240" s="91">
        <f t="shared" si="31"/>
        <v>3.9583333333333339</v>
      </c>
      <c r="M240" s="29">
        <f t="shared" si="27"/>
        <v>13</v>
      </c>
      <c r="N240" s="92">
        <f t="shared" si="24"/>
        <v>0</v>
      </c>
      <c r="O240" s="104">
        <f t="shared" si="28"/>
        <v>1.016</v>
      </c>
      <c r="P240" s="105">
        <f t="shared" si="25"/>
        <v>0</v>
      </c>
    </row>
    <row r="241" spans="2:16" x14ac:dyDescent="0.25">
      <c r="B241" s="88" t="str">
        <f t="shared" si="32"/>
        <v>Sitio Santa Lúcia</v>
      </c>
      <c r="C241" s="106">
        <f t="shared" si="29"/>
        <v>2019</v>
      </c>
      <c r="D241" s="101">
        <v>43800</v>
      </c>
      <c r="E241" s="102">
        <v>0</v>
      </c>
      <c r="F241" s="103">
        <v>0</v>
      </c>
      <c r="G241" s="103">
        <v>0</v>
      </c>
      <c r="H241" s="103">
        <v>0</v>
      </c>
      <c r="I241" s="90">
        <f t="shared" si="26"/>
        <v>0</v>
      </c>
      <c r="J241" s="90">
        <f t="shared" ref="J241:J304" si="33">((H241-G241)-INT($D$20))*24</f>
        <v>0</v>
      </c>
      <c r="K241" s="91">
        <f t="shared" si="30"/>
        <v>0.95833333333333348</v>
      </c>
      <c r="L241" s="91">
        <f t="shared" si="31"/>
        <v>3.9583333333333339</v>
      </c>
      <c r="M241" s="29">
        <f t="shared" si="27"/>
        <v>13</v>
      </c>
      <c r="N241" s="92">
        <f t="shared" ref="N241:N304" si="34">I241</f>
        <v>0</v>
      </c>
      <c r="O241" s="104">
        <f t="shared" si="28"/>
        <v>1.016</v>
      </c>
      <c r="P241" s="105">
        <f t="shared" ref="P241:P304" si="35">M241*N241*O241*0.7</f>
        <v>0</v>
      </c>
    </row>
    <row r="242" spans="2:16" x14ac:dyDescent="0.25">
      <c r="B242" s="88" t="str">
        <f t="shared" si="32"/>
        <v>Sitio Santa Lúcia</v>
      </c>
      <c r="C242" s="106">
        <f t="shared" si="29"/>
        <v>2019</v>
      </c>
      <c r="D242" s="101">
        <v>43801</v>
      </c>
      <c r="E242" s="102">
        <v>0</v>
      </c>
      <c r="F242" s="103">
        <v>0</v>
      </c>
      <c r="G242" s="103">
        <v>0</v>
      </c>
      <c r="H242" s="103">
        <v>0</v>
      </c>
      <c r="I242" s="90">
        <f t="shared" ref="I242:I305" si="36">((F242-E242)-INT($D$20))*24</f>
        <v>0</v>
      </c>
      <c r="J242" s="90">
        <f t="shared" si="33"/>
        <v>0</v>
      </c>
      <c r="K242" s="91">
        <f t="shared" si="30"/>
        <v>0.95833333333333348</v>
      </c>
      <c r="L242" s="91">
        <f t="shared" si="31"/>
        <v>3.9583333333333339</v>
      </c>
      <c r="M242" s="29">
        <f t="shared" ref="M242:M305" si="37">VLOOKUP(B242,$I$5:$J$17,2,FALSE)</f>
        <v>13</v>
      </c>
      <c r="N242" s="92">
        <f t="shared" si="34"/>
        <v>0</v>
      </c>
      <c r="O242" s="104">
        <f t="shared" si="28"/>
        <v>1.016</v>
      </c>
      <c r="P242" s="105">
        <f t="shared" si="35"/>
        <v>0</v>
      </c>
    </row>
    <row r="243" spans="2:16" x14ac:dyDescent="0.25">
      <c r="B243" s="88" t="str">
        <f t="shared" si="32"/>
        <v>Sitio Santa Lúcia</v>
      </c>
      <c r="C243" s="106">
        <f t="shared" si="29"/>
        <v>2019</v>
      </c>
      <c r="D243" s="101">
        <v>43802</v>
      </c>
      <c r="E243" s="102">
        <v>0</v>
      </c>
      <c r="F243" s="103">
        <v>0</v>
      </c>
      <c r="G243" s="103">
        <v>0</v>
      </c>
      <c r="H243" s="103">
        <v>0</v>
      </c>
      <c r="I243" s="90">
        <f t="shared" si="36"/>
        <v>0</v>
      </c>
      <c r="J243" s="90">
        <f t="shared" si="33"/>
        <v>0</v>
      </c>
      <c r="K243" s="91">
        <f t="shared" si="30"/>
        <v>0.95833333333333348</v>
      </c>
      <c r="L243" s="91">
        <f t="shared" si="31"/>
        <v>3.9583333333333339</v>
      </c>
      <c r="M243" s="29">
        <f t="shared" si="37"/>
        <v>13</v>
      </c>
      <c r="N243" s="92">
        <f t="shared" si="34"/>
        <v>0</v>
      </c>
      <c r="O243" s="104">
        <f t="shared" si="28"/>
        <v>1.016</v>
      </c>
      <c r="P243" s="105">
        <f t="shared" si="35"/>
        <v>0</v>
      </c>
    </row>
    <row r="244" spans="2:16" x14ac:dyDescent="0.25">
      <c r="B244" s="88" t="str">
        <f t="shared" si="32"/>
        <v>Sitio Santa Lúcia</v>
      </c>
      <c r="C244" s="106">
        <f t="shared" si="29"/>
        <v>2019</v>
      </c>
      <c r="D244" s="101">
        <v>43803</v>
      </c>
      <c r="E244" s="102">
        <v>0</v>
      </c>
      <c r="F244" s="103">
        <v>0</v>
      </c>
      <c r="G244" s="103">
        <v>0</v>
      </c>
      <c r="H244" s="103">
        <v>0</v>
      </c>
      <c r="I244" s="90">
        <f t="shared" si="36"/>
        <v>0</v>
      </c>
      <c r="J244" s="90">
        <f t="shared" si="33"/>
        <v>0</v>
      </c>
      <c r="K244" s="91">
        <f t="shared" si="30"/>
        <v>0.95833333333333348</v>
      </c>
      <c r="L244" s="91">
        <f t="shared" si="31"/>
        <v>3.9583333333333339</v>
      </c>
      <c r="M244" s="29">
        <f t="shared" si="37"/>
        <v>13</v>
      </c>
      <c r="N244" s="92">
        <f t="shared" si="34"/>
        <v>0</v>
      </c>
      <c r="O244" s="104">
        <f t="shared" si="28"/>
        <v>1.016</v>
      </c>
      <c r="P244" s="105">
        <f t="shared" si="35"/>
        <v>0</v>
      </c>
    </row>
    <row r="245" spans="2:16" x14ac:dyDescent="0.25">
      <c r="B245" s="88" t="str">
        <f t="shared" si="32"/>
        <v>Sitio Santa Lúcia</v>
      </c>
      <c r="C245" s="106">
        <f t="shared" si="29"/>
        <v>2019</v>
      </c>
      <c r="D245" s="101">
        <v>43804</v>
      </c>
      <c r="E245" s="102">
        <v>0.33333333333333298</v>
      </c>
      <c r="F245" s="103">
        <v>0.39583333333333331</v>
      </c>
      <c r="G245" s="103">
        <v>0.41666666666666669</v>
      </c>
      <c r="H245" s="103">
        <v>0.5</v>
      </c>
      <c r="I245" s="90">
        <f t="shared" si="36"/>
        <v>1.500000000000008</v>
      </c>
      <c r="J245" s="90">
        <f t="shared" si="33"/>
        <v>1.9999999999999996</v>
      </c>
      <c r="K245" s="91">
        <f t="shared" si="30"/>
        <v>0.95833333333333348</v>
      </c>
      <c r="L245" s="91">
        <f t="shared" si="31"/>
        <v>3.9583333333333339</v>
      </c>
      <c r="M245" s="29">
        <f t="shared" si="37"/>
        <v>13</v>
      </c>
      <c r="N245" s="92">
        <f t="shared" si="34"/>
        <v>1.500000000000008</v>
      </c>
      <c r="O245" s="104">
        <f t="shared" ref="O245:O308" si="38">$D$21/1000</f>
        <v>1.016</v>
      </c>
      <c r="P245" s="105">
        <f t="shared" si="35"/>
        <v>13.868400000000072</v>
      </c>
    </row>
    <row r="246" spans="2:16" x14ac:dyDescent="0.25">
      <c r="B246" s="88" t="str">
        <f t="shared" si="32"/>
        <v>Sitio Santa Lúcia</v>
      </c>
      <c r="C246" s="106">
        <f t="shared" ref="C246:C309" si="39">YEAR(D246)</f>
        <v>2019</v>
      </c>
      <c r="D246" s="101">
        <v>43805</v>
      </c>
      <c r="E246" s="102">
        <v>0.375</v>
      </c>
      <c r="F246" s="103">
        <v>0.41666666666666669</v>
      </c>
      <c r="G246" s="103">
        <v>0.45833333333333331</v>
      </c>
      <c r="H246" s="103">
        <v>0.5</v>
      </c>
      <c r="I246" s="90">
        <f t="shared" si="36"/>
        <v>1.0000000000000004</v>
      </c>
      <c r="J246" s="90">
        <f t="shared" si="33"/>
        <v>1.0000000000000004</v>
      </c>
      <c r="K246" s="91">
        <f t="shared" si="30"/>
        <v>0.95833333333333348</v>
      </c>
      <c r="L246" s="91">
        <f t="shared" si="31"/>
        <v>3.9583333333333339</v>
      </c>
      <c r="M246" s="29">
        <f t="shared" si="37"/>
        <v>13</v>
      </c>
      <c r="N246" s="92">
        <f t="shared" si="34"/>
        <v>1.0000000000000004</v>
      </c>
      <c r="O246" s="104">
        <f t="shared" si="38"/>
        <v>1.016</v>
      </c>
      <c r="P246" s="105">
        <f t="shared" si="35"/>
        <v>9.2456000000000031</v>
      </c>
    </row>
    <row r="247" spans="2:16" x14ac:dyDescent="0.25">
      <c r="B247" s="88" t="str">
        <f t="shared" si="32"/>
        <v>Sitio Santa Lúcia</v>
      </c>
      <c r="C247" s="106">
        <f t="shared" si="39"/>
        <v>2019</v>
      </c>
      <c r="D247" s="101">
        <v>43806</v>
      </c>
      <c r="E247" s="102">
        <v>0.27083333333333331</v>
      </c>
      <c r="F247" s="103">
        <v>0.375</v>
      </c>
      <c r="G247" s="103">
        <v>0.41666666666666669</v>
      </c>
      <c r="H247" s="103">
        <v>0.47916666666666669</v>
      </c>
      <c r="I247" s="90">
        <f t="shared" si="36"/>
        <v>2.5000000000000004</v>
      </c>
      <c r="J247" s="90">
        <f t="shared" si="33"/>
        <v>1.5</v>
      </c>
      <c r="K247" s="91">
        <f t="shared" ref="K247:K310" si="40">VLOOKUP(B247,$B$5:$J$17,5,FALSE)</f>
        <v>0.95833333333333348</v>
      </c>
      <c r="L247" s="91">
        <f t="shared" ref="L247:L310" si="41">VLOOKUP(B247,$B$5:$J$17,6,FALSE)</f>
        <v>3.9583333333333339</v>
      </c>
      <c r="M247" s="29">
        <f t="shared" si="37"/>
        <v>13</v>
      </c>
      <c r="N247" s="92">
        <f t="shared" si="34"/>
        <v>2.5000000000000004</v>
      </c>
      <c r="O247" s="104">
        <f t="shared" si="38"/>
        <v>1.016</v>
      </c>
      <c r="P247" s="105">
        <f t="shared" si="35"/>
        <v>23.114000000000004</v>
      </c>
    </row>
    <row r="248" spans="2:16" x14ac:dyDescent="0.25">
      <c r="B248" s="88" t="str">
        <f t="shared" si="32"/>
        <v>Sitio Santa Lúcia</v>
      </c>
      <c r="C248" s="106">
        <f t="shared" si="39"/>
        <v>2019</v>
      </c>
      <c r="D248" s="101">
        <v>43807</v>
      </c>
      <c r="E248" s="102">
        <v>0.33333333333333298</v>
      </c>
      <c r="F248" s="103">
        <v>0.41666666666666669</v>
      </c>
      <c r="G248" s="103">
        <v>0.25</v>
      </c>
      <c r="H248" s="103">
        <v>0.3125</v>
      </c>
      <c r="I248" s="90">
        <f t="shared" si="36"/>
        <v>2.0000000000000089</v>
      </c>
      <c r="J248" s="90">
        <f t="shared" si="33"/>
        <v>1.5</v>
      </c>
      <c r="K248" s="91">
        <f t="shared" si="40"/>
        <v>0.95833333333333348</v>
      </c>
      <c r="L248" s="91">
        <f t="shared" si="41"/>
        <v>3.9583333333333339</v>
      </c>
      <c r="M248" s="29">
        <f t="shared" si="37"/>
        <v>13</v>
      </c>
      <c r="N248" s="92">
        <f t="shared" si="34"/>
        <v>2.0000000000000089</v>
      </c>
      <c r="O248" s="104">
        <f t="shared" si="38"/>
        <v>1.016</v>
      </c>
      <c r="P248" s="105">
        <f t="shared" si="35"/>
        <v>18.491200000000081</v>
      </c>
    </row>
    <row r="249" spans="2:16" x14ac:dyDescent="0.25">
      <c r="B249" s="88" t="str">
        <f t="shared" si="32"/>
        <v>Sitio Santa Lúcia</v>
      </c>
      <c r="C249" s="106">
        <f t="shared" si="39"/>
        <v>2019</v>
      </c>
      <c r="D249" s="101">
        <v>43808</v>
      </c>
      <c r="E249" s="102">
        <v>0.375</v>
      </c>
      <c r="F249" s="103">
        <v>0.47916666666666669</v>
      </c>
      <c r="G249" s="103">
        <v>0.33333333333333298</v>
      </c>
      <c r="H249" s="103">
        <v>0.41666666666666669</v>
      </c>
      <c r="I249" s="90">
        <f t="shared" si="36"/>
        <v>2.5000000000000004</v>
      </c>
      <c r="J249" s="90">
        <f t="shared" si="33"/>
        <v>2.0000000000000089</v>
      </c>
      <c r="K249" s="91">
        <f t="shared" si="40"/>
        <v>0.95833333333333348</v>
      </c>
      <c r="L249" s="91">
        <f t="shared" si="41"/>
        <v>3.9583333333333339</v>
      </c>
      <c r="M249" s="29">
        <f t="shared" si="37"/>
        <v>13</v>
      </c>
      <c r="N249" s="92">
        <f t="shared" si="34"/>
        <v>2.5000000000000004</v>
      </c>
      <c r="O249" s="104">
        <f t="shared" si="38"/>
        <v>1.016</v>
      </c>
      <c r="P249" s="105">
        <f t="shared" si="35"/>
        <v>23.114000000000004</v>
      </c>
    </row>
    <row r="250" spans="2:16" x14ac:dyDescent="0.25">
      <c r="B250" s="88" t="str">
        <f t="shared" si="32"/>
        <v>Sitio Santa Lúcia</v>
      </c>
      <c r="C250" s="106">
        <f t="shared" si="39"/>
        <v>2019</v>
      </c>
      <c r="D250" s="101">
        <v>43809</v>
      </c>
      <c r="E250" s="102">
        <v>0.3611111111111111</v>
      </c>
      <c r="F250" s="103">
        <v>0.41666666666666669</v>
      </c>
      <c r="G250" s="103">
        <v>0.375</v>
      </c>
      <c r="H250" s="103">
        <v>0.45833333333333331</v>
      </c>
      <c r="I250" s="90">
        <f t="shared" si="36"/>
        <v>1.3333333333333339</v>
      </c>
      <c r="J250" s="90">
        <f t="shared" si="33"/>
        <v>1.9999999999999996</v>
      </c>
      <c r="K250" s="91">
        <f t="shared" si="40"/>
        <v>0.95833333333333348</v>
      </c>
      <c r="L250" s="91">
        <f t="shared" si="41"/>
        <v>3.9583333333333339</v>
      </c>
      <c r="M250" s="29">
        <f t="shared" si="37"/>
        <v>13</v>
      </c>
      <c r="N250" s="92">
        <f t="shared" si="34"/>
        <v>1.3333333333333339</v>
      </c>
      <c r="O250" s="104">
        <f t="shared" si="38"/>
        <v>1.016</v>
      </c>
      <c r="P250" s="105">
        <f t="shared" si="35"/>
        <v>12.327466666666673</v>
      </c>
    </row>
    <row r="251" spans="2:16" x14ac:dyDescent="0.25">
      <c r="B251" s="88" t="str">
        <f t="shared" si="32"/>
        <v>Sitio Santa Lúcia</v>
      </c>
      <c r="C251" s="106">
        <f t="shared" si="39"/>
        <v>2019</v>
      </c>
      <c r="D251" s="101">
        <v>43810</v>
      </c>
      <c r="E251" s="102">
        <v>0.3125</v>
      </c>
      <c r="F251" s="103">
        <v>0.40972222222222227</v>
      </c>
      <c r="G251" s="103">
        <v>0.25</v>
      </c>
      <c r="H251" s="103">
        <v>0.29166666666666669</v>
      </c>
      <c r="I251" s="90">
        <f t="shared" si="36"/>
        <v>2.3333333333333344</v>
      </c>
      <c r="J251" s="90">
        <f t="shared" si="33"/>
        <v>1.0000000000000004</v>
      </c>
      <c r="K251" s="91">
        <f t="shared" si="40"/>
        <v>0.95833333333333348</v>
      </c>
      <c r="L251" s="91">
        <f t="shared" si="41"/>
        <v>3.9583333333333339</v>
      </c>
      <c r="M251" s="29">
        <f t="shared" si="37"/>
        <v>13</v>
      </c>
      <c r="N251" s="92">
        <f t="shared" si="34"/>
        <v>2.3333333333333344</v>
      </c>
      <c r="O251" s="104">
        <f t="shared" si="38"/>
        <v>1.016</v>
      </c>
      <c r="P251" s="105">
        <f t="shared" si="35"/>
        <v>21.573066666666673</v>
      </c>
    </row>
    <row r="252" spans="2:16" x14ac:dyDescent="0.25">
      <c r="B252" s="88" t="str">
        <f t="shared" si="32"/>
        <v>Sitio Santa Lúcia</v>
      </c>
      <c r="C252" s="106">
        <f t="shared" si="39"/>
        <v>2019</v>
      </c>
      <c r="D252" s="101">
        <v>43811</v>
      </c>
      <c r="E252" s="102">
        <v>0.33333333333333298</v>
      </c>
      <c r="F252" s="103">
        <v>0.41666666666666669</v>
      </c>
      <c r="G252" s="103">
        <v>0.29166666666666669</v>
      </c>
      <c r="H252" s="103">
        <v>0.375</v>
      </c>
      <c r="I252" s="90">
        <f t="shared" si="36"/>
        <v>2.0000000000000089</v>
      </c>
      <c r="J252" s="90">
        <f t="shared" si="33"/>
        <v>1.9999999999999996</v>
      </c>
      <c r="K252" s="91">
        <f t="shared" si="40"/>
        <v>0.95833333333333348</v>
      </c>
      <c r="L252" s="91">
        <f t="shared" si="41"/>
        <v>3.9583333333333339</v>
      </c>
      <c r="M252" s="29">
        <f t="shared" si="37"/>
        <v>13</v>
      </c>
      <c r="N252" s="92">
        <f t="shared" si="34"/>
        <v>2.0000000000000089</v>
      </c>
      <c r="O252" s="104">
        <f t="shared" si="38"/>
        <v>1.016</v>
      </c>
      <c r="P252" s="105">
        <f t="shared" si="35"/>
        <v>18.491200000000081</v>
      </c>
    </row>
    <row r="253" spans="2:16" x14ac:dyDescent="0.25">
      <c r="B253" s="88" t="str">
        <f t="shared" si="32"/>
        <v>Sitio Santa Lúcia</v>
      </c>
      <c r="C253" s="106">
        <f t="shared" si="39"/>
        <v>2019</v>
      </c>
      <c r="D253" s="101">
        <v>43812</v>
      </c>
      <c r="E253" s="102">
        <v>0.25</v>
      </c>
      <c r="F253" s="103">
        <v>0.29166666666666669</v>
      </c>
      <c r="G253" s="103">
        <v>0.2638888888888889</v>
      </c>
      <c r="H253" s="103">
        <v>0.33333333333333298</v>
      </c>
      <c r="I253" s="90">
        <f t="shared" si="36"/>
        <v>1.0000000000000004</v>
      </c>
      <c r="J253" s="90">
        <f t="shared" si="33"/>
        <v>1.6666666666666581</v>
      </c>
      <c r="K253" s="91">
        <f t="shared" si="40"/>
        <v>0.95833333333333348</v>
      </c>
      <c r="L253" s="91">
        <f t="shared" si="41"/>
        <v>3.9583333333333339</v>
      </c>
      <c r="M253" s="29">
        <f t="shared" si="37"/>
        <v>13</v>
      </c>
      <c r="N253" s="92">
        <f t="shared" si="34"/>
        <v>1.0000000000000004</v>
      </c>
      <c r="O253" s="104">
        <f t="shared" si="38"/>
        <v>1.016</v>
      </c>
      <c r="P253" s="105">
        <f t="shared" si="35"/>
        <v>9.2456000000000031</v>
      </c>
    </row>
    <row r="254" spans="2:16" x14ac:dyDescent="0.25">
      <c r="B254" s="88" t="str">
        <f t="shared" si="32"/>
        <v>Sitio Santa Lúcia</v>
      </c>
      <c r="C254" s="106">
        <f t="shared" si="39"/>
        <v>2019</v>
      </c>
      <c r="D254" s="101">
        <v>43813</v>
      </c>
      <c r="E254" s="102">
        <v>0.29166666666666669</v>
      </c>
      <c r="F254" s="103">
        <v>0.33333333333333298</v>
      </c>
      <c r="G254" s="103">
        <v>0.375</v>
      </c>
      <c r="H254" s="103">
        <v>0.41666666666666669</v>
      </c>
      <c r="I254" s="90">
        <f t="shared" si="36"/>
        <v>0.99999999999999112</v>
      </c>
      <c r="J254" s="90">
        <f t="shared" si="33"/>
        <v>1.0000000000000004</v>
      </c>
      <c r="K254" s="91">
        <f t="shared" si="40"/>
        <v>0.95833333333333348</v>
      </c>
      <c r="L254" s="91">
        <f t="shared" si="41"/>
        <v>3.9583333333333339</v>
      </c>
      <c r="M254" s="29">
        <f t="shared" si="37"/>
        <v>13</v>
      </c>
      <c r="N254" s="92">
        <f t="shared" si="34"/>
        <v>0.99999999999999112</v>
      </c>
      <c r="O254" s="104">
        <f t="shared" si="38"/>
        <v>1.016</v>
      </c>
      <c r="P254" s="105">
        <f t="shared" si="35"/>
        <v>9.2455999999999179</v>
      </c>
    </row>
    <row r="255" spans="2:16" x14ac:dyDescent="0.25">
      <c r="B255" s="88" t="str">
        <f t="shared" si="32"/>
        <v>Sitio Santa Lúcia</v>
      </c>
      <c r="C255" s="106">
        <f t="shared" si="39"/>
        <v>2019</v>
      </c>
      <c r="D255" s="101">
        <v>43814</v>
      </c>
      <c r="E255" s="102">
        <v>0.33333333333333298</v>
      </c>
      <c r="F255" s="103">
        <v>0.41666666666666669</v>
      </c>
      <c r="G255" s="103">
        <v>0.375</v>
      </c>
      <c r="H255" s="103">
        <v>0.47916666666666669</v>
      </c>
      <c r="I255" s="90">
        <f t="shared" si="36"/>
        <v>2.0000000000000089</v>
      </c>
      <c r="J255" s="90">
        <f t="shared" si="33"/>
        <v>2.5000000000000004</v>
      </c>
      <c r="K255" s="91">
        <f t="shared" si="40"/>
        <v>0.95833333333333348</v>
      </c>
      <c r="L255" s="91">
        <f t="shared" si="41"/>
        <v>3.9583333333333339</v>
      </c>
      <c r="M255" s="29">
        <f t="shared" si="37"/>
        <v>13</v>
      </c>
      <c r="N255" s="92">
        <f t="shared" si="34"/>
        <v>2.0000000000000089</v>
      </c>
      <c r="O255" s="104">
        <f t="shared" si="38"/>
        <v>1.016</v>
      </c>
      <c r="P255" s="105">
        <f t="shared" si="35"/>
        <v>18.491200000000081</v>
      </c>
    </row>
    <row r="256" spans="2:16" x14ac:dyDescent="0.25">
      <c r="B256" s="88" t="str">
        <f t="shared" si="32"/>
        <v>Sitio Santa Lúcia</v>
      </c>
      <c r="C256" s="106">
        <f t="shared" si="39"/>
        <v>2019</v>
      </c>
      <c r="D256" s="101">
        <v>43815</v>
      </c>
      <c r="E256" s="102">
        <v>0.27083333333333331</v>
      </c>
      <c r="F256" s="103">
        <v>0.41666666666666669</v>
      </c>
      <c r="G256" s="103">
        <v>0.33333333333333298</v>
      </c>
      <c r="H256" s="103">
        <v>0.41666666666666669</v>
      </c>
      <c r="I256" s="90">
        <f t="shared" si="36"/>
        <v>3.5000000000000009</v>
      </c>
      <c r="J256" s="90">
        <f t="shared" si="33"/>
        <v>2.0000000000000089</v>
      </c>
      <c r="K256" s="91">
        <f t="shared" si="40"/>
        <v>0.95833333333333348</v>
      </c>
      <c r="L256" s="91">
        <f t="shared" si="41"/>
        <v>3.9583333333333339</v>
      </c>
      <c r="M256" s="29">
        <f t="shared" si="37"/>
        <v>13</v>
      </c>
      <c r="N256" s="92">
        <f t="shared" si="34"/>
        <v>3.5000000000000009</v>
      </c>
      <c r="O256" s="104">
        <f t="shared" si="38"/>
        <v>1.016</v>
      </c>
      <c r="P256" s="105">
        <f t="shared" si="35"/>
        <v>32.359600000000007</v>
      </c>
    </row>
    <row r="257" spans="2:16" x14ac:dyDescent="0.25">
      <c r="B257" s="88" t="str">
        <f t="shared" si="32"/>
        <v>Sitio Santa Lúcia</v>
      </c>
      <c r="C257" s="106">
        <f t="shared" si="39"/>
        <v>2019</v>
      </c>
      <c r="D257" s="101">
        <v>43816</v>
      </c>
      <c r="E257" s="102">
        <v>0.375</v>
      </c>
      <c r="F257" s="103">
        <v>0.4375</v>
      </c>
      <c r="G257" s="103">
        <v>0.29166666666666669</v>
      </c>
      <c r="H257" s="103">
        <v>0.33333333333333298</v>
      </c>
      <c r="I257" s="90">
        <f t="shared" si="36"/>
        <v>1.5</v>
      </c>
      <c r="J257" s="90">
        <f t="shared" si="33"/>
        <v>0.99999999999999112</v>
      </c>
      <c r="K257" s="91">
        <f t="shared" si="40"/>
        <v>0.95833333333333348</v>
      </c>
      <c r="L257" s="91">
        <f t="shared" si="41"/>
        <v>3.9583333333333339</v>
      </c>
      <c r="M257" s="29">
        <f t="shared" si="37"/>
        <v>13</v>
      </c>
      <c r="N257" s="92">
        <f t="shared" si="34"/>
        <v>1.5</v>
      </c>
      <c r="O257" s="104">
        <f t="shared" si="38"/>
        <v>1.016</v>
      </c>
      <c r="P257" s="105">
        <f t="shared" si="35"/>
        <v>13.868399999999999</v>
      </c>
    </row>
    <row r="258" spans="2:16" x14ac:dyDescent="0.25">
      <c r="B258" s="88" t="str">
        <f t="shared" si="32"/>
        <v>Sitio Santa Lúcia</v>
      </c>
      <c r="C258" s="106">
        <f t="shared" si="39"/>
        <v>2019</v>
      </c>
      <c r="D258" s="101">
        <v>43817</v>
      </c>
      <c r="E258" s="102">
        <v>0.25</v>
      </c>
      <c r="F258" s="103">
        <v>0.29166666666666669</v>
      </c>
      <c r="G258" s="103">
        <v>0.33333333333333298</v>
      </c>
      <c r="H258" s="103">
        <v>0.375</v>
      </c>
      <c r="I258" s="90">
        <f t="shared" si="36"/>
        <v>1.0000000000000004</v>
      </c>
      <c r="J258" s="90">
        <f t="shared" si="33"/>
        <v>1.0000000000000084</v>
      </c>
      <c r="K258" s="91">
        <f t="shared" si="40"/>
        <v>0.95833333333333348</v>
      </c>
      <c r="L258" s="91">
        <f t="shared" si="41"/>
        <v>3.9583333333333339</v>
      </c>
      <c r="M258" s="29">
        <f t="shared" si="37"/>
        <v>13</v>
      </c>
      <c r="N258" s="92">
        <f t="shared" si="34"/>
        <v>1.0000000000000004</v>
      </c>
      <c r="O258" s="104">
        <f t="shared" si="38"/>
        <v>1.016</v>
      </c>
      <c r="P258" s="105">
        <f t="shared" si="35"/>
        <v>9.2456000000000031</v>
      </c>
    </row>
    <row r="259" spans="2:16" x14ac:dyDescent="0.25">
      <c r="B259" s="88" t="str">
        <f t="shared" si="32"/>
        <v>Sitio Santa Lúcia</v>
      </c>
      <c r="C259" s="106">
        <f t="shared" si="39"/>
        <v>2019</v>
      </c>
      <c r="D259" s="101">
        <v>43818</v>
      </c>
      <c r="E259" s="102">
        <v>0.33333333333333298</v>
      </c>
      <c r="F259" s="103">
        <v>0.41666666666666669</v>
      </c>
      <c r="G259" s="103">
        <v>0.375</v>
      </c>
      <c r="H259" s="103">
        <v>0.45833333333333331</v>
      </c>
      <c r="I259" s="90">
        <f t="shared" si="36"/>
        <v>2.0000000000000089</v>
      </c>
      <c r="J259" s="90">
        <f t="shared" si="33"/>
        <v>1.9999999999999996</v>
      </c>
      <c r="K259" s="91">
        <f t="shared" si="40"/>
        <v>0.95833333333333348</v>
      </c>
      <c r="L259" s="91">
        <f t="shared" si="41"/>
        <v>3.9583333333333339</v>
      </c>
      <c r="M259" s="29">
        <f t="shared" si="37"/>
        <v>13</v>
      </c>
      <c r="N259" s="92">
        <f t="shared" si="34"/>
        <v>2.0000000000000089</v>
      </c>
      <c r="O259" s="104">
        <f t="shared" si="38"/>
        <v>1.016</v>
      </c>
      <c r="P259" s="105">
        <f t="shared" si="35"/>
        <v>18.491200000000081</v>
      </c>
    </row>
    <row r="260" spans="2:16" x14ac:dyDescent="0.25">
      <c r="B260" s="88" t="str">
        <f t="shared" si="32"/>
        <v>Sitio Santa Lúcia</v>
      </c>
      <c r="C260" s="106">
        <f t="shared" si="39"/>
        <v>2019</v>
      </c>
      <c r="D260" s="101">
        <v>43819</v>
      </c>
      <c r="E260" s="102">
        <v>0.41666666666666669</v>
      </c>
      <c r="F260" s="103">
        <v>0.5</v>
      </c>
      <c r="G260" s="103">
        <v>0.33333333333333298</v>
      </c>
      <c r="H260" s="103">
        <v>0.41666666666666669</v>
      </c>
      <c r="I260" s="90">
        <f t="shared" si="36"/>
        <v>1.9999999999999996</v>
      </c>
      <c r="J260" s="90">
        <f t="shared" si="33"/>
        <v>2.0000000000000089</v>
      </c>
      <c r="K260" s="91">
        <f t="shared" si="40"/>
        <v>0.95833333333333348</v>
      </c>
      <c r="L260" s="91">
        <f t="shared" si="41"/>
        <v>3.9583333333333339</v>
      </c>
      <c r="M260" s="29">
        <f t="shared" si="37"/>
        <v>13</v>
      </c>
      <c r="N260" s="92">
        <f t="shared" si="34"/>
        <v>1.9999999999999996</v>
      </c>
      <c r="O260" s="104">
        <f t="shared" si="38"/>
        <v>1.016</v>
      </c>
      <c r="P260" s="105">
        <f t="shared" si="35"/>
        <v>18.491199999999996</v>
      </c>
    </row>
    <row r="261" spans="2:16" x14ac:dyDescent="0.25">
      <c r="B261" s="88" t="str">
        <f t="shared" si="32"/>
        <v>Sitio Santa Lúcia</v>
      </c>
      <c r="C261" s="106">
        <f t="shared" si="39"/>
        <v>2019</v>
      </c>
      <c r="D261" s="101">
        <v>43820</v>
      </c>
      <c r="E261" s="102">
        <v>0.375</v>
      </c>
      <c r="F261" s="103">
        <v>0.41666666666666669</v>
      </c>
      <c r="G261" s="103">
        <v>0.29166666666666669</v>
      </c>
      <c r="H261" s="103">
        <v>0.33333333333333298</v>
      </c>
      <c r="I261" s="90">
        <f t="shared" si="36"/>
        <v>1.0000000000000004</v>
      </c>
      <c r="J261" s="90">
        <f t="shared" si="33"/>
        <v>0.99999999999999112</v>
      </c>
      <c r="K261" s="91">
        <f t="shared" si="40"/>
        <v>0.95833333333333348</v>
      </c>
      <c r="L261" s="91">
        <f t="shared" si="41"/>
        <v>3.9583333333333339</v>
      </c>
      <c r="M261" s="29">
        <f t="shared" si="37"/>
        <v>13</v>
      </c>
      <c r="N261" s="92">
        <f t="shared" si="34"/>
        <v>1.0000000000000004</v>
      </c>
      <c r="O261" s="104">
        <f t="shared" si="38"/>
        <v>1.016</v>
      </c>
      <c r="P261" s="105">
        <f t="shared" si="35"/>
        <v>9.2456000000000031</v>
      </c>
    </row>
    <row r="262" spans="2:16" x14ac:dyDescent="0.25">
      <c r="B262" s="88" t="str">
        <f t="shared" si="32"/>
        <v>Sitio Santa Lúcia</v>
      </c>
      <c r="C262" s="106">
        <f t="shared" si="39"/>
        <v>2019</v>
      </c>
      <c r="D262" s="101">
        <v>43821</v>
      </c>
      <c r="E262" s="102">
        <v>0.41666666666666669</v>
      </c>
      <c r="F262" s="103">
        <v>0.5</v>
      </c>
      <c r="G262" s="103">
        <v>0.41666666666666669</v>
      </c>
      <c r="H262" s="103">
        <v>0.5</v>
      </c>
      <c r="I262" s="90">
        <f t="shared" si="36"/>
        <v>1.9999999999999996</v>
      </c>
      <c r="J262" s="90">
        <f t="shared" si="33"/>
        <v>1.9999999999999996</v>
      </c>
      <c r="K262" s="91">
        <f t="shared" si="40"/>
        <v>0.95833333333333348</v>
      </c>
      <c r="L262" s="91">
        <f t="shared" si="41"/>
        <v>3.9583333333333339</v>
      </c>
      <c r="M262" s="29">
        <f t="shared" si="37"/>
        <v>13</v>
      </c>
      <c r="N262" s="92">
        <f t="shared" si="34"/>
        <v>1.9999999999999996</v>
      </c>
      <c r="O262" s="104">
        <f t="shared" si="38"/>
        <v>1.016</v>
      </c>
      <c r="P262" s="105">
        <f t="shared" si="35"/>
        <v>18.491199999999996</v>
      </c>
    </row>
    <row r="263" spans="2:16" x14ac:dyDescent="0.25">
      <c r="B263" s="88" t="str">
        <f t="shared" si="32"/>
        <v>Sitio Santa Lúcia</v>
      </c>
      <c r="C263" s="106">
        <f t="shared" si="39"/>
        <v>2019</v>
      </c>
      <c r="D263" s="101">
        <v>43822</v>
      </c>
      <c r="E263" s="102">
        <v>0.29166666666666669</v>
      </c>
      <c r="F263" s="103">
        <v>0.3611111111111111</v>
      </c>
      <c r="G263" s="103">
        <v>0.375</v>
      </c>
      <c r="H263" s="103">
        <v>0.4375</v>
      </c>
      <c r="I263" s="90">
        <f t="shared" si="36"/>
        <v>1.6666666666666661</v>
      </c>
      <c r="J263" s="90">
        <f t="shared" si="33"/>
        <v>1.5</v>
      </c>
      <c r="K263" s="91">
        <f t="shared" si="40"/>
        <v>0.95833333333333348</v>
      </c>
      <c r="L263" s="91">
        <f t="shared" si="41"/>
        <v>3.9583333333333339</v>
      </c>
      <c r="M263" s="29">
        <f t="shared" si="37"/>
        <v>13</v>
      </c>
      <c r="N263" s="92">
        <f t="shared" si="34"/>
        <v>1.6666666666666661</v>
      </c>
      <c r="O263" s="104">
        <f t="shared" si="38"/>
        <v>1.016</v>
      </c>
      <c r="P263" s="105">
        <f t="shared" si="35"/>
        <v>15.409333333333326</v>
      </c>
    </row>
    <row r="264" spans="2:16" x14ac:dyDescent="0.25">
      <c r="B264" s="88" t="str">
        <f t="shared" si="32"/>
        <v>Sitio Santa Lúcia</v>
      </c>
      <c r="C264" s="106">
        <f t="shared" si="39"/>
        <v>2019</v>
      </c>
      <c r="D264" s="101">
        <v>43823</v>
      </c>
      <c r="E264" s="102">
        <v>0.33333333333333298</v>
      </c>
      <c r="F264" s="103">
        <v>0.41666666666666669</v>
      </c>
      <c r="G264" s="103">
        <v>0.29166666666666669</v>
      </c>
      <c r="H264" s="103">
        <v>0.33333333333333298</v>
      </c>
      <c r="I264" s="90">
        <f t="shared" si="36"/>
        <v>2.0000000000000089</v>
      </c>
      <c r="J264" s="90">
        <f t="shared" si="33"/>
        <v>0.99999999999999112</v>
      </c>
      <c r="K264" s="91">
        <f t="shared" si="40"/>
        <v>0.95833333333333348</v>
      </c>
      <c r="L264" s="91">
        <f t="shared" si="41"/>
        <v>3.9583333333333339</v>
      </c>
      <c r="M264" s="29">
        <f t="shared" si="37"/>
        <v>13</v>
      </c>
      <c r="N264" s="92">
        <f t="shared" si="34"/>
        <v>2.0000000000000089</v>
      </c>
      <c r="O264" s="104">
        <f t="shared" si="38"/>
        <v>1.016</v>
      </c>
      <c r="P264" s="105">
        <f t="shared" si="35"/>
        <v>18.491200000000081</v>
      </c>
    </row>
    <row r="265" spans="2:16" x14ac:dyDescent="0.25">
      <c r="B265" s="88" t="str">
        <f t="shared" si="32"/>
        <v>Sitio Santa Lúcia</v>
      </c>
      <c r="C265" s="106">
        <f t="shared" si="39"/>
        <v>2019</v>
      </c>
      <c r="D265" s="101">
        <v>43824</v>
      </c>
      <c r="E265" s="102">
        <v>0.27083333333333331</v>
      </c>
      <c r="F265" s="103">
        <v>0.41666666666666669</v>
      </c>
      <c r="G265" s="103">
        <v>0.41666666666666669</v>
      </c>
      <c r="H265" s="103">
        <v>0.5</v>
      </c>
      <c r="I265" s="90">
        <f t="shared" si="36"/>
        <v>3.5000000000000009</v>
      </c>
      <c r="J265" s="90">
        <f t="shared" si="33"/>
        <v>1.9999999999999996</v>
      </c>
      <c r="K265" s="91">
        <f t="shared" si="40"/>
        <v>0.95833333333333348</v>
      </c>
      <c r="L265" s="91">
        <f t="shared" si="41"/>
        <v>3.9583333333333339</v>
      </c>
      <c r="M265" s="29">
        <f t="shared" si="37"/>
        <v>13</v>
      </c>
      <c r="N265" s="92">
        <f t="shared" si="34"/>
        <v>3.5000000000000009</v>
      </c>
      <c r="O265" s="104">
        <f t="shared" si="38"/>
        <v>1.016</v>
      </c>
      <c r="P265" s="105">
        <f t="shared" si="35"/>
        <v>32.359600000000007</v>
      </c>
    </row>
    <row r="266" spans="2:16" x14ac:dyDescent="0.25">
      <c r="B266" s="88" t="str">
        <f t="shared" si="32"/>
        <v>Sitio Santa Lúcia</v>
      </c>
      <c r="C266" s="106">
        <f t="shared" si="39"/>
        <v>2019</v>
      </c>
      <c r="D266" s="101">
        <v>43825</v>
      </c>
      <c r="E266" s="102">
        <v>0.39583333333333331</v>
      </c>
      <c r="F266" s="103">
        <v>0.44444444444444442</v>
      </c>
      <c r="G266" s="103">
        <v>0.33333333333333331</v>
      </c>
      <c r="H266" s="103">
        <v>0.41666666666666669</v>
      </c>
      <c r="I266" s="90">
        <f t="shared" si="36"/>
        <v>1.1666666666666665</v>
      </c>
      <c r="J266" s="90">
        <f t="shared" si="33"/>
        <v>2.0000000000000009</v>
      </c>
      <c r="K266" s="91">
        <f t="shared" si="40"/>
        <v>0.95833333333333348</v>
      </c>
      <c r="L266" s="91">
        <f t="shared" si="41"/>
        <v>3.9583333333333339</v>
      </c>
      <c r="M266" s="29">
        <f t="shared" si="37"/>
        <v>13</v>
      </c>
      <c r="N266" s="92">
        <f t="shared" si="34"/>
        <v>1.1666666666666665</v>
      </c>
      <c r="O266" s="104">
        <f t="shared" si="38"/>
        <v>1.016</v>
      </c>
      <c r="P266" s="105">
        <f t="shared" si="35"/>
        <v>10.786533333333331</v>
      </c>
    </row>
    <row r="267" spans="2:16" x14ac:dyDescent="0.25">
      <c r="B267" s="88" t="str">
        <f t="shared" si="32"/>
        <v>Sitio Santa Lúcia</v>
      </c>
      <c r="C267" s="106">
        <f t="shared" si="39"/>
        <v>2019</v>
      </c>
      <c r="D267" s="101">
        <v>43826</v>
      </c>
      <c r="E267" s="102">
        <v>0.29166666666666669</v>
      </c>
      <c r="F267" s="103">
        <v>0.35416666666666669</v>
      </c>
      <c r="G267" s="103">
        <v>0.375</v>
      </c>
      <c r="H267" s="103">
        <v>0.41666666666666669</v>
      </c>
      <c r="I267" s="90">
        <f t="shared" si="36"/>
        <v>1.5</v>
      </c>
      <c r="J267" s="90">
        <f t="shared" si="33"/>
        <v>1.0000000000000004</v>
      </c>
      <c r="K267" s="91">
        <f t="shared" si="40"/>
        <v>0.95833333333333348</v>
      </c>
      <c r="L267" s="91">
        <f t="shared" si="41"/>
        <v>3.9583333333333339</v>
      </c>
      <c r="M267" s="29">
        <f t="shared" si="37"/>
        <v>13</v>
      </c>
      <c r="N267" s="92">
        <f t="shared" si="34"/>
        <v>1.5</v>
      </c>
      <c r="O267" s="104">
        <f t="shared" si="38"/>
        <v>1.016</v>
      </c>
      <c r="P267" s="105">
        <f t="shared" si="35"/>
        <v>13.868399999999999</v>
      </c>
    </row>
    <row r="268" spans="2:16" x14ac:dyDescent="0.25">
      <c r="B268" s="88" t="str">
        <f t="shared" si="32"/>
        <v>Sitio Santa Lúcia</v>
      </c>
      <c r="C268" s="106">
        <f t="shared" si="39"/>
        <v>2019</v>
      </c>
      <c r="D268" s="101">
        <v>43827</v>
      </c>
      <c r="E268" s="102">
        <v>0.41666666666666669</v>
      </c>
      <c r="F268" s="103">
        <v>0.5</v>
      </c>
      <c r="G268" s="103">
        <v>0.33333333333333331</v>
      </c>
      <c r="H268" s="103">
        <v>0.4375</v>
      </c>
      <c r="I268" s="90">
        <f t="shared" si="36"/>
        <v>1.9999999999999996</v>
      </c>
      <c r="J268" s="90">
        <f t="shared" si="33"/>
        <v>2.5000000000000004</v>
      </c>
      <c r="K268" s="91">
        <f t="shared" si="40"/>
        <v>0.95833333333333348</v>
      </c>
      <c r="L268" s="91">
        <f t="shared" si="41"/>
        <v>3.9583333333333339</v>
      </c>
      <c r="M268" s="29">
        <f t="shared" si="37"/>
        <v>13</v>
      </c>
      <c r="N268" s="92">
        <f t="shared" si="34"/>
        <v>1.9999999999999996</v>
      </c>
      <c r="O268" s="104">
        <f t="shared" si="38"/>
        <v>1.016</v>
      </c>
      <c r="P268" s="105">
        <f t="shared" si="35"/>
        <v>18.491199999999996</v>
      </c>
    </row>
    <row r="269" spans="2:16" x14ac:dyDescent="0.25">
      <c r="B269" s="88" t="str">
        <f t="shared" si="32"/>
        <v>Sitio Santa Lúcia</v>
      </c>
      <c r="C269" s="106">
        <f t="shared" si="39"/>
        <v>2019</v>
      </c>
      <c r="D269" s="101">
        <v>43828</v>
      </c>
      <c r="E269" s="102">
        <v>0.25</v>
      </c>
      <c r="F269" s="103">
        <v>0.29166666666666669</v>
      </c>
      <c r="G269" s="103">
        <v>0.35416666666666669</v>
      </c>
      <c r="H269" s="103">
        <v>0.40972222222222227</v>
      </c>
      <c r="I269" s="90">
        <f t="shared" si="36"/>
        <v>1.0000000000000004</v>
      </c>
      <c r="J269" s="90">
        <f t="shared" si="33"/>
        <v>1.3333333333333339</v>
      </c>
      <c r="K269" s="91">
        <f t="shared" si="40"/>
        <v>0.95833333333333348</v>
      </c>
      <c r="L269" s="91">
        <f t="shared" si="41"/>
        <v>3.9583333333333339</v>
      </c>
      <c r="M269" s="29">
        <f t="shared" si="37"/>
        <v>13</v>
      </c>
      <c r="N269" s="92">
        <f t="shared" si="34"/>
        <v>1.0000000000000004</v>
      </c>
      <c r="O269" s="104">
        <f t="shared" si="38"/>
        <v>1.016</v>
      </c>
      <c r="P269" s="105">
        <f t="shared" si="35"/>
        <v>9.2456000000000031</v>
      </c>
    </row>
    <row r="270" spans="2:16" x14ac:dyDescent="0.25">
      <c r="B270" s="88" t="str">
        <f t="shared" si="32"/>
        <v>Sitio Santa Lúcia</v>
      </c>
      <c r="C270" s="106">
        <f t="shared" si="39"/>
        <v>2019</v>
      </c>
      <c r="D270" s="101">
        <v>43829</v>
      </c>
      <c r="E270" s="102">
        <v>0.33333333333333298</v>
      </c>
      <c r="F270" s="103">
        <v>0.41666666666666669</v>
      </c>
      <c r="G270" s="103">
        <v>0.45833333333333331</v>
      </c>
      <c r="H270" s="103">
        <v>0.5</v>
      </c>
      <c r="I270" s="90">
        <f t="shared" si="36"/>
        <v>2.0000000000000089</v>
      </c>
      <c r="J270" s="90">
        <f t="shared" si="33"/>
        <v>1.0000000000000004</v>
      </c>
      <c r="K270" s="91">
        <f t="shared" si="40"/>
        <v>0.95833333333333348</v>
      </c>
      <c r="L270" s="91">
        <f t="shared" si="41"/>
        <v>3.9583333333333339</v>
      </c>
      <c r="M270" s="29">
        <f t="shared" si="37"/>
        <v>13</v>
      </c>
      <c r="N270" s="92">
        <f t="shared" si="34"/>
        <v>2.0000000000000089</v>
      </c>
      <c r="O270" s="104">
        <f t="shared" si="38"/>
        <v>1.016</v>
      </c>
      <c r="P270" s="105">
        <f t="shared" si="35"/>
        <v>18.491200000000081</v>
      </c>
    </row>
    <row r="271" spans="2:16" x14ac:dyDescent="0.25">
      <c r="B271" s="88" t="str">
        <f t="shared" si="32"/>
        <v>Sitio Santa Lúcia</v>
      </c>
      <c r="C271" s="106">
        <f t="shared" si="39"/>
        <v>2019</v>
      </c>
      <c r="D271" s="101">
        <v>43830</v>
      </c>
      <c r="E271" s="102">
        <v>0.29166666666666669</v>
      </c>
      <c r="F271" s="103">
        <v>0.35416666666666669</v>
      </c>
      <c r="G271" s="103">
        <v>0.375</v>
      </c>
      <c r="H271" s="103">
        <v>0.41666666666666669</v>
      </c>
      <c r="I271" s="90">
        <f t="shared" si="36"/>
        <v>1.5</v>
      </c>
      <c r="J271" s="90">
        <f t="shared" si="33"/>
        <v>1.0000000000000004</v>
      </c>
      <c r="K271" s="91">
        <f t="shared" si="40"/>
        <v>0.95833333333333348</v>
      </c>
      <c r="L271" s="91">
        <f t="shared" si="41"/>
        <v>3.9583333333333339</v>
      </c>
      <c r="M271" s="29">
        <f t="shared" si="37"/>
        <v>13</v>
      </c>
      <c r="N271" s="92">
        <f t="shared" si="34"/>
        <v>1.5</v>
      </c>
      <c r="O271" s="104">
        <f t="shared" si="38"/>
        <v>1.016</v>
      </c>
      <c r="P271" s="105">
        <f t="shared" si="35"/>
        <v>13.868399999999999</v>
      </c>
    </row>
    <row r="272" spans="2:16" x14ac:dyDescent="0.25">
      <c r="B272" s="88" t="str">
        <f t="shared" si="32"/>
        <v>Sitio Santa Lúcia</v>
      </c>
      <c r="C272" s="106">
        <f t="shared" si="39"/>
        <v>2020</v>
      </c>
      <c r="D272" s="101">
        <v>43831</v>
      </c>
      <c r="E272" s="102">
        <v>0.29166666666666669</v>
      </c>
      <c r="F272" s="103">
        <v>0.33333333333333298</v>
      </c>
      <c r="G272" s="103">
        <v>0.375</v>
      </c>
      <c r="H272" s="103">
        <v>0.45833333333333331</v>
      </c>
      <c r="I272" s="90">
        <f t="shared" si="36"/>
        <v>0.99999999999999112</v>
      </c>
      <c r="J272" s="90">
        <f t="shared" si="33"/>
        <v>1.9999999999999996</v>
      </c>
      <c r="K272" s="91">
        <f t="shared" si="40"/>
        <v>0.95833333333333348</v>
      </c>
      <c r="L272" s="91">
        <f t="shared" si="41"/>
        <v>3.9583333333333339</v>
      </c>
      <c r="M272" s="29">
        <f t="shared" si="37"/>
        <v>13</v>
      </c>
      <c r="N272" s="92">
        <f t="shared" si="34"/>
        <v>0.99999999999999112</v>
      </c>
      <c r="O272" s="104">
        <f t="shared" si="38"/>
        <v>1.016</v>
      </c>
      <c r="P272" s="105">
        <f t="shared" si="35"/>
        <v>9.2455999999999179</v>
      </c>
    </row>
    <row r="273" spans="2:16" x14ac:dyDescent="0.25">
      <c r="B273" s="88" t="str">
        <f t="shared" si="32"/>
        <v>Sitio Santa Lúcia</v>
      </c>
      <c r="C273" s="106">
        <f t="shared" si="39"/>
        <v>2020</v>
      </c>
      <c r="D273" s="101">
        <v>43832</v>
      </c>
      <c r="E273" s="102">
        <v>0.45833333333333331</v>
      </c>
      <c r="F273" s="103">
        <v>0.5</v>
      </c>
      <c r="G273" s="103">
        <v>0.33333333333333331</v>
      </c>
      <c r="H273" s="103">
        <v>0.375</v>
      </c>
      <c r="I273" s="90">
        <f t="shared" si="36"/>
        <v>1.0000000000000004</v>
      </c>
      <c r="J273" s="90">
        <f t="shared" si="33"/>
        <v>1.0000000000000004</v>
      </c>
      <c r="K273" s="91">
        <f t="shared" si="40"/>
        <v>0.95833333333333348</v>
      </c>
      <c r="L273" s="91">
        <f t="shared" si="41"/>
        <v>3.9583333333333339</v>
      </c>
      <c r="M273" s="29">
        <f t="shared" si="37"/>
        <v>13</v>
      </c>
      <c r="N273" s="92">
        <f t="shared" si="34"/>
        <v>1.0000000000000004</v>
      </c>
      <c r="O273" s="104">
        <f t="shared" si="38"/>
        <v>1.016</v>
      </c>
      <c r="P273" s="105">
        <f t="shared" si="35"/>
        <v>9.2456000000000031</v>
      </c>
    </row>
    <row r="274" spans="2:16" x14ac:dyDescent="0.25">
      <c r="B274" s="88" t="str">
        <f t="shared" si="32"/>
        <v>Sitio Santa Lúcia</v>
      </c>
      <c r="C274" s="106">
        <f t="shared" si="39"/>
        <v>2020</v>
      </c>
      <c r="D274" s="101">
        <v>43833</v>
      </c>
      <c r="E274" s="102">
        <v>0.41666666666666669</v>
      </c>
      <c r="F274" s="103">
        <v>0.45833333333333298</v>
      </c>
      <c r="G274" s="103">
        <v>0.375</v>
      </c>
      <c r="H274" s="103">
        <v>0.4375</v>
      </c>
      <c r="I274" s="90">
        <f t="shared" si="36"/>
        <v>0.99999999999999112</v>
      </c>
      <c r="J274" s="90">
        <f t="shared" si="33"/>
        <v>1.5</v>
      </c>
      <c r="K274" s="91">
        <f t="shared" si="40"/>
        <v>0.95833333333333348</v>
      </c>
      <c r="L274" s="91">
        <f t="shared" si="41"/>
        <v>3.9583333333333339</v>
      </c>
      <c r="M274" s="29">
        <f t="shared" si="37"/>
        <v>13</v>
      </c>
      <c r="N274" s="92">
        <f t="shared" si="34"/>
        <v>0.99999999999999112</v>
      </c>
      <c r="O274" s="104">
        <f t="shared" si="38"/>
        <v>1.016</v>
      </c>
      <c r="P274" s="105">
        <f t="shared" si="35"/>
        <v>9.2455999999999179</v>
      </c>
    </row>
    <row r="275" spans="2:16" x14ac:dyDescent="0.25">
      <c r="B275" s="88" t="str">
        <f t="shared" si="32"/>
        <v>Sitio Santa Lúcia</v>
      </c>
      <c r="C275" s="106">
        <f t="shared" si="39"/>
        <v>2020</v>
      </c>
      <c r="D275" s="101">
        <v>43834</v>
      </c>
      <c r="E275" s="102">
        <v>0.33333333333333331</v>
      </c>
      <c r="F275" s="103">
        <v>0.40625</v>
      </c>
      <c r="G275" s="103">
        <v>0.29166666666666669</v>
      </c>
      <c r="H275" s="103">
        <v>0.33333333333333331</v>
      </c>
      <c r="I275" s="90">
        <f t="shared" si="36"/>
        <v>1.7500000000000004</v>
      </c>
      <c r="J275" s="90">
        <f t="shared" si="33"/>
        <v>0.99999999999999911</v>
      </c>
      <c r="K275" s="91">
        <f t="shared" si="40"/>
        <v>0.95833333333333348</v>
      </c>
      <c r="L275" s="91">
        <f t="shared" si="41"/>
        <v>3.9583333333333339</v>
      </c>
      <c r="M275" s="29">
        <f t="shared" si="37"/>
        <v>13</v>
      </c>
      <c r="N275" s="92">
        <f t="shared" si="34"/>
        <v>1.7500000000000004</v>
      </c>
      <c r="O275" s="104">
        <f t="shared" si="38"/>
        <v>1.016</v>
      </c>
      <c r="P275" s="105">
        <f t="shared" si="35"/>
        <v>16.179800000000004</v>
      </c>
    </row>
    <row r="276" spans="2:16" x14ac:dyDescent="0.25">
      <c r="B276" s="88" t="str">
        <f t="shared" si="32"/>
        <v>Sitio Santa Lúcia</v>
      </c>
      <c r="C276" s="106">
        <f t="shared" si="39"/>
        <v>2020</v>
      </c>
      <c r="D276" s="101">
        <v>43835</v>
      </c>
      <c r="E276" s="102">
        <v>0.4375</v>
      </c>
      <c r="F276" s="103">
        <v>0.47916666666666702</v>
      </c>
      <c r="G276" s="103">
        <v>0.29166666666666669</v>
      </c>
      <c r="H276" s="103">
        <v>0.39583333333333331</v>
      </c>
      <c r="I276" s="90">
        <f t="shared" si="36"/>
        <v>1.0000000000000084</v>
      </c>
      <c r="J276" s="90">
        <f t="shared" si="33"/>
        <v>2.4999999999999991</v>
      </c>
      <c r="K276" s="91">
        <f t="shared" si="40"/>
        <v>0.95833333333333348</v>
      </c>
      <c r="L276" s="91">
        <f t="shared" si="41"/>
        <v>3.9583333333333339</v>
      </c>
      <c r="M276" s="29">
        <f t="shared" si="37"/>
        <v>13</v>
      </c>
      <c r="N276" s="92">
        <f t="shared" si="34"/>
        <v>1.0000000000000084</v>
      </c>
      <c r="O276" s="104">
        <f t="shared" si="38"/>
        <v>1.016</v>
      </c>
      <c r="P276" s="105">
        <f t="shared" si="35"/>
        <v>9.2456000000000778</v>
      </c>
    </row>
    <row r="277" spans="2:16" x14ac:dyDescent="0.25">
      <c r="B277" s="88" t="str">
        <f t="shared" si="32"/>
        <v>Sitio Santa Lúcia</v>
      </c>
      <c r="C277" s="106">
        <f t="shared" si="39"/>
        <v>2020</v>
      </c>
      <c r="D277" s="101">
        <v>43836</v>
      </c>
      <c r="E277" s="102">
        <v>0.45833333333333331</v>
      </c>
      <c r="F277" s="103">
        <v>0.5</v>
      </c>
      <c r="G277" s="103">
        <v>0.33333333333333331</v>
      </c>
      <c r="H277" s="103">
        <v>0.41666666666666669</v>
      </c>
      <c r="I277" s="90">
        <f t="shared" si="36"/>
        <v>1.0000000000000004</v>
      </c>
      <c r="J277" s="90">
        <f t="shared" si="33"/>
        <v>2.0000000000000009</v>
      </c>
      <c r="K277" s="91">
        <f t="shared" si="40"/>
        <v>0.95833333333333348</v>
      </c>
      <c r="L277" s="91">
        <f t="shared" si="41"/>
        <v>3.9583333333333339</v>
      </c>
      <c r="M277" s="29">
        <f t="shared" si="37"/>
        <v>13</v>
      </c>
      <c r="N277" s="92">
        <f t="shared" si="34"/>
        <v>1.0000000000000004</v>
      </c>
      <c r="O277" s="104">
        <f t="shared" si="38"/>
        <v>1.016</v>
      </c>
      <c r="P277" s="105">
        <f t="shared" si="35"/>
        <v>9.2456000000000031</v>
      </c>
    </row>
    <row r="278" spans="2:16" x14ac:dyDescent="0.25">
      <c r="B278" s="88" t="str">
        <f t="shared" si="32"/>
        <v>Sitio Santa Lúcia</v>
      </c>
      <c r="C278" s="106">
        <f t="shared" si="39"/>
        <v>2020</v>
      </c>
      <c r="D278" s="101">
        <v>43837</v>
      </c>
      <c r="E278" s="102">
        <v>0.41666666666666669</v>
      </c>
      <c r="F278" s="103">
        <v>0.45833333333333298</v>
      </c>
      <c r="G278" s="103">
        <v>0.45833333333333331</v>
      </c>
      <c r="H278" s="103">
        <v>0.5</v>
      </c>
      <c r="I278" s="90">
        <f t="shared" si="36"/>
        <v>0.99999999999999112</v>
      </c>
      <c r="J278" s="90">
        <f t="shared" si="33"/>
        <v>1.0000000000000004</v>
      </c>
      <c r="K278" s="91">
        <f t="shared" si="40"/>
        <v>0.95833333333333348</v>
      </c>
      <c r="L278" s="91">
        <f t="shared" si="41"/>
        <v>3.9583333333333339</v>
      </c>
      <c r="M278" s="29">
        <f t="shared" si="37"/>
        <v>13</v>
      </c>
      <c r="N278" s="92">
        <f t="shared" si="34"/>
        <v>0.99999999999999112</v>
      </c>
      <c r="O278" s="104">
        <f t="shared" si="38"/>
        <v>1.016</v>
      </c>
      <c r="P278" s="105">
        <f t="shared" si="35"/>
        <v>9.2455999999999179</v>
      </c>
    </row>
    <row r="279" spans="2:16" x14ac:dyDescent="0.25">
      <c r="B279" s="88" t="str">
        <f t="shared" si="32"/>
        <v>Sitio Santa Lúcia</v>
      </c>
      <c r="C279" s="106">
        <f t="shared" si="39"/>
        <v>2020</v>
      </c>
      <c r="D279" s="101">
        <v>43838</v>
      </c>
      <c r="E279" s="102">
        <v>0.33333333333333331</v>
      </c>
      <c r="F279" s="103">
        <v>0.39583333333333331</v>
      </c>
      <c r="G279" s="103">
        <v>0.375</v>
      </c>
      <c r="H279" s="103">
        <v>0.44791666666666669</v>
      </c>
      <c r="I279" s="90">
        <f t="shared" si="36"/>
        <v>1.5</v>
      </c>
      <c r="J279" s="90">
        <f t="shared" si="33"/>
        <v>1.7500000000000004</v>
      </c>
      <c r="K279" s="91">
        <f t="shared" si="40"/>
        <v>0.95833333333333348</v>
      </c>
      <c r="L279" s="91">
        <f t="shared" si="41"/>
        <v>3.9583333333333339</v>
      </c>
      <c r="M279" s="29">
        <f t="shared" si="37"/>
        <v>13</v>
      </c>
      <c r="N279" s="92">
        <f t="shared" si="34"/>
        <v>1.5</v>
      </c>
      <c r="O279" s="104">
        <f t="shared" si="38"/>
        <v>1.016</v>
      </c>
      <c r="P279" s="105">
        <f t="shared" si="35"/>
        <v>13.868399999999999</v>
      </c>
    </row>
    <row r="280" spans="2:16" x14ac:dyDescent="0.25">
      <c r="B280" s="88" t="str">
        <f t="shared" si="32"/>
        <v>Sitio Santa Lúcia</v>
      </c>
      <c r="C280" s="106">
        <f t="shared" si="39"/>
        <v>2020</v>
      </c>
      <c r="D280" s="101">
        <v>43839</v>
      </c>
      <c r="E280" s="102">
        <v>0.40277777777777773</v>
      </c>
      <c r="F280" s="103">
        <v>0.4375</v>
      </c>
      <c r="G280" s="103">
        <v>0.45833333333333331</v>
      </c>
      <c r="H280" s="103">
        <v>0.5</v>
      </c>
      <c r="I280" s="90">
        <f t="shared" si="36"/>
        <v>0.83333333333333437</v>
      </c>
      <c r="J280" s="90">
        <f t="shared" si="33"/>
        <v>1.0000000000000004</v>
      </c>
      <c r="K280" s="91">
        <f t="shared" si="40"/>
        <v>0.95833333333333348</v>
      </c>
      <c r="L280" s="91">
        <f t="shared" si="41"/>
        <v>3.9583333333333339</v>
      </c>
      <c r="M280" s="29">
        <f t="shared" si="37"/>
        <v>13</v>
      </c>
      <c r="N280" s="92">
        <f t="shared" si="34"/>
        <v>0.83333333333333437</v>
      </c>
      <c r="O280" s="104">
        <f t="shared" si="38"/>
        <v>1.016</v>
      </c>
      <c r="P280" s="105">
        <f t="shared" si="35"/>
        <v>7.7046666666666752</v>
      </c>
    </row>
    <row r="281" spans="2:16" x14ac:dyDescent="0.25">
      <c r="B281" s="88" t="str">
        <f t="shared" si="32"/>
        <v>Sitio Santa Lúcia</v>
      </c>
      <c r="C281" s="106">
        <f t="shared" si="39"/>
        <v>2020</v>
      </c>
      <c r="D281" s="101">
        <v>43840</v>
      </c>
      <c r="E281" s="102">
        <v>0.41666666666666669</v>
      </c>
      <c r="F281" s="103">
        <v>0.45833333333333298</v>
      </c>
      <c r="G281" s="103">
        <v>0.33333333333333331</v>
      </c>
      <c r="H281" s="103">
        <v>0.39583333333333331</v>
      </c>
      <c r="I281" s="90">
        <f t="shared" si="36"/>
        <v>0.99999999999999112</v>
      </c>
      <c r="J281" s="90">
        <f t="shared" si="33"/>
        <v>1.5</v>
      </c>
      <c r="K281" s="91">
        <f t="shared" si="40"/>
        <v>0.95833333333333348</v>
      </c>
      <c r="L281" s="91">
        <f t="shared" si="41"/>
        <v>3.9583333333333339</v>
      </c>
      <c r="M281" s="29">
        <f t="shared" si="37"/>
        <v>13</v>
      </c>
      <c r="N281" s="92">
        <f t="shared" si="34"/>
        <v>0.99999999999999112</v>
      </c>
      <c r="O281" s="104">
        <f t="shared" si="38"/>
        <v>1.016</v>
      </c>
      <c r="P281" s="105">
        <f t="shared" si="35"/>
        <v>9.2455999999999179</v>
      </c>
    </row>
    <row r="282" spans="2:16" x14ac:dyDescent="0.25">
      <c r="B282" s="88" t="str">
        <f t="shared" si="32"/>
        <v>Sitio Santa Lúcia</v>
      </c>
      <c r="C282" s="106">
        <f t="shared" si="39"/>
        <v>2020</v>
      </c>
      <c r="D282" s="101">
        <v>43841</v>
      </c>
      <c r="E282" s="102">
        <v>0.29166666666666669</v>
      </c>
      <c r="F282" s="103">
        <v>0.41666666666666669</v>
      </c>
      <c r="G282" s="103">
        <v>0.41666666666666669</v>
      </c>
      <c r="H282" s="103">
        <v>0.47916666666666669</v>
      </c>
      <c r="I282" s="90">
        <f t="shared" si="36"/>
        <v>3</v>
      </c>
      <c r="J282" s="90">
        <f t="shared" si="33"/>
        <v>1.5</v>
      </c>
      <c r="K282" s="91">
        <f t="shared" si="40"/>
        <v>0.95833333333333348</v>
      </c>
      <c r="L282" s="91">
        <f t="shared" si="41"/>
        <v>3.9583333333333339</v>
      </c>
      <c r="M282" s="29">
        <f t="shared" si="37"/>
        <v>13</v>
      </c>
      <c r="N282" s="92">
        <f t="shared" si="34"/>
        <v>3</v>
      </c>
      <c r="O282" s="104">
        <f t="shared" si="38"/>
        <v>1.016</v>
      </c>
      <c r="P282" s="105">
        <f t="shared" si="35"/>
        <v>27.736799999999999</v>
      </c>
    </row>
    <row r="283" spans="2:16" x14ac:dyDescent="0.25">
      <c r="B283" s="88" t="str">
        <f t="shared" si="32"/>
        <v>Sitio Santa Lúcia</v>
      </c>
      <c r="C283" s="106">
        <f t="shared" si="39"/>
        <v>2020</v>
      </c>
      <c r="D283" s="101">
        <v>43842</v>
      </c>
      <c r="E283" s="102">
        <v>0.3125</v>
      </c>
      <c r="F283" s="103">
        <v>0.33333333333333331</v>
      </c>
      <c r="G283" s="103">
        <v>0.39583333333333331</v>
      </c>
      <c r="H283" s="103">
        <v>0.44444444444444442</v>
      </c>
      <c r="I283" s="90">
        <f t="shared" si="36"/>
        <v>0.49999999999999956</v>
      </c>
      <c r="J283" s="90">
        <f t="shared" si="33"/>
        <v>1.1666666666666665</v>
      </c>
      <c r="K283" s="91">
        <f t="shared" si="40"/>
        <v>0.95833333333333348</v>
      </c>
      <c r="L283" s="91">
        <f t="shared" si="41"/>
        <v>3.9583333333333339</v>
      </c>
      <c r="M283" s="29">
        <f t="shared" si="37"/>
        <v>13</v>
      </c>
      <c r="N283" s="92">
        <f t="shared" si="34"/>
        <v>0.49999999999999956</v>
      </c>
      <c r="O283" s="104">
        <f t="shared" si="38"/>
        <v>1.016</v>
      </c>
      <c r="P283" s="105">
        <f t="shared" si="35"/>
        <v>4.6227999999999962</v>
      </c>
    </row>
    <row r="284" spans="2:16" x14ac:dyDescent="0.25">
      <c r="B284" s="88" t="str">
        <f t="shared" si="32"/>
        <v>Sitio Santa Lúcia</v>
      </c>
      <c r="C284" s="106">
        <f t="shared" si="39"/>
        <v>2020</v>
      </c>
      <c r="D284" s="101">
        <v>43843</v>
      </c>
      <c r="E284" s="102">
        <v>0.45833333333333331</v>
      </c>
      <c r="F284" s="103">
        <v>0.5</v>
      </c>
      <c r="G284" s="103">
        <v>0.41666666666666669</v>
      </c>
      <c r="H284" s="103">
        <v>0.47916666666666669</v>
      </c>
      <c r="I284" s="90">
        <f t="shared" si="36"/>
        <v>1.0000000000000004</v>
      </c>
      <c r="J284" s="90">
        <f t="shared" si="33"/>
        <v>1.5</v>
      </c>
      <c r="K284" s="91">
        <f t="shared" si="40"/>
        <v>0.95833333333333348</v>
      </c>
      <c r="L284" s="91">
        <f t="shared" si="41"/>
        <v>3.9583333333333339</v>
      </c>
      <c r="M284" s="29">
        <f t="shared" si="37"/>
        <v>13</v>
      </c>
      <c r="N284" s="92">
        <f t="shared" si="34"/>
        <v>1.0000000000000004</v>
      </c>
      <c r="O284" s="104">
        <f t="shared" si="38"/>
        <v>1.016</v>
      </c>
      <c r="P284" s="105">
        <f t="shared" si="35"/>
        <v>9.2456000000000031</v>
      </c>
    </row>
    <row r="285" spans="2:16" x14ac:dyDescent="0.25">
      <c r="B285" s="88" t="str">
        <f t="shared" si="32"/>
        <v>Sitio Santa Lúcia</v>
      </c>
      <c r="C285" s="106">
        <f t="shared" si="39"/>
        <v>2020</v>
      </c>
      <c r="D285" s="101">
        <v>43844</v>
      </c>
      <c r="E285" s="102">
        <v>0.33333333333333331</v>
      </c>
      <c r="F285" s="103">
        <v>0.5625</v>
      </c>
      <c r="G285" s="103">
        <v>0.54166666666666663</v>
      </c>
      <c r="H285" s="103">
        <v>0.5625</v>
      </c>
      <c r="I285" s="90">
        <f t="shared" si="36"/>
        <v>5.5</v>
      </c>
      <c r="J285" s="90">
        <f t="shared" si="33"/>
        <v>0.50000000000000089</v>
      </c>
      <c r="K285" s="91">
        <f t="shared" si="40"/>
        <v>0.95833333333333348</v>
      </c>
      <c r="L285" s="91">
        <f t="shared" si="41"/>
        <v>3.9583333333333339</v>
      </c>
      <c r="M285" s="29">
        <f t="shared" si="37"/>
        <v>13</v>
      </c>
      <c r="N285" s="92">
        <f t="shared" si="34"/>
        <v>5.5</v>
      </c>
      <c r="O285" s="104">
        <f t="shared" si="38"/>
        <v>1.016</v>
      </c>
      <c r="P285" s="105">
        <f t="shared" si="35"/>
        <v>50.8508</v>
      </c>
    </row>
    <row r="286" spans="2:16" x14ac:dyDescent="0.25">
      <c r="B286" s="88" t="str">
        <f t="shared" si="32"/>
        <v>Sitio Santa Lúcia</v>
      </c>
      <c r="C286" s="106">
        <f t="shared" si="39"/>
        <v>2020</v>
      </c>
      <c r="D286" s="101">
        <v>43845</v>
      </c>
      <c r="E286" s="102">
        <v>0.29166666666666669</v>
      </c>
      <c r="F286" s="103">
        <v>0.33333333333333298</v>
      </c>
      <c r="G286" s="103">
        <v>0.35416666666666669</v>
      </c>
      <c r="H286" s="103">
        <v>0.375</v>
      </c>
      <c r="I286" s="90">
        <f t="shared" si="36"/>
        <v>0.99999999999999112</v>
      </c>
      <c r="J286" s="90">
        <f t="shared" si="33"/>
        <v>0.49999999999999956</v>
      </c>
      <c r="K286" s="91">
        <f t="shared" si="40"/>
        <v>0.95833333333333348</v>
      </c>
      <c r="L286" s="91">
        <f t="shared" si="41"/>
        <v>3.9583333333333339</v>
      </c>
      <c r="M286" s="29">
        <f t="shared" si="37"/>
        <v>13</v>
      </c>
      <c r="N286" s="92">
        <f t="shared" si="34"/>
        <v>0.99999999999999112</v>
      </c>
      <c r="O286" s="104">
        <f t="shared" si="38"/>
        <v>1.016</v>
      </c>
      <c r="P286" s="105">
        <f t="shared" si="35"/>
        <v>9.2455999999999179</v>
      </c>
    </row>
    <row r="287" spans="2:16" x14ac:dyDescent="0.25">
      <c r="B287" s="88" t="str">
        <f t="shared" si="32"/>
        <v>Sitio Santa Lúcia</v>
      </c>
      <c r="C287" s="106">
        <f t="shared" si="39"/>
        <v>2020</v>
      </c>
      <c r="D287" s="101">
        <v>43846</v>
      </c>
      <c r="E287" s="102">
        <v>0.3611111111111111</v>
      </c>
      <c r="F287" s="103">
        <v>0.4375</v>
      </c>
      <c r="G287" s="103">
        <v>0.45833333333333331</v>
      </c>
      <c r="H287" s="103">
        <v>0.5</v>
      </c>
      <c r="I287" s="90">
        <f t="shared" si="36"/>
        <v>1.8333333333333335</v>
      </c>
      <c r="J287" s="90">
        <f t="shared" si="33"/>
        <v>1.0000000000000004</v>
      </c>
      <c r="K287" s="91">
        <f t="shared" si="40"/>
        <v>0.95833333333333348</v>
      </c>
      <c r="L287" s="91">
        <f t="shared" si="41"/>
        <v>3.9583333333333339</v>
      </c>
      <c r="M287" s="29">
        <f t="shared" si="37"/>
        <v>13</v>
      </c>
      <c r="N287" s="92">
        <f t="shared" si="34"/>
        <v>1.8333333333333335</v>
      </c>
      <c r="O287" s="104">
        <f t="shared" si="38"/>
        <v>1.016</v>
      </c>
      <c r="P287" s="105">
        <f t="shared" si="35"/>
        <v>16.950266666666668</v>
      </c>
    </row>
    <row r="288" spans="2:16" x14ac:dyDescent="0.25">
      <c r="B288" s="88" t="str">
        <f t="shared" ref="B288:B351" si="42">$B$17</f>
        <v>Sitio Santa Lúcia</v>
      </c>
      <c r="C288" s="106">
        <f t="shared" si="39"/>
        <v>2020</v>
      </c>
      <c r="D288" s="101">
        <v>43847</v>
      </c>
      <c r="E288" s="102">
        <v>0.29166666666666669</v>
      </c>
      <c r="F288" s="103">
        <v>0.45833333333333331</v>
      </c>
      <c r="G288" s="103">
        <v>0.33333333333333331</v>
      </c>
      <c r="H288" s="103">
        <v>0.45833333333333331</v>
      </c>
      <c r="I288" s="90">
        <f t="shared" si="36"/>
        <v>3.9999999999999991</v>
      </c>
      <c r="J288" s="90">
        <f t="shared" si="33"/>
        <v>3</v>
      </c>
      <c r="K288" s="91">
        <f t="shared" si="40"/>
        <v>0.95833333333333348</v>
      </c>
      <c r="L288" s="91">
        <f t="shared" si="41"/>
        <v>3.9583333333333339</v>
      </c>
      <c r="M288" s="29">
        <f t="shared" si="37"/>
        <v>13</v>
      </c>
      <c r="N288" s="92">
        <f t="shared" si="34"/>
        <v>3.9999999999999991</v>
      </c>
      <c r="O288" s="104">
        <f t="shared" si="38"/>
        <v>1.016</v>
      </c>
      <c r="P288" s="105">
        <f t="shared" si="35"/>
        <v>36.982399999999991</v>
      </c>
    </row>
    <row r="289" spans="2:16" x14ac:dyDescent="0.25">
      <c r="B289" s="88" t="str">
        <f t="shared" si="42"/>
        <v>Sitio Santa Lúcia</v>
      </c>
      <c r="C289" s="106">
        <f t="shared" si="39"/>
        <v>2020</v>
      </c>
      <c r="D289" s="101">
        <v>43848</v>
      </c>
      <c r="E289" s="102">
        <v>0.33333333333333298</v>
      </c>
      <c r="F289" s="103">
        <v>0.4375</v>
      </c>
      <c r="G289" s="103">
        <v>0.29166666666666669</v>
      </c>
      <c r="H289" s="103">
        <v>0.33333333333333331</v>
      </c>
      <c r="I289" s="90">
        <f t="shared" si="36"/>
        <v>2.5000000000000084</v>
      </c>
      <c r="J289" s="90">
        <f t="shared" si="33"/>
        <v>0.99999999999999911</v>
      </c>
      <c r="K289" s="91">
        <f t="shared" si="40"/>
        <v>0.95833333333333348</v>
      </c>
      <c r="L289" s="91">
        <f t="shared" si="41"/>
        <v>3.9583333333333339</v>
      </c>
      <c r="M289" s="29">
        <f t="shared" si="37"/>
        <v>13</v>
      </c>
      <c r="N289" s="92">
        <f t="shared" si="34"/>
        <v>2.5000000000000084</v>
      </c>
      <c r="O289" s="104">
        <f t="shared" si="38"/>
        <v>1.016</v>
      </c>
      <c r="P289" s="105">
        <f t="shared" si="35"/>
        <v>23.114000000000075</v>
      </c>
    </row>
    <row r="290" spans="2:16" x14ac:dyDescent="0.25">
      <c r="B290" s="88" t="str">
        <f t="shared" si="42"/>
        <v>Sitio Santa Lúcia</v>
      </c>
      <c r="C290" s="106">
        <f t="shared" si="39"/>
        <v>2020</v>
      </c>
      <c r="D290" s="101">
        <v>43849</v>
      </c>
      <c r="E290" s="102">
        <v>0.3611111111111111</v>
      </c>
      <c r="F290" s="103">
        <v>0.3888888888888889</v>
      </c>
      <c r="G290" s="103">
        <v>0.41666666666666669</v>
      </c>
      <c r="H290" s="103">
        <v>0.45833333333333331</v>
      </c>
      <c r="I290" s="90">
        <f t="shared" si="36"/>
        <v>0.66666666666666696</v>
      </c>
      <c r="J290" s="90">
        <f t="shared" si="33"/>
        <v>0.99999999999999911</v>
      </c>
      <c r="K290" s="91">
        <f t="shared" si="40"/>
        <v>0.95833333333333348</v>
      </c>
      <c r="L290" s="91">
        <f t="shared" si="41"/>
        <v>3.9583333333333339</v>
      </c>
      <c r="M290" s="29">
        <f t="shared" si="37"/>
        <v>13</v>
      </c>
      <c r="N290" s="92">
        <f t="shared" si="34"/>
        <v>0.66666666666666696</v>
      </c>
      <c r="O290" s="104">
        <f t="shared" si="38"/>
        <v>1.016</v>
      </c>
      <c r="P290" s="105">
        <f t="shared" si="35"/>
        <v>6.1637333333333366</v>
      </c>
    </row>
    <row r="291" spans="2:16" x14ac:dyDescent="0.25">
      <c r="B291" s="88" t="str">
        <f t="shared" si="42"/>
        <v>Sitio Santa Lúcia</v>
      </c>
      <c r="C291" s="106">
        <f t="shared" si="39"/>
        <v>2020</v>
      </c>
      <c r="D291" s="101">
        <v>43850</v>
      </c>
      <c r="E291" s="102">
        <v>0.29166666666666669</v>
      </c>
      <c r="F291" s="103">
        <v>0.41666666666666669</v>
      </c>
      <c r="G291" s="103">
        <v>0.3125</v>
      </c>
      <c r="H291" s="103">
        <v>0.36805555555555558</v>
      </c>
      <c r="I291" s="90">
        <f t="shared" si="36"/>
        <v>3</v>
      </c>
      <c r="J291" s="90">
        <f t="shared" si="33"/>
        <v>1.3333333333333339</v>
      </c>
      <c r="K291" s="91">
        <f t="shared" si="40"/>
        <v>0.95833333333333348</v>
      </c>
      <c r="L291" s="91">
        <f t="shared" si="41"/>
        <v>3.9583333333333339</v>
      </c>
      <c r="M291" s="29">
        <f t="shared" si="37"/>
        <v>13</v>
      </c>
      <c r="N291" s="92">
        <f t="shared" si="34"/>
        <v>3</v>
      </c>
      <c r="O291" s="104">
        <f t="shared" si="38"/>
        <v>1.016</v>
      </c>
      <c r="P291" s="105">
        <f t="shared" si="35"/>
        <v>27.736799999999999</v>
      </c>
    </row>
    <row r="292" spans="2:16" x14ac:dyDescent="0.25">
      <c r="B292" s="88" t="str">
        <f t="shared" si="42"/>
        <v>Sitio Santa Lúcia</v>
      </c>
      <c r="C292" s="106">
        <f t="shared" si="39"/>
        <v>2020</v>
      </c>
      <c r="D292" s="101">
        <v>43851</v>
      </c>
      <c r="E292" s="102">
        <v>0.41666666666666669</v>
      </c>
      <c r="F292" s="103">
        <v>0.45833333333333298</v>
      </c>
      <c r="G292" s="103">
        <v>0.4375</v>
      </c>
      <c r="H292" s="103">
        <v>0.45833333333333331</v>
      </c>
      <c r="I292" s="90">
        <f t="shared" si="36"/>
        <v>0.99999999999999112</v>
      </c>
      <c r="J292" s="90">
        <f t="shared" si="33"/>
        <v>0.49999999999999956</v>
      </c>
      <c r="K292" s="91">
        <f t="shared" si="40"/>
        <v>0.95833333333333348</v>
      </c>
      <c r="L292" s="91">
        <f t="shared" si="41"/>
        <v>3.9583333333333339</v>
      </c>
      <c r="M292" s="29">
        <f t="shared" si="37"/>
        <v>13</v>
      </c>
      <c r="N292" s="92">
        <f t="shared" si="34"/>
        <v>0.99999999999999112</v>
      </c>
      <c r="O292" s="104">
        <f t="shared" si="38"/>
        <v>1.016</v>
      </c>
      <c r="P292" s="105">
        <f t="shared" si="35"/>
        <v>9.2455999999999179</v>
      </c>
    </row>
    <row r="293" spans="2:16" x14ac:dyDescent="0.25">
      <c r="B293" s="88" t="str">
        <f t="shared" si="42"/>
        <v>Sitio Santa Lúcia</v>
      </c>
      <c r="C293" s="106">
        <f t="shared" si="39"/>
        <v>2020</v>
      </c>
      <c r="D293" s="101">
        <v>43852</v>
      </c>
      <c r="E293" s="102">
        <v>0.41666666666666669</v>
      </c>
      <c r="F293" s="103">
        <v>0.5</v>
      </c>
      <c r="G293" s="103">
        <v>0.29166666666666669</v>
      </c>
      <c r="H293" s="103">
        <v>0.33333333333333331</v>
      </c>
      <c r="I293" s="90">
        <f t="shared" si="36"/>
        <v>1.9999999999999996</v>
      </c>
      <c r="J293" s="90">
        <f t="shared" si="33"/>
        <v>0.99999999999999911</v>
      </c>
      <c r="K293" s="91">
        <f t="shared" si="40"/>
        <v>0.95833333333333348</v>
      </c>
      <c r="L293" s="91">
        <f t="shared" si="41"/>
        <v>3.9583333333333339</v>
      </c>
      <c r="M293" s="29">
        <f t="shared" si="37"/>
        <v>13</v>
      </c>
      <c r="N293" s="92">
        <f t="shared" si="34"/>
        <v>1.9999999999999996</v>
      </c>
      <c r="O293" s="104">
        <f t="shared" si="38"/>
        <v>1.016</v>
      </c>
      <c r="P293" s="105">
        <f t="shared" si="35"/>
        <v>18.491199999999996</v>
      </c>
    </row>
    <row r="294" spans="2:16" x14ac:dyDescent="0.25">
      <c r="B294" s="88" t="str">
        <f t="shared" si="42"/>
        <v>Sitio Santa Lúcia</v>
      </c>
      <c r="C294" s="106">
        <f t="shared" si="39"/>
        <v>2020</v>
      </c>
      <c r="D294" s="101">
        <v>43853</v>
      </c>
      <c r="E294" s="102">
        <v>0.33333333333333331</v>
      </c>
      <c r="F294" s="103">
        <v>0.45833333333333331</v>
      </c>
      <c r="G294" s="103">
        <v>0.45833333333333331</v>
      </c>
      <c r="H294" s="103">
        <v>0.5</v>
      </c>
      <c r="I294" s="90">
        <f t="shared" si="36"/>
        <v>3</v>
      </c>
      <c r="J294" s="90">
        <f t="shared" si="33"/>
        <v>1.0000000000000004</v>
      </c>
      <c r="K294" s="91">
        <f t="shared" si="40"/>
        <v>0.95833333333333348</v>
      </c>
      <c r="L294" s="91">
        <f t="shared" si="41"/>
        <v>3.9583333333333339</v>
      </c>
      <c r="M294" s="29">
        <f t="shared" si="37"/>
        <v>13</v>
      </c>
      <c r="N294" s="92">
        <f t="shared" si="34"/>
        <v>3</v>
      </c>
      <c r="O294" s="104">
        <f t="shared" si="38"/>
        <v>1.016</v>
      </c>
      <c r="P294" s="105">
        <f t="shared" si="35"/>
        <v>27.736799999999999</v>
      </c>
    </row>
    <row r="295" spans="2:16" x14ac:dyDescent="0.25">
      <c r="B295" s="88" t="str">
        <f t="shared" si="42"/>
        <v>Sitio Santa Lúcia</v>
      </c>
      <c r="C295" s="106">
        <f t="shared" si="39"/>
        <v>2020</v>
      </c>
      <c r="D295" s="101">
        <v>43854</v>
      </c>
      <c r="E295" s="102">
        <v>0.39583333333333331</v>
      </c>
      <c r="F295" s="103">
        <v>0.4513888888888889</v>
      </c>
      <c r="G295" s="103">
        <v>0.29166666666666669</v>
      </c>
      <c r="H295" s="103">
        <v>0.33333333333333331</v>
      </c>
      <c r="I295" s="90">
        <f t="shared" si="36"/>
        <v>1.3333333333333339</v>
      </c>
      <c r="J295" s="90">
        <f t="shared" si="33"/>
        <v>0.99999999999999911</v>
      </c>
      <c r="K295" s="91">
        <f t="shared" si="40"/>
        <v>0.95833333333333348</v>
      </c>
      <c r="L295" s="91">
        <f t="shared" si="41"/>
        <v>3.9583333333333339</v>
      </c>
      <c r="M295" s="29">
        <f t="shared" si="37"/>
        <v>13</v>
      </c>
      <c r="N295" s="92">
        <f t="shared" si="34"/>
        <v>1.3333333333333339</v>
      </c>
      <c r="O295" s="104">
        <f t="shared" si="38"/>
        <v>1.016</v>
      </c>
      <c r="P295" s="105">
        <f t="shared" si="35"/>
        <v>12.327466666666673</v>
      </c>
    </row>
    <row r="296" spans="2:16" x14ac:dyDescent="0.25">
      <c r="B296" s="88" t="str">
        <f t="shared" si="42"/>
        <v>Sitio Santa Lúcia</v>
      </c>
      <c r="C296" s="106">
        <f t="shared" si="39"/>
        <v>2020</v>
      </c>
      <c r="D296" s="101">
        <v>43855</v>
      </c>
      <c r="E296" s="102">
        <v>0.375</v>
      </c>
      <c r="F296" s="103">
        <v>0.41666666666666702</v>
      </c>
      <c r="G296" s="103">
        <v>0.45833333333333398</v>
      </c>
      <c r="H296" s="103">
        <v>0.5</v>
      </c>
      <c r="I296" s="90">
        <f t="shared" si="36"/>
        <v>1.0000000000000084</v>
      </c>
      <c r="J296" s="90">
        <f t="shared" si="33"/>
        <v>0.99999999999998446</v>
      </c>
      <c r="K296" s="91">
        <f t="shared" si="40"/>
        <v>0.95833333333333348</v>
      </c>
      <c r="L296" s="91">
        <f t="shared" si="41"/>
        <v>3.9583333333333339</v>
      </c>
      <c r="M296" s="29">
        <f t="shared" si="37"/>
        <v>13</v>
      </c>
      <c r="N296" s="92">
        <f t="shared" si="34"/>
        <v>1.0000000000000084</v>
      </c>
      <c r="O296" s="104">
        <f t="shared" si="38"/>
        <v>1.016</v>
      </c>
      <c r="P296" s="105">
        <f t="shared" si="35"/>
        <v>9.2456000000000778</v>
      </c>
    </row>
    <row r="297" spans="2:16" x14ac:dyDescent="0.25">
      <c r="B297" s="88" t="str">
        <f t="shared" si="42"/>
        <v>Sitio Santa Lúcia</v>
      </c>
      <c r="C297" s="106">
        <f t="shared" si="39"/>
        <v>2020</v>
      </c>
      <c r="D297" s="101">
        <v>43856</v>
      </c>
      <c r="E297" s="102">
        <v>0.41666666666666669</v>
      </c>
      <c r="F297" s="103">
        <v>0.47916666666666669</v>
      </c>
      <c r="G297" s="103">
        <v>0.29166666666666669</v>
      </c>
      <c r="H297" s="103">
        <v>0.39583333333333331</v>
      </c>
      <c r="I297" s="90">
        <f t="shared" si="36"/>
        <v>1.5</v>
      </c>
      <c r="J297" s="90">
        <f t="shared" si="33"/>
        <v>2.4999999999999991</v>
      </c>
      <c r="K297" s="91">
        <f t="shared" si="40"/>
        <v>0.95833333333333348</v>
      </c>
      <c r="L297" s="91">
        <f t="shared" si="41"/>
        <v>3.9583333333333339</v>
      </c>
      <c r="M297" s="29">
        <f t="shared" si="37"/>
        <v>13</v>
      </c>
      <c r="N297" s="92">
        <f t="shared" si="34"/>
        <v>1.5</v>
      </c>
      <c r="O297" s="104">
        <f t="shared" si="38"/>
        <v>1.016</v>
      </c>
      <c r="P297" s="105">
        <f t="shared" si="35"/>
        <v>13.868399999999999</v>
      </c>
    </row>
    <row r="298" spans="2:16" x14ac:dyDescent="0.25">
      <c r="B298" s="88" t="str">
        <f t="shared" si="42"/>
        <v>Sitio Santa Lúcia</v>
      </c>
      <c r="C298" s="106">
        <f t="shared" si="39"/>
        <v>2020</v>
      </c>
      <c r="D298" s="101">
        <v>43857</v>
      </c>
      <c r="E298" s="102">
        <v>0.33333333333333331</v>
      </c>
      <c r="F298" s="103">
        <v>0.4375</v>
      </c>
      <c r="G298" s="103">
        <v>0.375</v>
      </c>
      <c r="H298" s="103">
        <v>0.45833333333333331</v>
      </c>
      <c r="I298" s="90">
        <f t="shared" si="36"/>
        <v>2.5000000000000004</v>
      </c>
      <c r="J298" s="90">
        <f t="shared" si="33"/>
        <v>1.9999999999999996</v>
      </c>
      <c r="K298" s="91">
        <f t="shared" si="40"/>
        <v>0.95833333333333348</v>
      </c>
      <c r="L298" s="91">
        <f t="shared" si="41"/>
        <v>3.9583333333333339</v>
      </c>
      <c r="M298" s="29">
        <f t="shared" si="37"/>
        <v>13</v>
      </c>
      <c r="N298" s="92">
        <f t="shared" si="34"/>
        <v>2.5000000000000004</v>
      </c>
      <c r="O298" s="104">
        <f t="shared" si="38"/>
        <v>1.016</v>
      </c>
      <c r="P298" s="105">
        <f t="shared" si="35"/>
        <v>23.114000000000004</v>
      </c>
    </row>
    <row r="299" spans="2:16" x14ac:dyDescent="0.25">
      <c r="B299" s="88" t="str">
        <f t="shared" si="42"/>
        <v>Sitio Santa Lúcia</v>
      </c>
      <c r="C299" s="106">
        <f t="shared" si="39"/>
        <v>2020</v>
      </c>
      <c r="D299" s="101">
        <v>43858</v>
      </c>
      <c r="E299" s="102">
        <v>0.45833333333333331</v>
      </c>
      <c r="F299" s="103">
        <v>0.5</v>
      </c>
      <c r="G299" s="103">
        <v>0.40277777777777773</v>
      </c>
      <c r="H299" s="103">
        <v>0.5</v>
      </c>
      <c r="I299" s="90">
        <f t="shared" si="36"/>
        <v>1.0000000000000004</v>
      </c>
      <c r="J299" s="90">
        <f t="shared" si="33"/>
        <v>2.3333333333333344</v>
      </c>
      <c r="K299" s="91">
        <f t="shared" si="40"/>
        <v>0.95833333333333348</v>
      </c>
      <c r="L299" s="91">
        <f t="shared" si="41"/>
        <v>3.9583333333333339</v>
      </c>
      <c r="M299" s="29">
        <f t="shared" si="37"/>
        <v>13</v>
      </c>
      <c r="N299" s="92">
        <f t="shared" si="34"/>
        <v>1.0000000000000004</v>
      </c>
      <c r="O299" s="104">
        <f t="shared" si="38"/>
        <v>1.016</v>
      </c>
      <c r="P299" s="105">
        <f t="shared" si="35"/>
        <v>9.2456000000000031</v>
      </c>
    </row>
    <row r="300" spans="2:16" x14ac:dyDescent="0.25">
      <c r="B300" s="88" t="str">
        <f t="shared" si="42"/>
        <v>Sitio Santa Lúcia</v>
      </c>
      <c r="C300" s="106">
        <f t="shared" si="39"/>
        <v>2020</v>
      </c>
      <c r="D300" s="101">
        <v>43859</v>
      </c>
      <c r="E300" s="102">
        <v>0.41666666666666669</v>
      </c>
      <c r="F300" s="103">
        <v>0.47916666666666669</v>
      </c>
      <c r="G300" s="103">
        <v>0.29166666666666669</v>
      </c>
      <c r="H300" s="103">
        <v>0.33333333333333331</v>
      </c>
      <c r="I300" s="90">
        <f t="shared" si="36"/>
        <v>1.5</v>
      </c>
      <c r="J300" s="90">
        <f t="shared" si="33"/>
        <v>0.99999999999999911</v>
      </c>
      <c r="K300" s="91">
        <f t="shared" si="40"/>
        <v>0.95833333333333348</v>
      </c>
      <c r="L300" s="91">
        <f t="shared" si="41"/>
        <v>3.9583333333333339</v>
      </c>
      <c r="M300" s="29">
        <f t="shared" si="37"/>
        <v>13</v>
      </c>
      <c r="N300" s="92">
        <f t="shared" si="34"/>
        <v>1.5</v>
      </c>
      <c r="O300" s="104">
        <f t="shared" si="38"/>
        <v>1.016</v>
      </c>
      <c r="P300" s="105">
        <f t="shared" si="35"/>
        <v>13.868399999999999</v>
      </c>
    </row>
    <row r="301" spans="2:16" x14ac:dyDescent="0.25">
      <c r="B301" s="88" t="str">
        <f t="shared" si="42"/>
        <v>Sitio Santa Lúcia</v>
      </c>
      <c r="C301" s="106">
        <f t="shared" si="39"/>
        <v>2020</v>
      </c>
      <c r="D301" s="101">
        <v>43860</v>
      </c>
      <c r="E301" s="102">
        <v>0.33333333333333331</v>
      </c>
      <c r="F301" s="103">
        <v>0.39583333333333331</v>
      </c>
      <c r="G301" s="103">
        <v>0.33333333333333331</v>
      </c>
      <c r="H301" s="103">
        <v>0.41666666666666669</v>
      </c>
      <c r="I301" s="90">
        <f t="shared" si="36"/>
        <v>1.5</v>
      </c>
      <c r="J301" s="90">
        <f t="shared" si="33"/>
        <v>2.0000000000000009</v>
      </c>
      <c r="K301" s="91">
        <f t="shared" si="40"/>
        <v>0.95833333333333348</v>
      </c>
      <c r="L301" s="91">
        <f t="shared" si="41"/>
        <v>3.9583333333333339</v>
      </c>
      <c r="M301" s="29">
        <f t="shared" si="37"/>
        <v>13</v>
      </c>
      <c r="N301" s="92">
        <f t="shared" si="34"/>
        <v>1.5</v>
      </c>
      <c r="O301" s="104">
        <f t="shared" si="38"/>
        <v>1.016</v>
      </c>
      <c r="P301" s="105">
        <f t="shared" si="35"/>
        <v>13.868399999999999</v>
      </c>
    </row>
    <row r="302" spans="2:16" x14ac:dyDescent="0.25">
      <c r="B302" s="88" t="str">
        <f t="shared" si="42"/>
        <v>Sitio Santa Lúcia</v>
      </c>
      <c r="C302" s="106">
        <f t="shared" si="39"/>
        <v>2020</v>
      </c>
      <c r="D302" s="101">
        <v>43861</v>
      </c>
      <c r="E302" s="102">
        <v>0.41666666666666669</v>
      </c>
      <c r="F302" s="103">
        <v>0.47916666666666669</v>
      </c>
      <c r="G302" s="103">
        <v>0.41666666666666669</v>
      </c>
      <c r="H302" s="103">
        <v>0.5</v>
      </c>
      <c r="I302" s="90">
        <f t="shared" si="36"/>
        <v>1.5</v>
      </c>
      <c r="J302" s="90">
        <f t="shared" si="33"/>
        <v>1.9999999999999996</v>
      </c>
      <c r="K302" s="91">
        <f t="shared" si="40"/>
        <v>0.95833333333333348</v>
      </c>
      <c r="L302" s="91">
        <f t="shared" si="41"/>
        <v>3.9583333333333339</v>
      </c>
      <c r="M302" s="29">
        <f t="shared" si="37"/>
        <v>13</v>
      </c>
      <c r="N302" s="92">
        <f t="shared" si="34"/>
        <v>1.5</v>
      </c>
      <c r="O302" s="104">
        <f t="shared" si="38"/>
        <v>1.016</v>
      </c>
      <c r="P302" s="105">
        <f t="shared" si="35"/>
        <v>13.868399999999999</v>
      </c>
    </row>
    <row r="303" spans="2:16" x14ac:dyDescent="0.25">
      <c r="B303" s="88" t="str">
        <f t="shared" si="42"/>
        <v>Sitio Santa Lúcia</v>
      </c>
      <c r="C303" s="106">
        <f t="shared" si="39"/>
        <v>2020</v>
      </c>
      <c r="D303" s="101">
        <v>43862</v>
      </c>
      <c r="E303" s="102">
        <v>0.4375</v>
      </c>
      <c r="F303" s="103">
        <v>0.4861111111111111</v>
      </c>
      <c r="G303" s="103">
        <v>0.33333333333333331</v>
      </c>
      <c r="H303" s="103">
        <v>0.375</v>
      </c>
      <c r="I303" s="90">
        <f t="shared" si="36"/>
        <v>1.1666666666666665</v>
      </c>
      <c r="J303" s="90">
        <f t="shared" si="33"/>
        <v>1.0000000000000004</v>
      </c>
      <c r="K303" s="91">
        <f t="shared" si="40"/>
        <v>0.95833333333333348</v>
      </c>
      <c r="L303" s="91">
        <f t="shared" si="41"/>
        <v>3.9583333333333339</v>
      </c>
      <c r="M303" s="29">
        <f t="shared" si="37"/>
        <v>13</v>
      </c>
      <c r="N303" s="92">
        <f t="shared" si="34"/>
        <v>1.1666666666666665</v>
      </c>
      <c r="O303" s="104">
        <f t="shared" si="38"/>
        <v>1.016</v>
      </c>
      <c r="P303" s="105">
        <f t="shared" si="35"/>
        <v>10.786533333333331</v>
      </c>
    </row>
    <row r="304" spans="2:16" x14ac:dyDescent="0.25">
      <c r="B304" s="88" t="str">
        <f t="shared" si="42"/>
        <v>Sitio Santa Lúcia</v>
      </c>
      <c r="C304" s="106">
        <f t="shared" si="39"/>
        <v>2020</v>
      </c>
      <c r="D304" s="101">
        <v>43863</v>
      </c>
      <c r="E304" s="102">
        <v>0.29166666666666669</v>
      </c>
      <c r="F304" s="103">
        <v>0.375</v>
      </c>
      <c r="G304" s="103">
        <v>0.41666666666666669</v>
      </c>
      <c r="H304" s="103">
        <v>0.4861111111111111</v>
      </c>
      <c r="I304" s="90">
        <f t="shared" si="36"/>
        <v>1.9999999999999996</v>
      </c>
      <c r="J304" s="90">
        <f t="shared" si="33"/>
        <v>1.6666666666666661</v>
      </c>
      <c r="K304" s="91">
        <f t="shared" si="40"/>
        <v>0.95833333333333348</v>
      </c>
      <c r="L304" s="91">
        <f t="shared" si="41"/>
        <v>3.9583333333333339</v>
      </c>
      <c r="M304" s="29">
        <f t="shared" si="37"/>
        <v>13</v>
      </c>
      <c r="N304" s="92">
        <f t="shared" si="34"/>
        <v>1.9999999999999996</v>
      </c>
      <c r="O304" s="104">
        <f t="shared" si="38"/>
        <v>1.016</v>
      </c>
      <c r="P304" s="105">
        <f t="shared" si="35"/>
        <v>18.491199999999996</v>
      </c>
    </row>
    <row r="305" spans="2:16" x14ac:dyDescent="0.25">
      <c r="B305" s="88" t="str">
        <f t="shared" si="42"/>
        <v>Sitio Santa Lúcia</v>
      </c>
      <c r="C305" s="106">
        <f t="shared" si="39"/>
        <v>2020</v>
      </c>
      <c r="D305" s="101">
        <v>43864</v>
      </c>
      <c r="E305" s="102">
        <v>0.3125</v>
      </c>
      <c r="F305" s="103">
        <v>0.36805555555555558</v>
      </c>
      <c r="G305" s="103">
        <v>0.41666666666666669</v>
      </c>
      <c r="H305" s="103">
        <v>0.5</v>
      </c>
      <c r="I305" s="90">
        <f t="shared" si="36"/>
        <v>1.3333333333333339</v>
      </c>
      <c r="J305" s="90">
        <f t="shared" ref="J305:J368" si="43">((H305-G305)-INT($D$20))*24</f>
        <v>1.9999999999999996</v>
      </c>
      <c r="K305" s="91">
        <f t="shared" si="40"/>
        <v>0.95833333333333348</v>
      </c>
      <c r="L305" s="91">
        <f t="shared" si="41"/>
        <v>3.9583333333333339</v>
      </c>
      <c r="M305" s="29">
        <f t="shared" si="37"/>
        <v>13</v>
      </c>
      <c r="N305" s="92">
        <f t="shared" ref="N305:N368" si="44">I305</f>
        <v>1.3333333333333339</v>
      </c>
      <c r="O305" s="104">
        <f t="shared" si="38"/>
        <v>1.016</v>
      </c>
      <c r="P305" s="105">
        <f t="shared" ref="P305:P368" si="45">M305*N305*O305*0.7</f>
        <v>12.327466666666673</v>
      </c>
    </row>
    <row r="306" spans="2:16" x14ac:dyDescent="0.25">
      <c r="B306" s="88" t="str">
        <f t="shared" si="42"/>
        <v>Sitio Santa Lúcia</v>
      </c>
      <c r="C306" s="106">
        <f t="shared" si="39"/>
        <v>2020</v>
      </c>
      <c r="D306" s="101">
        <v>43865</v>
      </c>
      <c r="E306" s="102">
        <v>0.33333333333333331</v>
      </c>
      <c r="F306" s="103">
        <v>0.375</v>
      </c>
      <c r="G306" s="103">
        <v>0.41666666666666702</v>
      </c>
      <c r="H306" s="103">
        <v>0.47916666666666669</v>
      </c>
      <c r="I306" s="90">
        <f t="shared" ref="I306:I369" si="46">((F306-E306)-INT($D$20))*24</f>
        <v>1.0000000000000004</v>
      </c>
      <c r="J306" s="90">
        <f t="shared" si="43"/>
        <v>1.499999999999992</v>
      </c>
      <c r="K306" s="91">
        <f t="shared" si="40"/>
        <v>0.95833333333333348</v>
      </c>
      <c r="L306" s="91">
        <f t="shared" si="41"/>
        <v>3.9583333333333339</v>
      </c>
      <c r="M306" s="29">
        <f t="shared" ref="M306:M369" si="47">VLOOKUP(B306,$I$5:$J$17,2,FALSE)</f>
        <v>13</v>
      </c>
      <c r="N306" s="92">
        <f t="shared" si="44"/>
        <v>1.0000000000000004</v>
      </c>
      <c r="O306" s="104">
        <f t="shared" si="38"/>
        <v>1.016</v>
      </c>
      <c r="P306" s="105">
        <f t="shared" si="45"/>
        <v>9.2456000000000031</v>
      </c>
    </row>
    <row r="307" spans="2:16" x14ac:dyDescent="0.25">
      <c r="B307" s="88" t="str">
        <f t="shared" si="42"/>
        <v>Sitio Santa Lúcia</v>
      </c>
      <c r="C307" s="106">
        <f t="shared" si="39"/>
        <v>2020</v>
      </c>
      <c r="D307" s="101">
        <v>43866</v>
      </c>
      <c r="E307" s="102">
        <v>0.375</v>
      </c>
      <c r="F307" s="102">
        <v>0.4375</v>
      </c>
      <c r="G307" s="103">
        <v>0.45833333333333298</v>
      </c>
      <c r="H307" s="103">
        <v>0.5</v>
      </c>
      <c r="I307" s="90">
        <f t="shared" si="46"/>
        <v>1.5</v>
      </c>
      <c r="J307" s="90">
        <f t="shared" si="43"/>
        <v>1.0000000000000084</v>
      </c>
      <c r="K307" s="91">
        <f t="shared" si="40"/>
        <v>0.95833333333333348</v>
      </c>
      <c r="L307" s="91">
        <f t="shared" si="41"/>
        <v>3.9583333333333339</v>
      </c>
      <c r="M307" s="29">
        <f t="shared" si="47"/>
        <v>13</v>
      </c>
      <c r="N307" s="92">
        <f t="shared" si="44"/>
        <v>1.5</v>
      </c>
      <c r="O307" s="104">
        <f t="shared" si="38"/>
        <v>1.016</v>
      </c>
      <c r="P307" s="105">
        <f t="shared" si="45"/>
        <v>13.868399999999999</v>
      </c>
    </row>
    <row r="308" spans="2:16" x14ac:dyDescent="0.25">
      <c r="B308" s="88" t="str">
        <f t="shared" si="42"/>
        <v>Sitio Santa Lúcia</v>
      </c>
      <c r="C308" s="106">
        <f t="shared" si="39"/>
        <v>2020</v>
      </c>
      <c r="D308" s="101">
        <v>43867</v>
      </c>
      <c r="E308" s="102">
        <v>0.45833333333333331</v>
      </c>
      <c r="F308" s="102">
        <v>0.5</v>
      </c>
      <c r="G308" s="102">
        <v>0.375</v>
      </c>
      <c r="H308" s="102">
        <v>0.4375</v>
      </c>
      <c r="I308" s="90">
        <f t="shared" si="46"/>
        <v>1.0000000000000004</v>
      </c>
      <c r="J308" s="90">
        <f t="shared" si="43"/>
        <v>1.5</v>
      </c>
      <c r="K308" s="91">
        <f t="shared" si="40"/>
        <v>0.95833333333333348</v>
      </c>
      <c r="L308" s="91">
        <f t="shared" si="41"/>
        <v>3.9583333333333339</v>
      </c>
      <c r="M308" s="29">
        <f t="shared" si="47"/>
        <v>13</v>
      </c>
      <c r="N308" s="92">
        <f t="shared" si="44"/>
        <v>1.0000000000000004</v>
      </c>
      <c r="O308" s="104">
        <f t="shared" si="38"/>
        <v>1.016</v>
      </c>
      <c r="P308" s="105">
        <f t="shared" si="45"/>
        <v>9.2456000000000031</v>
      </c>
    </row>
    <row r="309" spans="2:16" x14ac:dyDescent="0.25">
      <c r="B309" s="88" t="str">
        <f t="shared" si="42"/>
        <v>Sitio Santa Lúcia</v>
      </c>
      <c r="C309" s="106">
        <f t="shared" si="39"/>
        <v>2020</v>
      </c>
      <c r="D309" s="101">
        <v>43868</v>
      </c>
      <c r="E309" s="102">
        <v>0.33333333333333331</v>
      </c>
      <c r="F309" s="102">
        <v>0.375</v>
      </c>
      <c r="G309" s="102">
        <v>0.41666666666666669</v>
      </c>
      <c r="H309" s="102">
        <v>0.47916666666666669</v>
      </c>
      <c r="I309" s="90">
        <f t="shared" si="46"/>
        <v>1.0000000000000004</v>
      </c>
      <c r="J309" s="90">
        <f t="shared" si="43"/>
        <v>1.5</v>
      </c>
      <c r="K309" s="91">
        <f t="shared" si="40"/>
        <v>0.95833333333333348</v>
      </c>
      <c r="L309" s="91">
        <f t="shared" si="41"/>
        <v>3.9583333333333339</v>
      </c>
      <c r="M309" s="29">
        <f t="shared" si="47"/>
        <v>13</v>
      </c>
      <c r="N309" s="92">
        <f t="shared" si="44"/>
        <v>1.0000000000000004</v>
      </c>
      <c r="O309" s="104">
        <f t="shared" ref="O309:O372" si="48">$D$21/1000</f>
        <v>1.016</v>
      </c>
      <c r="P309" s="105">
        <f t="shared" si="45"/>
        <v>9.2456000000000031</v>
      </c>
    </row>
    <row r="310" spans="2:16" x14ac:dyDescent="0.25">
      <c r="B310" s="88" t="str">
        <f t="shared" si="42"/>
        <v>Sitio Santa Lúcia</v>
      </c>
      <c r="C310" s="106">
        <f t="shared" ref="C310:C373" si="49">YEAR(D310)</f>
        <v>2020</v>
      </c>
      <c r="D310" s="101">
        <v>43869</v>
      </c>
      <c r="E310" s="102">
        <v>0.29166666666666669</v>
      </c>
      <c r="F310" s="102">
        <v>0.33333333333333298</v>
      </c>
      <c r="G310" s="102">
        <v>0.29166666666666669</v>
      </c>
      <c r="H310" s="102">
        <v>0.41666666666666602</v>
      </c>
      <c r="I310" s="90">
        <f t="shared" si="46"/>
        <v>0.99999999999999112</v>
      </c>
      <c r="J310" s="90">
        <f t="shared" si="43"/>
        <v>2.999999999999984</v>
      </c>
      <c r="K310" s="91">
        <f t="shared" si="40"/>
        <v>0.95833333333333348</v>
      </c>
      <c r="L310" s="91">
        <f t="shared" si="41"/>
        <v>3.9583333333333339</v>
      </c>
      <c r="M310" s="29">
        <f t="shared" si="47"/>
        <v>13</v>
      </c>
      <c r="N310" s="92">
        <f t="shared" si="44"/>
        <v>0.99999999999999112</v>
      </c>
      <c r="O310" s="104">
        <f t="shared" si="48"/>
        <v>1.016</v>
      </c>
      <c r="P310" s="105">
        <f t="shared" si="45"/>
        <v>9.2455999999999179</v>
      </c>
    </row>
    <row r="311" spans="2:16" x14ac:dyDescent="0.25">
      <c r="B311" s="88" t="str">
        <f t="shared" si="42"/>
        <v>Sitio Santa Lúcia</v>
      </c>
      <c r="C311" s="106">
        <f t="shared" si="49"/>
        <v>2020</v>
      </c>
      <c r="D311" s="101">
        <v>43870</v>
      </c>
      <c r="E311" s="102">
        <v>0.3125</v>
      </c>
      <c r="F311" s="102">
        <v>0.45833333333333331</v>
      </c>
      <c r="G311" s="102">
        <v>0.33333333333333331</v>
      </c>
      <c r="H311" s="102">
        <v>0.375</v>
      </c>
      <c r="I311" s="90">
        <f t="shared" si="46"/>
        <v>3.4999999999999996</v>
      </c>
      <c r="J311" s="90">
        <f t="shared" si="43"/>
        <v>1.0000000000000004</v>
      </c>
      <c r="K311" s="91">
        <f t="shared" ref="K311:K374" si="50">VLOOKUP(B311,$B$5:$J$17,5,FALSE)</f>
        <v>0.95833333333333348</v>
      </c>
      <c r="L311" s="91">
        <f t="shared" ref="L311:L374" si="51">VLOOKUP(B311,$B$5:$J$17,6,FALSE)</f>
        <v>3.9583333333333339</v>
      </c>
      <c r="M311" s="29">
        <f t="shared" si="47"/>
        <v>13</v>
      </c>
      <c r="N311" s="92">
        <f t="shared" si="44"/>
        <v>3.4999999999999996</v>
      </c>
      <c r="O311" s="104">
        <f t="shared" si="48"/>
        <v>1.016</v>
      </c>
      <c r="P311" s="105">
        <f t="shared" si="45"/>
        <v>32.359599999999993</v>
      </c>
    </row>
    <row r="312" spans="2:16" x14ac:dyDescent="0.25">
      <c r="B312" s="88" t="str">
        <f t="shared" si="42"/>
        <v>Sitio Santa Lúcia</v>
      </c>
      <c r="C312" s="106">
        <f t="shared" si="49"/>
        <v>2020</v>
      </c>
      <c r="D312" s="101">
        <v>43871</v>
      </c>
      <c r="E312" s="102">
        <v>0.41666666666666669</v>
      </c>
      <c r="F312" s="102">
        <v>0.47916666666666669</v>
      </c>
      <c r="G312" s="103">
        <v>0.29166666666666669</v>
      </c>
      <c r="H312" s="103">
        <v>0.41666666666666669</v>
      </c>
      <c r="I312" s="90">
        <f t="shared" si="46"/>
        <v>1.5</v>
      </c>
      <c r="J312" s="90">
        <f t="shared" si="43"/>
        <v>3</v>
      </c>
      <c r="K312" s="91">
        <f t="shared" si="50"/>
        <v>0.95833333333333348</v>
      </c>
      <c r="L312" s="91">
        <f t="shared" si="51"/>
        <v>3.9583333333333339</v>
      </c>
      <c r="M312" s="29">
        <f t="shared" si="47"/>
        <v>13</v>
      </c>
      <c r="N312" s="92">
        <f t="shared" si="44"/>
        <v>1.5</v>
      </c>
      <c r="O312" s="104">
        <f t="shared" si="48"/>
        <v>1.016</v>
      </c>
      <c r="P312" s="105">
        <f t="shared" si="45"/>
        <v>13.868399999999999</v>
      </c>
    </row>
    <row r="313" spans="2:16" x14ac:dyDescent="0.25">
      <c r="B313" s="88" t="str">
        <f t="shared" si="42"/>
        <v>Sitio Santa Lúcia</v>
      </c>
      <c r="C313" s="106">
        <f t="shared" si="49"/>
        <v>2020</v>
      </c>
      <c r="D313" s="101">
        <v>43872</v>
      </c>
      <c r="E313" s="102">
        <v>0.29166666666666669</v>
      </c>
      <c r="F313" s="102">
        <v>0.33333333333333298</v>
      </c>
      <c r="G313" s="102">
        <v>0.29166666666666669</v>
      </c>
      <c r="H313" s="102">
        <v>0.33333333333333298</v>
      </c>
      <c r="I313" s="90">
        <f t="shared" si="46"/>
        <v>0.99999999999999112</v>
      </c>
      <c r="J313" s="90">
        <f t="shared" si="43"/>
        <v>0.99999999999999112</v>
      </c>
      <c r="K313" s="91">
        <f t="shared" si="50"/>
        <v>0.95833333333333348</v>
      </c>
      <c r="L313" s="91">
        <f t="shared" si="51"/>
        <v>3.9583333333333339</v>
      </c>
      <c r="M313" s="29">
        <f t="shared" si="47"/>
        <v>13</v>
      </c>
      <c r="N313" s="92">
        <f t="shared" si="44"/>
        <v>0.99999999999999112</v>
      </c>
      <c r="O313" s="104">
        <f t="shared" si="48"/>
        <v>1.016</v>
      </c>
      <c r="P313" s="105">
        <f t="shared" si="45"/>
        <v>9.2455999999999179</v>
      </c>
    </row>
    <row r="314" spans="2:16" x14ac:dyDescent="0.25">
      <c r="B314" s="88" t="str">
        <f t="shared" si="42"/>
        <v>Sitio Santa Lúcia</v>
      </c>
      <c r="C314" s="106">
        <f t="shared" si="49"/>
        <v>2020</v>
      </c>
      <c r="D314" s="101">
        <v>43873</v>
      </c>
      <c r="E314" s="102">
        <v>0.45833333333333331</v>
      </c>
      <c r="F314" s="102">
        <v>0.5</v>
      </c>
      <c r="G314" s="102">
        <v>0.31944444444444448</v>
      </c>
      <c r="H314" s="102">
        <v>0.375</v>
      </c>
      <c r="I314" s="90">
        <f t="shared" si="46"/>
        <v>1.0000000000000004</v>
      </c>
      <c r="J314" s="90">
        <f t="shared" si="43"/>
        <v>1.3333333333333326</v>
      </c>
      <c r="K314" s="91">
        <f t="shared" si="50"/>
        <v>0.95833333333333348</v>
      </c>
      <c r="L314" s="91">
        <f t="shared" si="51"/>
        <v>3.9583333333333339</v>
      </c>
      <c r="M314" s="29">
        <f t="shared" si="47"/>
        <v>13</v>
      </c>
      <c r="N314" s="92">
        <f t="shared" si="44"/>
        <v>1.0000000000000004</v>
      </c>
      <c r="O314" s="104">
        <f t="shared" si="48"/>
        <v>1.016</v>
      </c>
      <c r="P314" s="105">
        <f t="shared" si="45"/>
        <v>9.2456000000000031</v>
      </c>
    </row>
    <row r="315" spans="2:16" x14ac:dyDescent="0.25">
      <c r="B315" s="88" t="str">
        <f t="shared" si="42"/>
        <v>Sitio Santa Lúcia</v>
      </c>
      <c r="C315" s="106">
        <f t="shared" si="49"/>
        <v>2020</v>
      </c>
      <c r="D315" s="101">
        <v>43874</v>
      </c>
      <c r="E315" s="102">
        <v>0.29166666666666669</v>
      </c>
      <c r="F315" s="102">
        <v>0.45833333333333331</v>
      </c>
      <c r="G315" s="102">
        <v>0.33333333333333331</v>
      </c>
      <c r="H315" s="102">
        <v>0.40277777777777773</v>
      </c>
      <c r="I315" s="90">
        <f t="shared" si="46"/>
        <v>3.9999999999999991</v>
      </c>
      <c r="J315" s="90">
        <f t="shared" si="43"/>
        <v>1.6666666666666661</v>
      </c>
      <c r="K315" s="91">
        <f t="shared" si="50"/>
        <v>0.95833333333333348</v>
      </c>
      <c r="L315" s="91">
        <f t="shared" si="51"/>
        <v>3.9583333333333339</v>
      </c>
      <c r="M315" s="29">
        <f t="shared" si="47"/>
        <v>13</v>
      </c>
      <c r="N315" s="92">
        <f t="shared" si="44"/>
        <v>3.9999999999999991</v>
      </c>
      <c r="O315" s="104">
        <f t="shared" si="48"/>
        <v>1.016</v>
      </c>
      <c r="P315" s="105">
        <f t="shared" si="45"/>
        <v>36.982399999999991</v>
      </c>
    </row>
    <row r="316" spans="2:16" x14ac:dyDescent="0.25">
      <c r="B316" s="88" t="str">
        <f t="shared" si="42"/>
        <v>Sitio Santa Lúcia</v>
      </c>
      <c r="C316" s="106">
        <f t="shared" si="49"/>
        <v>2020</v>
      </c>
      <c r="D316" s="101">
        <v>43875</v>
      </c>
      <c r="E316" s="102">
        <v>0.41666666666666669</v>
      </c>
      <c r="F316" s="102">
        <v>0.4861111111111111</v>
      </c>
      <c r="G316" s="102">
        <v>0.41666666666666669</v>
      </c>
      <c r="H316" s="102">
        <v>0.5</v>
      </c>
      <c r="I316" s="90">
        <f t="shared" si="46"/>
        <v>1.6666666666666661</v>
      </c>
      <c r="J316" s="90">
        <f t="shared" si="43"/>
        <v>1.9999999999999996</v>
      </c>
      <c r="K316" s="91">
        <f t="shared" si="50"/>
        <v>0.95833333333333348</v>
      </c>
      <c r="L316" s="91">
        <f t="shared" si="51"/>
        <v>3.9583333333333339</v>
      </c>
      <c r="M316" s="29">
        <f t="shared" si="47"/>
        <v>13</v>
      </c>
      <c r="N316" s="92">
        <f t="shared" si="44"/>
        <v>1.6666666666666661</v>
      </c>
      <c r="O316" s="104">
        <f t="shared" si="48"/>
        <v>1.016</v>
      </c>
      <c r="P316" s="105">
        <f t="shared" si="45"/>
        <v>15.409333333333326</v>
      </c>
    </row>
    <row r="317" spans="2:16" x14ac:dyDescent="0.25">
      <c r="B317" s="88" t="str">
        <f t="shared" si="42"/>
        <v>Sitio Santa Lúcia</v>
      </c>
      <c r="C317" s="106">
        <f t="shared" si="49"/>
        <v>2020</v>
      </c>
      <c r="D317" s="101">
        <v>43876</v>
      </c>
      <c r="E317" s="102">
        <v>0.4375</v>
      </c>
      <c r="F317" s="102">
        <v>0.4861111111111111</v>
      </c>
      <c r="G317" s="102">
        <v>0.33333333333333331</v>
      </c>
      <c r="H317" s="102">
        <v>0.41666666666666669</v>
      </c>
      <c r="I317" s="90">
        <f t="shared" si="46"/>
        <v>1.1666666666666665</v>
      </c>
      <c r="J317" s="90">
        <f t="shared" si="43"/>
        <v>2.0000000000000009</v>
      </c>
      <c r="K317" s="91">
        <f t="shared" si="50"/>
        <v>0.95833333333333348</v>
      </c>
      <c r="L317" s="91">
        <f t="shared" si="51"/>
        <v>3.9583333333333339</v>
      </c>
      <c r="M317" s="29">
        <f t="shared" si="47"/>
        <v>13</v>
      </c>
      <c r="N317" s="92">
        <f t="shared" si="44"/>
        <v>1.1666666666666665</v>
      </c>
      <c r="O317" s="104">
        <f t="shared" si="48"/>
        <v>1.016</v>
      </c>
      <c r="P317" s="105">
        <f t="shared" si="45"/>
        <v>10.786533333333331</v>
      </c>
    </row>
    <row r="318" spans="2:16" x14ac:dyDescent="0.25">
      <c r="B318" s="88" t="str">
        <f t="shared" si="42"/>
        <v>Sitio Santa Lúcia</v>
      </c>
      <c r="C318" s="106">
        <f t="shared" si="49"/>
        <v>2020</v>
      </c>
      <c r="D318" s="101">
        <v>43877</v>
      </c>
      <c r="E318" s="102">
        <v>0.33333333333333331</v>
      </c>
      <c r="F318" s="102">
        <v>0.41666666666666669</v>
      </c>
      <c r="G318" s="102">
        <v>0.45833333333333298</v>
      </c>
      <c r="H318" s="102">
        <v>0.5</v>
      </c>
      <c r="I318" s="90">
        <f t="shared" si="46"/>
        <v>2.0000000000000009</v>
      </c>
      <c r="J318" s="90">
        <f t="shared" si="43"/>
        <v>1.0000000000000084</v>
      </c>
      <c r="K318" s="91">
        <f t="shared" si="50"/>
        <v>0.95833333333333348</v>
      </c>
      <c r="L318" s="91">
        <f t="shared" si="51"/>
        <v>3.9583333333333339</v>
      </c>
      <c r="M318" s="29">
        <f t="shared" si="47"/>
        <v>13</v>
      </c>
      <c r="N318" s="92">
        <f t="shared" si="44"/>
        <v>2.0000000000000009</v>
      </c>
      <c r="O318" s="104">
        <f t="shared" si="48"/>
        <v>1.016</v>
      </c>
      <c r="P318" s="105">
        <f t="shared" si="45"/>
        <v>18.491200000000006</v>
      </c>
    </row>
    <row r="319" spans="2:16" x14ac:dyDescent="0.25">
      <c r="B319" s="88" t="str">
        <f t="shared" si="42"/>
        <v>Sitio Santa Lúcia</v>
      </c>
      <c r="C319" s="106">
        <f t="shared" si="49"/>
        <v>2020</v>
      </c>
      <c r="D319" s="101">
        <v>43878</v>
      </c>
      <c r="E319" s="102">
        <v>0.375</v>
      </c>
      <c r="F319" s="102">
        <v>0.45833333333333331</v>
      </c>
      <c r="G319" s="102">
        <v>0.375</v>
      </c>
      <c r="H319" s="102">
        <v>0.41666666666666669</v>
      </c>
      <c r="I319" s="90">
        <f t="shared" si="46"/>
        <v>1.9999999999999996</v>
      </c>
      <c r="J319" s="90">
        <f t="shared" si="43"/>
        <v>1.0000000000000004</v>
      </c>
      <c r="K319" s="91">
        <f t="shared" si="50"/>
        <v>0.95833333333333348</v>
      </c>
      <c r="L319" s="91">
        <f t="shared" si="51"/>
        <v>3.9583333333333339</v>
      </c>
      <c r="M319" s="29">
        <f t="shared" si="47"/>
        <v>13</v>
      </c>
      <c r="N319" s="92">
        <f t="shared" si="44"/>
        <v>1.9999999999999996</v>
      </c>
      <c r="O319" s="104">
        <f t="shared" si="48"/>
        <v>1.016</v>
      </c>
      <c r="P319" s="105">
        <f t="shared" si="45"/>
        <v>18.491199999999996</v>
      </c>
    </row>
    <row r="320" spans="2:16" x14ac:dyDescent="0.25">
      <c r="B320" s="88" t="str">
        <f t="shared" si="42"/>
        <v>Sitio Santa Lúcia</v>
      </c>
      <c r="C320" s="106">
        <f t="shared" si="49"/>
        <v>2020</v>
      </c>
      <c r="D320" s="101">
        <v>43879</v>
      </c>
      <c r="E320" s="102">
        <v>0.41666666666666702</v>
      </c>
      <c r="F320" s="103">
        <v>0.5</v>
      </c>
      <c r="G320" s="103">
        <v>0.41666666666666669</v>
      </c>
      <c r="H320" s="103">
        <v>0.5</v>
      </c>
      <c r="I320" s="90">
        <f t="shared" si="46"/>
        <v>1.9999999999999916</v>
      </c>
      <c r="J320" s="90">
        <f t="shared" si="43"/>
        <v>1.9999999999999996</v>
      </c>
      <c r="K320" s="91">
        <f t="shared" si="50"/>
        <v>0.95833333333333348</v>
      </c>
      <c r="L320" s="91">
        <f t="shared" si="51"/>
        <v>3.9583333333333339</v>
      </c>
      <c r="M320" s="29">
        <f t="shared" si="47"/>
        <v>13</v>
      </c>
      <c r="N320" s="92">
        <f t="shared" si="44"/>
        <v>1.9999999999999916</v>
      </c>
      <c r="O320" s="104">
        <f t="shared" si="48"/>
        <v>1.016</v>
      </c>
      <c r="P320" s="105">
        <f t="shared" si="45"/>
        <v>18.491199999999921</v>
      </c>
    </row>
    <row r="321" spans="2:16" x14ac:dyDescent="0.25">
      <c r="B321" s="88" t="str">
        <f t="shared" si="42"/>
        <v>Sitio Santa Lúcia</v>
      </c>
      <c r="C321" s="106">
        <f t="shared" si="49"/>
        <v>2020</v>
      </c>
      <c r="D321" s="101">
        <v>43880</v>
      </c>
      <c r="E321" s="102">
        <v>0.375</v>
      </c>
      <c r="F321" s="102">
        <v>0.44444444444444442</v>
      </c>
      <c r="G321" s="102">
        <v>0.375</v>
      </c>
      <c r="H321" s="102">
        <v>0.44444444444444442</v>
      </c>
      <c r="I321" s="90">
        <f t="shared" si="46"/>
        <v>1.6666666666666661</v>
      </c>
      <c r="J321" s="90">
        <f t="shared" si="43"/>
        <v>1.6666666666666661</v>
      </c>
      <c r="K321" s="91">
        <f t="shared" si="50"/>
        <v>0.95833333333333348</v>
      </c>
      <c r="L321" s="91">
        <f t="shared" si="51"/>
        <v>3.9583333333333339</v>
      </c>
      <c r="M321" s="29">
        <f t="shared" si="47"/>
        <v>13</v>
      </c>
      <c r="N321" s="92">
        <f t="shared" si="44"/>
        <v>1.6666666666666661</v>
      </c>
      <c r="O321" s="104">
        <f t="shared" si="48"/>
        <v>1.016</v>
      </c>
      <c r="P321" s="105">
        <f t="shared" si="45"/>
        <v>15.409333333333326</v>
      </c>
    </row>
    <row r="322" spans="2:16" x14ac:dyDescent="0.25">
      <c r="B322" s="88" t="str">
        <f t="shared" si="42"/>
        <v>Sitio Santa Lúcia</v>
      </c>
      <c r="C322" s="106">
        <f t="shared" si="49"/>
        <v>2020</v>
      </c>
      <c r="D322" s="101">
        <v>43881</v>
      </c>
      <c r="E322" s="102">
        <v>0.33333333333333331</v>
      </c>
      <c r="F322" s="102">
        <v>0.40972222222222227</v>
      </c>
      <c r="G322" s="102">
        <v>0.29166666666666669</v>
      </c>
      <c r="H322" s="102">
        <v>0.33333333333333331</v>
      </c>
      <c r="I322" s="90">
        <f t="shared" si="46"/>
        <v>1.8333333333333348</v>
      </c>
      <c r="J322" s="90">
        <f t="shared" si="43"/>
        <v>0.99999999999999911</v>
      </c>
      <c r="K322" s="91">
        <f t="shared" si="50"/>
        <v>0.95833333333333348</v>
      </c>
      <c r="L322" s="91">
        <f t="shared" si="51"/>
        <v>3.9583333333333339</v>
      </c>
      <c r="M322" s="29">
        <f t="shared" si="47"/>
        <v>13</v>
      </c>
      <c r="N322" s="92">
        <f t="shared" si="44"/>
        <v>1.8333333333333348</v>
      </c>
      <c r="O322" s="104">
        <f t="shared" si="48"/>
        <v>1.016</v>
      </c>
      <c r="P322" s="105">
        <f t="shared" si="45"/>
        <v>16.950266666666678</v>
      </c>
    </row>
    <row r="323" spans="2:16" x14ac:dyDescent="0.25">
      <c r="B323" s="88" t="str">
        <f t="shared" si="42"/>
        <v>Sitio Santa Lúcia</v>
      </c>
      <c r="C323" s="106">
        <f t="shared" si="49"/>
        <v>2020</v>
      </c>
      <c r="D323" s="101">
        <v>43882</v>
      </c>
      <c r="E323" s="102">
        <v>0.41666666666666669</v>
      </c>
      <c r="F323" s="102">
        <v>0.45833333333333298</v>
      </c>
      <c r="G323" s="102">
        <v>0.45833333333333298</v>
      </c>
      <c r="H323" s="102">
        <v>0.5</v>
      </c>
      <c r="I323" s="90">
        <f t="shared" si="46"/>
        <v>0.99999999999999112</v>
      </c>
      <c r="J323" s="90">
        <f t="shared" si="43"/>
        <v>1.0000000000000084</v>
      </c>
      <c r="K323" s="91">
        <f t="shared" si="50"/>
        <v>0.95833333333333348</v>
      </c>
      <c r="L323" s="91">
        <f t="shared" si="51"/>
        <v>3.9583333333333339</v>
      </c>
      <c r="M323" s="29">
        <f t="shared" si="47"/>
        <v>13</v>
      </c>
      <c r="N323" s="92">
        <f t="shared" si="44"/>
        <v>0.99999999999999112</v>
      </c>
      <c r="O323" s="104">
        <f t="shared" si="48"/>
        <v>1.016</v>
      </c>
      <c r="P323" s="105">
        <f t="shared" si="45"/>
        <v>9.2455999999999179</v>
      </c>
    </row>
    <row r="324" spans="2:16" x14ac:dyDescent="0.25">
      <c r="B324" s="88" t="str">
        <f t="shared" si="42"/>
        <v>Sitio Santa Lúcia</v>
      </c>
      <c r="C324" s="106">
        <f t="shared" si="49"/>
        <v>2020</v>
      </c>
      <c r="D324" s="101">
        <v>43883</v>
      </c>
      <c r="E324" s="102">
        <v>0.375</v>
      </c>
      <c r="F324" s="103">
        <v>0.40972222222222227</v>
      </c>
      <c r="G324" s="103">
        <v>0.29166666666666669</v>
      </c>
      <c r="H324" s="103">
        <v>0.375</v>
      </c>
      <c r="I324" s="90">
        <f t="shared" si="46"/>
        <v>0.83333333333333437</v>
      </c>
      <c r="J324" s="90">
        <f t="shared" si="43"/>
        <v>1.9999999999999996</v>
      </c>
      <c r="K324" s="91">
        <f t="shared" si="50"/>
        <v>0.95833333333333348</v>
      </c>
      <c r="L324" s="91">
        <f t="shared" si="51"/>
        <v>3.9583333333333339</v>
      </c>
      <c r="M324" s="29">
        <f t="shared" si="47"/>
        <v>13</v>
      </c>
      <c r="N324" s="92">
        <f t="shared" si="44"/>
        <v>0.83333333333333437</v>
      </c>
      <c r="O324" s="104">
        <f t="shared" si="48"/>
        <v>1.016</v>
      </c>
      <c r="P324" s="105">
        <f t="shared" si="45"/>
        <v>7.7046666666666752</v>
      </c>
    </row>
    <row r="325" spans="2:16" x14ac:dyDescent="0.25">
      <c r="B325" s="88" t="str">
        <f t="shared" si="42"/>
        <v>Sitio Santa Lúcia</v>
      </c>
      <c r="C325" s="106">
        <f t="shared" si="49"/>
        <v>2020</v>
      </c>
      <c r="D325" s="101">
        <v>43884</v>
      </c>
      <c r="E325" s="102">
        <v>0.33333333333333331</v>
      </c>
      <c r="F325" s="102">
        <v>0.375</v>
      </c>
      <c r="G325" s="102">
        <v>0.29166666666666669</v>
      </c>
      <c r="H325" s="102">
        <v>0.39583333333333331</v>
      </c>
      <c r="I325" s="90">
        <f t="shared" si="46"/>
        <v>1.0000000000000004</v>
      </c>
      <c r="J325" s="90">
        <f t="shared" si="43"/>
        <v>2.4999999999999991</v>
      </c>
      <c r="K325" s="91">
        <f t="shared" si="50"/>
        <v>0.95833333333333348</v>
      </c>
      <c r="L325" s="91">
        <f t="shared" si="51"/>
        <v>3.9583333333333339</v>
      </c>
      <c r="M325" s="29">
        <f t="shared" si="47"/>
        <v>13</v>
      </c>
      <c r="N325" s="92">
        <f t="shared" si="44"/>
        <v>1.0000000000000004</v>
      </c>
      <c r="O325" s="104">
        <f t="shared" si="48"/>
        <v>1.016</v>
      </c>
      <c r="P325" s="105">
        <f t="shared" si="45"/>
        <v>9.2456000000000031</v>
      </c>
    </row>
    <row r="326" spans="2:16" x14ac:dyDescent="0.25">
      <c r="B326" s="88" t="str">
        <f t="shared" si="42"/>
        <v>Sitio Santa Lúcia</v>
      </c>
      <c r="C326" s="106">
        <f t="shared" si="49"/>
        <v>2020</v>
      </c>
      <c r="D326" s="101">
        <v>43885</v>
      </c>
      <c r="E326" s="102">
        <v>0.41666666666666669</v>
      </c>
      <c r="F326" s="102">
        <v>0.45833333333333298</v>
      </c>
      <c r="G326" s="102">
        <v>0.47916666666666669</v>
      </c>
      <c r="H326" s="102">
        <v>0.5</v>
      </c>
      <c r="I326" s="90">
        <f t="shared" si="46"/>
        <v>0.99999999999999112</v>
      </c>
      <c r="J326" s="90">
        <f t="shared" si="43"/>
        <v>0.49999999999999956</v>
      </c>
      <c r="K326" s="91">
        <f t="shared" si="50"/>
        <v>0.95833333333333348</v>
      </c>
      <c r="L326" s="91">
        <f t="shared" si="51"/>
        <v>3.9583333333333339</v>
      </c>
      <c r="M326" s="29">
        <f t="shared" si="47"/>
        <v>13</v>
      </c>
      <c r="N326" s="92">
        <f t="shared" si="44"/>
        <v>0.99999999999999112</v>
      </c>
      <c r="O326" s="104">
        <f t="shared" si="48"/>
        <v>1.016</v>
      </c>
      <c r="P326" s="105">
        <f t="shared" si="45"/>
        <v>9.2455999999999179</v>
      </c>
    </row>
    <row r="327" spans="2:16" x14ac:dyDescent="0.25">
      <c r="B327" s="88" t="str">
        <f t="shared" si="42"/>
        <v>Sitio Santa Lúcia</v>
      </c>
      <c r="C327" s="106">
        <f t="shared" si="49"/>
        <v>2020</v>
      </c>
      <c r="D327" s="101">
        <v>43886</v>
      </c>
      <c r="E327" s="102">
        <v>0.39583333333333298</v>
      </c>
      <c r="F327" s="102">
        <v>0.44444444444444442</v>
      </c>
      <c r="G327" s="102">
        <v>0.33333333333333331</v>
      </c>
      <c r="H327" s="102">
        <v>0.375</v>
      </c>
      <c r="I327" s="90">
        <f t="shared" si="46"/>
        <v>1.1666666666666745</v>
      </c>
      <c r="J327" s="90">
        <f t="shared" si="43"/>
        <v>1.0000000000000004</v>
      </c>
      <c r="K327" s="91">
        <f t="shared" si="50"/>
        <v>0.95833333333333348</v>
      </c>
      <c r="L327" s="91">
        <f t="shared" si="51"/>
        <v>3.9583333333333339</v>
      </c>
      <c r="M327" s="29">
        <f t="shared" si="47"/>
        <v>13</v>
      </c>
      <c r="N327" s="92">
        <f t="shared" si="44"/>
        <v>1.1666666666666745</v>
      </c>
      <c r="O327" s="104">
        <f t="shared" si="48"/>
        <v>1.016</v>
      </c>
      <c r="P327" s="105">
        <f t="shared" si="45"/>
        <v>10.786533333333406</v>
      </c>
    </row>
    <row r="328" spans="2:16" x14ac:dyDescent="0.25">
      <c r="B328" s="88" t="str">
        <f t="shared" si="42"/>
        <v>Sitio Santa Lúcia</v>
      </c>
      <c r="C328" s="106">
        <f t="shared" si="49"/>
        <v>2020</v>
      </c>
      <c r="D328" s="101">
        <v>43887</v>
      </c>
      <c r="E328" s="102">
        <v>0</v>
      </c>
      <c r="F328" s="102">
        <v>0</v>
      </c>
      <c r="G328" s="102">
        <v>0</v>
      </c>
      <c r="H328" s="102">
        <v>0</v>
      </c>
      <c r="I328" s="90">
        <f t="shared" si="46"/>
        <v>0</v>
      </c>
      <c r="J328" s="90">
        <f t="shared" si="43"/>
        <v>0</v>
      </c>
      <c r="K328" s="91">
        <f t="shared" si="50"/>
        <v>0.95833333333333348</v>
      </c>
      <c r="L328" s="91">
        <f t="shared" si="51"/>
        <v>3.9583333333333339</v>
      </c>
      <c r="M328" s="29">
        <f t="shared" si="47"/>
        <v>13</v>
      </c>
      <c r="N328" s="92">
        <f t="shared" si="44"/>
        <v>0</v>
      </c>
      <c r="O328" s="104">
        <f t="shared" si="48"/>
        <v>1.016</v>
      </c>
      <c r="P328" s="105">
        <f t="shared" si="45"/>
        <v>0</v>
      </c>
    </row>
    <row r="329" spans="2:16" x14ac:dyDescent="0.25">
      <c r="B329" s="88" t="str">
        <f t="shared" si="42"/>
        <v>Sitio Santa Lúcia</v>
      </c>
      <c r="C329" s="106">
        <f t="shared" si="49"/>
        <v>2020</v>
      </c>
      <c r="D329" s="101">
        <v>43888</v>
      </c>
      <c r="E329" s="102">
        <v>0.29166666666666669</v>
      </c>
      <c r="F329" s="103">
        <v>0.33333333333333298</v>
      </c>
      <c r="G329" s="103">
        <v>0.3611111111111111</v>
      </c>
      <c r="H329" s="103">
        <v>0.40972222222222227</v>
      </c>
      <c r="I329" s="90">
        <f t="shared" si="46"/>
        <v>0.99999999999999112</v>
      </c>
      <c r="J329" s="90">
        <f t="shared" si="43"/>
        <v>1.1666666666666679</v>
      </c>
      <c r="K329" s="91">
        <f t="shared" si="50"/>
        <v>0.95833333333333348</v>
      </c>
      <c r="L329" s="91">
        <f t="shared" si="51"/>
        <v>3.9583333333333339</v>
      </c>
      <c r="M329" s="29">
        <f t="shared" si="47"/>
        <v>13</v>
      </c>
      <c r="N329" s="92">
        <f t="shared" si="44"/>
        <v>0.99999999999999112</v>
      </c>
      <c r="O329" s="104">
        <f t="shared" si="48"/>
        <v>1.016</v>
      </c>
      <c r="P329" s="105">
        <f t="shared" si="45"/>
        <v>9.2455999999999179</v>
      </c>
    </row>
    <row r="330" spans="2:16" x14ac:dyDescent="0.25">
      <c r="B330" s="88" t="str">
        <f t="shared" si="42"/>
        <v>Sitio Santa Lúcia</v>
      </c>
      <c r="C330" s="106">
        <f t="shared" si="49"/>
        <v>2020</v>
      </c>
      <c r="D330" s="101">
        <v>43889</v>
      </c>
      <c r="E330" s="102">
        <v>0.41666666666666669</v>
      </c>
      <c r="F330" s="102">
        <v>0.4861111111111111</v>
      </c>
      <c r="G330" s="102">
        <v>0.29166666666666669</v>
      </c>
      <c r="H330" s="102">
        <v>0.33333333333333298</v>
      </c>
      <c r="I330" s="90">
        <f t="shared" si="46"/>
        <v>1.6666666666666661</v>
      </c>
      <c r="J330" s="90">
        <f t="shared" si="43"/>
        <v>0.99999999999999112</v>
      </c>
      <c r="K330" s="91">
        <f t="shared" si="50"/>
        <v>0.95833333333333348</v>
      </c>
      <c r="L330" s="91">
        <f t="shared" si="51"/>
        <v>3.9583333333333339</v>
      </c>
      <c r="M330" s="29">
        <f t="shared" si="47"/>
        <v>13</v>
      </c>
      <c r="N330" s="92">
        <f t="shared" si="44"/>
        <v>1.6666666666666661</v>
      </c>
      <c r="O330" s="104">
        <f t="shared" si="48"/>
        <v>1.016</v>
      </c>
      <c r="P330" s="105">
        <f t="shared" si="45"/>
        <v>15.409333333333326</v>
      </c>
    </row>
    <row r="331" spans="2:16" x14ac:dyDescent="0.25">
      <c r="B331" s="88" t="str">
        <f t="shared" si="42"/>
        <v>Sitio Santa Lúcia</v>
      </c>
      <c r="C331" s="106">
        <f t="shared" si="49"/>
        <v>2020</v>
      </c>
      <c r="D331" s="101">
        <v>43890</v>
      </c>
      <c r="E331" s="102">
        <v>0.45833333333333331</v>
      </c>
      <c r="F331" s="102">
        <v>0.5</v>
      </c>
      <c r="G331" s="102">
        <v>0.33333333333333331</v>
      </c>
      <c r="H331" s="102">
        <v>0.375</v>
      </c>
      <c r="I331" s="90">
        <f t="shared" si="46"/>
        <v>1.0000000000000004</v>
      </c>
      <c r="J331" s="90">
        <f t="shared" si="43"/>
        <v>1.0000000000000004</v>
      </c>
      <c r="K331" s="91">
        <f t="shared" si="50"/>
        <v>0.95833333333333348</v>
      </c>
      <c r="L331" s="91">
        <f t="shared" si="51"/>
        <v>3.9583333333333339</v>
      </c>
      <c r="M331" s="29">
        <f t="shared" si="47"/>
        <v>13</v>
      </c>
      <c r="N331" s="92">
        <f t="shared" si="44"/>
        <v>1.0000000000000004</v>
      </c>
      <c r="O331" s="104">
        <f t="shared" si="48"/>
        <v>1.016</v>
      </c>
      <c r="P331" s="105">
        <f t="shared" si="45"/>
        <v>9.2456000000000031</v>
      </c>
    </row>
    <row r="332" spans="2:16" x14ac:dyDescent="0.25">
      <c r="B332" s="88" t="str">
        <f t="shared" si="42"/>
        <v>Sitio Santa Lúcia</v>
      </c>
      <c r="C332" s="106">
        <f t="shared" si="49"/>
        <v>2020</v>
      </c>
      <c r="D332" s="101">
        <v>43891</v>
      </c>
      <c r="E332" s="102">
        <v>0.29166666666666669</v>
      </c>
      <c r="F332" s="102">
        <v>0.33333333333333298</v>
      </c>
      <c r="G332" s="102">
        <v>0.375</v>
      </c>
      <c r="H332" s="102">
        <v>0.41666666666666702</v>
      </c>
      <c r="I332" s="90">
        <f t="shared" si="46"/>
        <v>0.99999999999999112</v>
      </c>
      <c r="J332" s="90">
        <f t="shared" si="43"/>
        <v>1.0000000000000084</v>
      </c>
      <c r="K332" s="91">
        <f t="shared" si="50"/>
        <v>0.95833333333333348</v>
      </c>
      <c r="L332" s="91">
        <f t="shared" si="51"/>
        <v>3.9583333333333339</v>
      </c>
      <c r="M332" s="29">
        <f t="shared" si="47"/>
        <v>13</v>
      </c>
      <c r="N332" s="92">
        <f t="shared" si="44"/>
        <v>0.99999999999999112</v>
      </c>
      <c r="O332" s="104">
        <f t="shared" si="48"/>
        <v>1.016</v>
      </c>
      <c r="P332" s="105">
        <f t="shared" si="45"/>
        <v>9.2455999999999179</v>
      </c>
    </row>
    <row r="333" spans="2:16" x14ac:dyDescent="0.25">
      <c r="B333" s="88" t="str">
        <f t="shared" si="42"/>
        <v>Sitio Santa Lúcia</v>
      </c>
      <c r="C333" s="106">
        <f t="shared" si="49"/>
        <v>2020</v>
      </c>
      <c r="D333" s="101">
        <v>43892</v>
      </c>
      <c r="E333" s="102">
        <v>0.41666666666666669</v>
      </c>
      <c r="F333" s="102">
        <v>0.4861111111111111</v>
      </c>
      <c r="G333" s="102">
        <v>0.45833333333333331</v>
      </c>
      <c r="H333" s="102">
        <v>0.5</v>
      </c>
      <c r="I333" s="90">
        <f t="shared" si="46"/>
        <v>1.6666666666666661</v>
      </c>
      <c r="J333" s="90">
        <f t="shared" si="43"/>
        <v>1.0000000000000004</v>
      </c>
      <c r="K333" s="91">
        <f t="shared" si="50"/>
        <v>0.95833333333333348</v>
      </c>
      <c r="L333" s="91">
        <f t="shared" si="51"/>
        <v>3.9583333333333339</v>
      </c>
      <c r="M333" s="29">
        <f t="shared" si="47"/>
        <v>13</v>
      </c>
      <c r="N333" s="92">
        <f t="shared" si="44"/>
        <v>1.6666666666666661</v>
      </c>
      <c r="O333" s="104">
        <f t="shared" si="48"/>
        <v>1.016</v>
      </c>
      <c r="P333" s="105">
        <f t="shared" si="45"/>
        <v>15.409333333333326</v>
      </c>
    </row>
    <row r="334" spans="2:16" x14ac:dyDescent="0.25">
      <c r="B334" s="88" t="str">
        <f t="shared" si="42"/>
        <v>Sitio Santa Lúcia</v>
      </c>
      <c r="C334" s="106">
        <f t="shared" si="49"/>
        <v>2020</v>
      </c>
      <c r="D334" s="101">
        <v>43893</v>
      </c>
      <c r="E334" s="102">
        <v>0</v>
      </c>
      <c r="F334" s="102">
        <v>0</v>
      </c>
      <c r="G334" s="103">
        <v>0</v>
      </c>
      <c r="H334" s="103">
        <v>0</v>
      </c>
      <c r="I334" s="90">
        <f t="shared" si="46"/>
        <v>0</v>
      </c>
      <c r="J334" s="90">
        <f t="shared" si="43"/>
        <v>0</v>
      </c>
      <c r="K334" s="91">
        <f t="shared" si="50"/>
        <v>0.95833333333333348</v>
      </c>
      <c r="L334" s="91">
        <f t="shared" si="51"/>
        <v>3.9583333333333339</v>
      </c>
      <c r="M334" s="29">
        <f t="shared" si="47"/>
        <v>13</v>
      </c>
      <c r="N334" s="92">
        <f t="shared" si="44"/>
        <v>0</v>
      </c>
      <c r="O334" s="104">
        <f t="shared" si="48"/>
        <v>1.016</v>
      </c>
      <c r="P334" s="105">
        <f t="shared" si="45"/>
        <v>0</v>
      </c>
    </row>
    <row r="335" spans="2:16" x14ac:dyDescent="0.25">
      <c r="B335" s="88" t="str">
        <f t="shared" si="42"/>
        <v>Sitio Santa Lúcia</v>
      </c>
      <c r="C335" s="106">
        <f t="shared" si="49"/>
        <v>2020</v>
      </c>
      <c r="D335" s="101">
        <v>43894</v>
      </c>
      <c r="E335" s="102">
        <v>0.41666666666666669</v>
      </c>
      <c r="F335" s="102">
        <v>0.45833333333333298</v>
      </c>
      <c r="G335" s="102">
        <v>0.375</v>
      </c>
      <c r="H335" s="102">
        <v>0.45833333333333298</v>
      </c>
      <c r="I335" s="90">
        <f t="shared" si="46"/>
        <v>0.99999999999999112</v>
      </c>
      <c r="J335" s="90">
        <f t="shared" si="43"/>
        <v>1.9999999999999916</v>
      </c>
      <c r="K335" s="91">
        <f t="shared" si="50"/>
        <v>0.95833333333333348</v>
      </c>
      <c r="L335" s="91">
        <f t="shared" si="51"/>
        <v>3.9583333333333339</v>
      </c>
      <c r="M335" s="29">
        <f t="shared" si="47"/>
        <v>13</v>
      </c>
      <c r="N335" s="92">
        <f t="shared" si="44"/>
        <v>0.99999999999999112</v>
      </c>
      <c r="O335" s="104">
        <f t="shared" si="48"/>
        <v>1.016</v>
      </c>
      <c r="P335" s="105">
        <f t="shared" si="45"/>
        <v>9.2455999999999179</v>
      </c>
    </row>
    <row r="336" spans="2:16" x14ac:dyDescent="0.25">
      <c r="B336" s="88" t="str">
        <f t="shared" si="42"/>
        <v>Sitio Santa Lúcia</v>
      </c>
      <c r="C336" s="106">
        <f t="shared" si="49"/>
        <v>2020</v>
      </c>
      <c r="D336" s="101">
        <v>43895</v>
      </c>
      <c r="E336" s="102">
        <v>0.33333333333333331</v>
      </c>
      <c r="F336" s="102">
        <v>0.39583333333333331</v>
      </c>
      <c r="G336" s="102">
        <v>0.41666666666666669</v>
      </c>
      <c r="H336" s="102">
        <v>0.47916666666666669</v>
      </c>
      <c r="I336" s="90">
        <f t="shared" si="46"/>
        <v>1.5</v>
      </c>
      <c r="J336" s="90">
        <f t="shared" si="43"/>
        <v>1.5</v>
      </c>
      <c r="K336" s="91">
        <f t="shared" si="50"/>
        <v>0.95833333333333348</v>
      </c>
      <c r="L336" s="91">
        <f t="shared" si="51"/>
        <v>3.9583333333333339</v>
      </c>
      <c r="M336" s="29">
        <f t="shared" si="47"/>
        <v>13</v>
      </c>
      <c r="N336" s="92">
        <f t="shared" si="44"/>
        <v>1.5</v>
      </c>
      <c r="O336" s="104">
        <f t="shared" si="48"/>
        <v>1.016</v>
      </c>
      <c r="P336" s="105">
        <f t="shared" si="45"/>
        <v>13.868399999999999</v>
      </c>
    </row>
    <row r="337" spans="2:16" x14ac:dyDescent="0.25">
      <c r="B337" s="88" t="str">
        <f t="shared" si="42"/>
        <v>Sitio Santa Lúcia</v>
      </c>
      <c r="C337" s="106">
        <f t="shared" si="49"/>
        <v>2020</v>
      </c>
      <c r="D337" s="101">
        <v>43896</v>
      </c>
      <c r="E337" s="102">
        <v>0.41666666666666669</v>
      </c>
      <c r="F337" s="102">
        <v>0.47916666666666669</v>
      </c>
      <c r="G337" s="102">
        <v>0.33333333333333331</v>
      </c>
      <c r="H337" s="102">
        <v>0.39583333333333331</v>
      </c>
      <c r="I337" s="90">
        <f t="shared" si="46"/>
        <v>1.5</v>
      </c>
      <c r="J337" s="90">
        <f t="shared" si="43"/>
        <v>1.5</v>
      </c>
      <c r="K337" s="91">
        <f t="shared" si="50"/>
        <v>0.95833333333333348</v>
      </c>
      <c r="L337" s="91">
        <f t="shared" si="51"/>
        <v>3.9583333333333339</v>
      </c>
      <c r="M337" s="29">
        <f t="shared" si="47"/>
        <v>13</v>
      </c>
      <c r="N337" s="92">
        <f t="shared" si="44"/>
        <v>1.5</v>
      </c>
      <c r="O337" s="104">
        <f t="shared" si="48"/>
        <v>1.016</v>
      </c>
      <c r="P337" s="105">
        <f t="shared" si="45"/>
        <v>13.868399999999999</v>
      </c>
    </row>
    <row r="338" spans="2:16" x14ac:dyDescent="0.25">
      <c r="B338" s="88" t="str">
        <f t="shared" si="42"/>
        <v>Sitio Santa Lúcia</v>
      </c>
      <c r="C338" s="106">
        <f t="shared" si="49"/>
        <v>2020</v>
      </c>
      <c r="D338" s="137">
        <v>43897</v>
      </c>
      <c r="E338" s="102">
        <v>0.33333333333333331</v>
      </c>
      <c r="F338" s="102">
        <v>0.375</v>
      </c>
      <c r="G338" s="102">
        <v>0.29166666666666669</v>
      </c>
      <c r="H338" s="102">
        <v>0.45833333333333331</v>
      </c>
      <c r="I338" s="90">
        <f t="shared" si="46"/>
        <v>1.0000000000000004</v>
      </c>
      <c r="J338" s="90">
        <f t="shared" si="43"/>
        <v>3.9999999999999991</v>
      </c>
      <c r="K338" s="91">
        <f t="shared" si="50"/>
        <v>0.95833333333333348</v>
      </c>
      <c r="L338" s="91">
        <f t="shared" si="51"/>
        <v>3.9583333333333339</v>
      </c>
      <c r="M338" s="29">
        <f t="shared" si="47"/>
        <v>13</v>
      </c>
      <c r="N338" s="92">
        <f t="shared" si="44"/>
        <v>1.0000000000000004</v>
      </c>
      <c r="O338" s="104">
        <f t="shared" si="48"/>
        <v>1.016</v>
      </c>
      <c r="P338" s="105">
        <f t="shared" si="45"/>
        <v>9.2456000000000031</v>
      </c>
    </row>
    <row r="339" spans="2:16" x14ac:dyDescent="0.25">
      <c r="B339" s="88" t="str">
        <f t="shared" si="42"/>
        <v>Sitio Santa Lúcia</v>
      </c>
      <c r="C339" s="106">
        <f t="shared" si="49"/>
        <v>2020</v>
      </c>
      <c r="D339" s="101">
        <v>43898</v>
      </c>
      <c r="E339" s="102">
        <v>0.29166666666666669</v>
      </c>
      <c r="F339" s="102">
        <v>0.39583333333333331</v>
      </c>
      <c r="G339" s="102">
        <v>0.29166666666666669</v>
      </c>
      <c r="H339" s="102">
        <v>0.41666666666666702</v>
      </c>
      <c r="I339" s="90">
        <f t="shared" si="46"/>
        <v>2.4999999999999991</v>
      </c>
      <c r="J339" s="90">
        <f t="shared" si="43"/>
        <v>3.000000000000008</v>
      </c>
      <c r="K339" s="91">
        <f t="shared" si="50"/>
        <v>0.95833333333333348</v>
      </c>
      <c r="L339" s="91">
        <f t="shared" si="51"/>
        <v>3.9583333333333339</v>
      </c>
      <c r="M339" s="29">
        <f t="shared" si="47"/>
        <v>13</v>
      </c>
      <c r="N339" s="92">
        <f t="shared" si="44"/>
        <v>2.4999999999999991</v>
      </c>
      <c r="O339" s="104">
        <f t="shared" si="48"/>
        <v>1.016</v>
      </c>
      <c r="P339" s="105">
        <f t="shared" si="45"/>
        <v>23.11399999999999</v>
      </c>
    </row>
    <row r="340" spans="2:16" x14ac:dyDescent="0.25">
      <c r="B340" s="88" t="str">
        <f t="shared" si="42"/>
        <v>Sitio Santa Lúcia</v>
      </c>
      <c r="C340" s="106">
        <f t="shared" si="49"/>
        <v>2020</v>
      </c>
      <c r="D340" s="101">
        <v>43899</v>
      </c>
      <c r="E340" s="102">
        <v>0.33333333333333331</v>
      </c>
      <c r="F340" s="102">
        <v>0.375</v>
      </c>
      <c r="G340" s="102">
        <v>0.41666666666666702</v>
      </c>
      <c r="H340" s="102">
        <v>0.5</v>
      </c>
      <c r="I340" s="90">
        <f t="shared" si="46"/>
        <v>1.0000000000000004</v>
      </c>
      <c r="J340" s="90">
        <f t="shared" si="43"/>
        <v>1.9999999999999916</v>
      </c>
      <c r="K340" s="91">
        <f t="shared" si="50"/>
        <v>0.95833333333333348</v>
      </c>
      <c r="L340" s="91">
        <f t="shared" si="51"/>
        <v>3.9583333333333339</v>
      </c>
      <c r="M340" s="29">
        <f t="shared" si="47"/>
        <v>13</v>
      </c>
      <c r="N340" s="92">
        <f t="shared" si="44"/>
        <v>1.0000000000000004</v>
      </c>
      <c r="O340" s="104">
        <f t="shared" si="48"/>
        <v>1.016</v>
      </c>
      <c r="P340" s="105">
        <f t="shared" si="45"/>
        <v>9.2456000000000031</v>
      </c>
    </row>
    <row r="341" spans="2:16" x14ac:dyDescent="0.25">
      <c r="B341" s="88" t="str">
        <f t="shared" si="42"/>
        <v>Sitio Santa Lúcia</v>
      </c>
      <c r="C341" s="106">
        <f t="shared" si="49"/>
        <v>2020</v>
      </c>
      <c r="D341" s="101">
        <v>43900</v>
      </c>
      <c r="E341" s="102">
        <v>0.35416666666666669</v>
      </c>
      <c r="F341" s="102">
        <v>0.3888888888888889</v>
      </c>
      <c r="G341" s="102">
        <v>0.4513888888888889</v>
      </c>
      <c r="H341" s="102">
        <v>0.5</v>
      </c>
      <c r="I341" s="90">
        <f t="shared" si="46"/>
        <v>0.83333333333333304</v>
      </c>
      <c r="J341" s="90">
        <f t="shared" si="43"/>
        <v>1.1666666666666665</v>
      </c>
      <c r="K341" s="91">
        <f t="shared" si="50"/>
        <v>0.95833333333333348</v>
      </c>
      <c r="L341" s="91">
        <f t="shared" si="51"/>
        <v>3.9583333333333339</v>
      </c>
      <c r="M341" s="29">
        <f t="shared" si="47"/>
        <v>13</v>
      </c>
      <c r="N341" s="92">
        <f t="shared" si="44"/>
        <v>0.83333333333333304</v>
      </c>
      <c r="O341" s="104">
        <f t="shared" si="48"/>
        <v>1.016</v>
      </c>
      <c r="P341" s="105">
        <f t="shared" si="45"/>
        <v>7.7046666666666628</v>
      </c>
    </row>
    <row r="342" spans="2:16" x14ac:dyDescent="0.25">
      <c r="B342" s="88" t="str">
        <f t="shared" si="42"/>
        <v>Sitio Santa Lúcia</v>
      </c>
      <c r="C342" s="106">
        <f t="shared" si="49"/>
        <v>2020</v>
      </c>
      <c r="D342" s="101">
        <v>43901</v>
      </c>
      <c r="E342" s="102">
        <v>0.29166666666666669</v>
      </c>
      <c r="F342" s="102">
        <v>0.33333333333333298</v>
      </c>
      <c r="G342" s="102">
        <v>0.29166666666666669</v>
      </c>
      <c r="H342" s="102">
        <v>0.375</v>
      </c>
      <c r="I342" s="90">
        <f t="shared" si="46"/>
        <v>0.99999999999999112</v>
      </c>
      <c r="J342" s="90">
        <f t="shared" si="43"/>
        <v>1.9999999999999996</v>
      </c>
      <c r="K342" s="91">
        <f t="shared" si="50"/>
        <v>0.95833333333333348</v>
      </c>
      <c r="L342" s="91">
        <f t="shared" si="51"/>
        <v>3.9583333333333339</v>
      </c>
      <c r="M342" s="29">
        <f t="shared" si="47"/>
        <v>13</v>
      </c>
      <c r="N342" s="92">
        <f t="shared" si="44"/>
        <v>0.99999999999999112</v>
      </c>
      <c r="O342" s="104">
        <f t="shared" si="48"/>
        <v>1.016</v>
      </c>
      <c r="P342" s="105">
        <f t="shared" si="45"/>
        <v>9.2455999999999179</v>
      </c>
    </row>
    <row r="343" spans="2:16" x14ac:dyDescent="0.25">
      <c r="B343" s="88" t="str">
        <f t="shared" si="42"/>
        <v>Sitio Santa Lúcia</v>
      </c>
      <c r="C343" s="106">
        <f t="shared" si="49"/>
        <v>2020</v>
      </c>
      <c r="D343" s="101">
        <v>43902</v>
      </c>
      <c r="E343" s="102">
        <v>0.41666666666666669</v>
      </c>
      <c r="F343" s="102">
        <v>0.45833333333333331</v>
      </c>
      <c r="G343" s="102">
        <v>0.4375</v>
      </c>
      <c r="H343" s="102">
        <v>0.5</v>
      </c>
      <c r="I343" s="90">
        <f t="shared" si="46"/>
        <v>0.99999999999999911</v>
      </c>
      <c r="J343" s="90">
        <f t="shared" si="43"/>
        <v>1.5</v>
      </c>
      <c r="K343" s="91">
        <f t="shared" si="50"/>
        <v>0.95833333333333348</v>
      </c>
      <c r="L343" s="91">
        <f t="shared" si="51"/>
        <v>3.9583333333333339</v>
      </c>
      <c r="M343" s="29">
        <f t="shared" si="47"/>
        <v>13</v>
      </c>
      <c r="N343" s="92">
        <f t="shared" si="44"/>
        <v>0.99999999999999911</v>
      </c>
      <c r="O343" s="104">
        <f t="shared" si="48"/>
        <v>1.016</v>
      </c>
      <c r="P343" s="105">
        <f t="shared" si="45"/>
        <v>9.2455999999999925</v>
      </c>
    </row>
    <row r="344" spans="2:16" x14ac:dyDescent="0.25">
      <c r="B344" s="88" t="str">
        <f t="shared" si="42"/>
        <v>Sitio Santa Lúcia</v>
      </c>
      <c r="C344" s="106">
        <f t="shared" si="49"/>
        <v>2020</v>
      </c>
      <c r="D344" s="101">
        <v>43903</v>
      </c>
      <c r="E344" s="102">
        <v>0.375</v>
      </c>
      <c r="F344" s="103">
        <v>0.41666666666666702</v>
      </c>
      <c r="G344" s="103">
        <v>0.29166666666666669</v>
      </c>
      <c r="H344" s="103">
        <v>0.33333333333333331</v>
      </c>
      <c r="I344" s="90">
        <f t="shared" si="46"/>
        <v>1.0000000000000084</v>
      </c>
      <c r="J344" s="90">
        <f t="shared" si="43"/>
        <v>0.99999999999999911</v>
      </c>
      <c r="K344" s="91">
        <f t="shared" si="50"/>
        <v>0.95833333333333348</v>
      </c>
      <c r="L344" s="91">
        <f t="shared" si="51"/>
        <v>3.9583333333333339</v>
      </c>
      <c r="M344" s="29">
        <f t="shared" si="47"/>
        <v>13</v>
      </c>
      <c r="N344" s="92">
        <f t="shared" si="44"/>
        <v>1.0000000000000084</v>
      </c>
      <c r="O344" s="104">
        <f t="shared" si="48"/>
        <v>1.016</v>
      </c>
      <c r="P344" s="105">
        <f t="shared" si="45"/>
        <v>9.2456000000000778</v>
      </c>
    </row>
    <row r="345" spans="2:16" x14ac:dyDescent="0.25">
      <c r="B345" s="88" t="str">
        <f t="shared" si="42"/>
        <v>Sitio Santa Lúcia</v>
      </c>
      <c r="C345" s="106">
        <f t="shared" si="49"/>
        <v>2020</v>
      </c>
      <c r="D345" s="101">
        <v>43904</v>
      </c>
      <c r="E345" s="102">
        <v>0.41666666666666669</v>
      </c>
      <c r="F345" s="102">
        <v>0.45833333333333298</v>
      </c>
      <c r="G345" s="102">
        <v>0.33333333333333331</v>
      </c>
      <c r="H345" s="102">
        <v>0.39583333333333331</v>
      </c>
      <c r="I345" s="90">
        <f t="shared" si="46"/>
        <v>0.99999999999999112</v>
      </c>
      <c r="J345" s="90">
        <f t="shared" si="43"/>
        <v>1.5</v>
      </c>
      <c r="K345" s="91">
        <f t="shared" si="50"/>
        <v>0.95833333333333348</v>
      </c>
      <c r="L345" s="91">
        <f t="shared" si="51"/>
        <v>3.9583333333333339</v>
      </c>
      <c r="M345" s="29">
        <f t="shared" si="47"/>
        <v>13</v>
      </c>
      <c r="N345" s="92">
        <f t="shared" si="44"/>
        <v>0.99999999999999112</v>
      </c>
      <c r="O345" s="104">
        <f t="shared" si="48"/>
        <v>1.016</v>
      </c>
      <c r="P345" s="105">
        <f t="shared" si="45"/>
        <v>9.2455999999999179</v>
      </c>
    </row>
    <row r="346" spans="2:16" x14ac:dyDescent="0.25">
      <c r="B346" s="88" t="str">
        <f t="shared" si="42"/>
        <v>Sitio Santa Lúcia</v>
      </c>
      <c r="C346" s="106">
        <f t="shared" si="49"/>
        <v>2020</v>
      </c>
      <c r="D346" s="101">
        <v>43905</v>
      </c>
      <c r="E346" s="102">
        <v>0.40625</v>
      </c>
      <c r="F346" s="102">
        <v>0.5</v>
      </c>
      <c r="G346" s="102">
        <v>0.36458333333333331</v>
      </c>
      <c r="H346" s="102">
        <v>0.45833333333333331</v>
      </c>
      <c r="I346" s="90">
        <f t="shared" si="46"/>
        <v>2.25</v>
      </c>
      <c r="J346" s="90">
        <f t="shared" si="43"/>
        <v>2.25</v>
      </c>
      <c r="K346" s="91">
        <f t="shared" si="50"/>
        <v>0.95833333333333348</v>
      </c>
      <c r="L346" s="91">
        <f t="shared" si="51"/>
        <v>3.9583333333333339</v>
      </c>
      <c r="M346" s="29">
        <f t="shared" si="47"/>
        <v>13</v>
      </c>
      <c r="N346" s="92">
        <f t="shared" si="44"/>
        <v>2.25</v>
      </c>
      <c r="O346" s="104">
        <f t="shared" si="48"/>
        <v>1.016</v>
      </c>
      <c r="P346" s="105">
        <f t="shared" si="45"/>
        <v>20.802599999999998</v>
      </c>
    </row>
    <row r="347" spans="2:16" x14ac:dyDescent="0.25">
      <c r="B347" s="88" t="str">
        <f t="shared" si="42"/>
        <v>Sitio Santa Lúcia</v>
      </c>
      <c r="C347" s="106">
        <f t="shared" si="49"/>
        <v>2020</v>
      </c>
      <c r="D347" s="101">
        <v>43906</v>
      </c>
      <c r="E347" s="102">
        <v>0.29166666666666669</v>
      </c>
      <c r="F347" s="102">
        <v>0.33333333333333298</v>
      </c>
      <c r="G347" s="102">
        <v>0.41666666666666669</v>
      </c>
      <c r="H347" s="102">
        <v>0.45833333333333331</v>
      </c>
      <c r="I347" s="90">
        <f t="shared" si="46"/>
        <v>0.99999999999999112</v>
      </c>
      <c r="J347" s="90">
        <f t="shared" si="43"/>
        <v>0.99999999999999911</v>
      </c>
      <c r="K347" s="91">
        <f t="shared" si="50"/>
        <v>0.95833333333333348</v>
      </c>
      <c r="L347" s="91">
        <f t="shared" si="51"/>
        <v>3.9583333333333339</v>
      </c>
      <c r="M347" s="29">
        <f t="shared" si="47"/>
        <v>13</v>
      </c>
      <c r="N347" s="92">
        <f t="shared" si="44"/>
        <v>0.99999999999999112</v>
      </c>
      <c r="O347" s="104">
        <f t="shared" si="48"/>
        <v>1.016</v>
      </c>
      <c r="P347" s="105">
        <f t="shared" si="45"/>
        <v>9.2455999999999179</v>
      </c>
    </row>
    <row r="348" spans="2:16" x14ac:dyDescent="0.25">
      <c r="B348" s="88" t="str">
        <f t="shared" si="42"/>
        <v>Sitio Santa Lúcia</v>
      </c>
      <c r="C348" s="106">
        <f t="shared" si="49"/>
        <v>2020</v>
      </c>
      <c r="D348" s="101">
        <v>43907</v>
      </c>
      <c r="E348" s="102">
        <v>0.33333333333333331</v>
      </c>
      <c r="F348" s="102">
        <v>0.41666666666666669</v>
      </c>
      <c r="G348" s="102">
        <v>0.29166666666666669</v>
      </c>
      <c r="H348" s="102">
        <v>0.375</v>
      </c>
      <c r="I348" s="90">
        <f t="shared" si="46"/>
        <v>2.0000000000000009</v>
      </c>
      <c r="J348" s="90">
        <f t="shared" si="43"/>
        <v>1.9999999999999996</v>
      </c>
      <c r="K348" s="91">
        <f t="shared" si="50"/>
        <v>0.95833333333333348</v>
      </c>
      <c r="L348" s="91">
        <f t="shared" si="51"/>
        <v>3.9583333333333339</v>
      </c>
      <c r="M348" s="29">
        <f t="shared" si="47"/>
        <v>13</v>
      </c>
      <c r="N348" s="92">
        <f t="shared" si="44"/>
        <v>2.0000000000000009</v>
      </c>
      <c r="O348" s="104">
        <f t="shared" si="48"/>
        <v>1.016</v>
      </c>
      <c r="P348" s="105">
        <f t="shared" si="45"/>
        <v>18.491200000000006</v>
      </c>
    </row>
    <row r="349" spans="2:16" x14ac:dyDescent="0.25">
      <c r="B349" s="88" t="str">
        <f t="shared" si="42"/>
        <v>Sitio Santa Lúcia</v>
      </c>
      <c r="C349" s="106">
        <f t="shared" si="49"/>
        <v>2020</v>
      </c>
      <c r="D349" s="101">
        <v>43908</v>
      </c>
      <c r="E349" s="102">
        <v>0.3611111111111111</v>
      </c>
      <c r="F349" s="102">
        <v>0.45833333333333331</v>
      </c>
      <c r="G349" s="103">
        <v>0.28472222222222221</v>
      </c>
      <c r="H349" s="103">
        <v>0.41666666666666669</v>
      </c>
      <c r="I349" s="90">
        <f t="shared" si="46"/>
        <v>2.333333333333333</v>
      </c>
      <c r="J349" s="90">
        <f t="shared" si="43"/>
        <v>3.1666666666666674</v>
      </c>
      <c r="K349" s="91">
        <f t="shared" si="50"/>
        <v>0.95833333333333348</v>
      </c>
      <c r="L349" s="91">
        <f t="shared" si="51"/>
        <v>3.9583333333333339</v>
      </c>
      <c r="M349" s="29">
        <f t="shared" si="47"/>
        <v>13</v>
      </c>
      <c r="N349" s="92">
        <f t="shared" si="44"/>
        <v>2.333333333333333</v>
      </c>
      <c r="O349" s="104">
        <f t="shared" si="48"/>
        <v>1.016</v>
      </c>
      <c r="P349" s="105">
        <f t="shared" si="45"/>
        <v>21.573066666666662</v>
      </c>
    </row>
    <row r="350" spans="2:16" x14ac:dyDescent="0.25">
      <c r="B350" s="88" t="str">
        <f t="shared" si="42"/>
        <v>Sitio Santa Lúcia</v>
      </c>
      <c r="C350" s="106">
        <f t="shared" si="49"/>
        <v>2020</v>
      </c>
      <c r="D350" s="101">
        <v>43909</v>
      </c>
      <c r="E350" s="102">
        <v>0.4375</v>
      </c>
      <c r="F350" s="102">
        <v>0.5</v>
      </c>
      <c r="G350" s="102">
        <v>0.29166666666666669</v>
      </c>
      <c r="H350" s="102">
        <v>0.39583333333333331</v>
      </c>
      <c r="I350" s="90">
        <f t="shared" si="46"/>
        <v>1.5</v>
      </c>
      <c r="J350" s="90">
        <f t="shared" si="43"/>
        <v>2.4999999999999991</v>
      </c>
      <c r="K350" s="91">
        <f t="shared" si="50"/>
        <v>0.95833333333333348</v>
      </c>
      <c r="L350" s="91">
        <f t="shared" si="51"/>
        <v>3.9583333333333339</v>
      </c>
      <c r="M350" s="29">
        <f t="shared" si="47"/>
        <v>13</v>
      </c>
      <c r="N350" s="92">
        <f t="shared" si="44"/>
        <v>1.5</v>
      </c>
      <c r="O350" s="104">
        <f t="shared" si="48"/>
        <v>1.016</v>
      </c>
      <c r="P350" s="105">
        <f t="shared" si="45"/>
        <v>13.868399999999999</v>
      </c>
    </row>
    <row r="351" spans="2:16" x14ac:dyDescent="0.25">
      <c r="B351" s="88" t="str">
        <f t="shared" si="42"/>
        <v>Sitio Santa Lúcia</v>
      </c>
      <c r="C351" s="106">
        <f t="shared" si="49"/>
        <v>2020</v>
      </c>
      <c r="D351" s="101">
        <v>43910</v>
      </c>
      <c r="E351" s="102">
        <v>0.33333333333333331</v>
      </c>
      <c r="F351" s="102">
        <v>0.41666666666666669</v>
      </c>
      <c r="G351" s="102">
        <v>0.40277777777777773</v>
      </c>
      <c r="H351" s="102">
        <v>0.4513888888888889</v>
      </c>
      <c r="I351" s="90">
        <f t="shared" si="46"/>
        <v>2.0000000000000009</v>
      </c>
      <c r="J351" s="90">
        <f t="shared" si="43"/>
        <v>1.1666666666666679</v>
      </c>
      <c r="K351" s="91">
        <f t="shared" si="50"/>
        <v>0.95833333333333348</v>
      </c>
      <c r="L351" s="91">
        <f t="shared" si="51"/>
        <v>3.9583333333333339</v>
      </c>
      <c r="M351" s="29">
        <f t="shared" si="47"/>
        <v>13</v>
      </c>
      <c r="N351" s="92">
        <f t="shared" si="44"/>
        <v>2.0000000000000009</v>
      </c>
      <c r="O351" s="104">
        <f t="shared" si="48"/>
        <v>1.016</v>
      </c>
      <c r="P351" s="105">
        <f t="shared" si="45"/>
        <v>18.491200000000006</v>
      </c>
    </row>
    <row r="352" spans="2:16" x14ac:dyDescent="0.25">
      <c r="B352" s="88" t="str">
        <f t="shared" ref="B352:B415" si="52">$B$17</f>
        <v>Sitio Santa Lúcia</v>
      </c>
      <c r="C352" s="106">
        <f t="shared" si="49"/>
        <v>2020</v>
      </c>
      <c r="D352" s="101">
        <v>43911</v>
      </c>
      <c r="E352" s="102">
        <v>0.29166666666666669</v>
      </c>
      <c r="F352" s="102">
        <v>0.375</v>
      </c>
      <c r="G352" s="102">
        <v>0.33333333333333331</v>
      </c>
      <c r="H352" s="102">
        <v>0.41666666666666702</v>
      </c>
      <c r="I352" s="90">
        <f t="shared" si="46"/>
        <v>1.9999999999999996</v>
      </c>
      <c r="J352" s="90">
        <f t="shared" si="43"/>
        <v>2.0000000000000089</v>
      </c>
      <c r="K352" s="91">
        <f t="shared" si="50"/>
        <v>0.95833333333333348</v>
      </c>
      <c r="L352" s="91">
        <f t="shared" si="51"/>
        <v>3.9583333333333339</v>
      </c>
      <c r="M352" s="29">
        <f t="shared" si="47"/>
        <v>13</v>
      </c>
      <c r="N352" s="92">
        <f t="shared" si="44"/>
        <v>1.9999999999999996</v>
      </c>
      <c r="O352" s="104">
        <f t="shared" si="48"/>
        <v>1.016</v>
      </c>
      <c r="P352" s="105">
        <f t="shared" si="45"/>
        <v>18.491199999999996</v>
      </c>
    </row>
    <row r="353" spans="2:16" x14ac:dyDescent="0.25">
      <c r="B353" s="88" t="str">
        <f t="shared" si="52"/>
        <v>Sitio Santa Lúcia</v>
      </c>
      <c r="C353" s="106">
        <f t="shared" si="49"/>
        <v>2020</v>
      </c>
      <c r="D353" s="101">
        <v>43912</v>
      </c>
      <c r="E353" s="102">
        <v>0.41666666666666669</v>
      </c>
      <c r="F353" s="102">
        <v>0.45833333333333298</v>
      </c>
      <c r="G353" s="102">
        <v>0.375</v>
      </c>
      <c r="H353" s="102">
        <v>0.45833333333333331</v>
      </c>
      <c r="I353" s="90">
        <f t="shared" si="46"/>
        <v>0.99999999999999112</v>
      </c>
      <c r="J353" s="90">
        <f t="shared" si="43"/>
        <v>1.9999999999999996</v>
      </c>
      <c r="K353" s="91">
        <f t="shared" si="50"/>
        <v>0.95833333333333348</v>
      </c>
      <c r="L353" s="91">
        <f t="shared" si="51"/>
        <v>3.9583333333333339</v>
      </c>
      <c r="M353" s="29">
        <f t="shared" si="47"/>
        <v>13</v>
      </c>
      <c r="N353" s="92">
        <f t="shared" si="44"/>
        <v>0.99999999999999112</v>
      </c>
      <c r="O353" s="104">
        <f t="shared" si="48"/>
        <v>1.016</v>
      </c>
      <c r="P353" s="105">
        <f t="shared" si="45"/>
        <v>9.2455999999999179</v>
      </c>
    </row>
    <row r="354" spans="2:16" x14ac:dyDescent="0.25">
      <c r="B354" s="88" t="str">
        <f t="shared" si="52"/>
        <v>Sitio Santa Lúcia</v>
      </c>
      <c r="C354" s="106">
        <f t="shared" si="49"/>
        <v>2020</v>
      </c>
      <c r="D354" s="101">
        <v>43913</v>
      </c>
      <c r="E354" s="102">
        <v>0.33333333333333331</v>
      </c>
      <c r="F354" s="103">
        <v>0.375</v>
      </c>
      <c r="G354" s="103">
        <v>0.41666666666666702</v>
      </c>
      <c r="H354" s="103">
        <v>0.5</v>
      </c>
      <c r="I354" s="90">
        <f t="shared" si="46"/>
        <v>1.0000000000000004</v>
      </c>
      <c r="J354" s="90">
        <f t="shared" si="43"/>
        <v>1.9999999999999916</v>
      </c>
      <c r="K354" s="91">
        <f t="shared" si="50"/>
        <v>0.95833333333333348</v>
      </c>
      <c r="L354" s="91">
        <f t="shared" si="51"/>
        <v>3.9583333333333339</v>
      </c>
      <c r="M354" s="29">
        <f t="shared" si="47"/>
        <v>13</v>
      </c>
      <c r="N354" s="92">
        <f t="shared" si="44"/>
        <v>1.0000000000000004</v>
      </c>
      <c r="O354" s="104">
        <f t="shared" si="48"/>
        <v>1.016</v>
      </c>
      <c r="P354" s="105">
        <f t="shared" si="45"/>
        <v>9.2456000000000031</v>
      </c>
    </row>
    <row r="355" spans="2:16" x14ac:dyDescent="0.25">
      <c r="B355" s="88" t="str">
        <f t="shared" si="52"/>
        <v>Sitio Santa Lúcia</v>
      </c>
      <c r="C355" s="106">
        <f t="shared" si="49"/>
        <v>2020</v>
      </c>
      <c r="D355" s="101">
        <v>43914</v>
      </c>
      <c r="E355" s="102">
        <v>0.41666666666666669</v>
      </c>
      <c r="F355" s="102">
        <v>0.45833333333333298</v>
      </c>
      <c r="G355" s="102">
        <v>0.375</v>
      </c>
      <c r="H355" s="102">
        <v>0.45833333333333331</v>
      </c>
      <c r="I355" s="90">
        <f t="shared" si="46"/>
        <v>0.99999999999999112</v>
      </c>
      <c r="J355" s="90">
        <f t="shared" si="43"/>
        <v>1.9999999999999996</v>
      </c>
      <c r="K355" s="91">
        <f t="shared" si="50"/>
        <v>0.95833333333333348</v>
      </c>
      <c r="L355" s="91">
        <f t="shared" si="51"/>
        <v>3.9583333333333339</v>
      </c>
      <c r="M355" s="29">
        <f t="shared" si="47"/>
        <v>13</v>
      </c>
      <c r="N355" s="92">
        <f t="shared" si="44"/>
        <v>0.99999999999999112</v>
      </c>
      <c r="O355" s="104">
        <f t="shared" si="48"/>
        <v>1.016</v>
      </c>
      <c r="P355" s="105">
        <f t="shared" si="45"/>
        <v>9.2455999999999179</v>
      </c>
    </row>
    <row r="356" spans="2:16" x14ac:dyDescent="0.25">
      <c r="B356" s="88" t="str">
        <f t="shared" si="52"/>
        <v>Sitio Santa Lúcia</v>
      </c>
      <c r="C356" s="106">
        <f t="shared" si="49"/>
        <v>2020</v>
      </c>
      <c r="D356" s="101">
        <v>43915</v>
      </c>
      <c r="E356" s="102">
        <v>0.33333333333333331</v>
      </c>
      <c r="F356" s="102">
        <v>0.375</v>
      </c>
      <c r="G356" s="102">
        <v>0.41666666666666702</v>
      </c>
      <c r="H356" s="102">
        <v>0.4861111111111111</v>
      </c>
      <c r="I356" s="90">
        <f t="shared" si="46"/>
        <v>1.0000000000000004</v>
      </c>
      <c r="J356" s="90">
        <f t="shared" si="43"/>
        <v>1.6666666666666581</v>
      </c>
      <c r="K356" s="91">
        <f t="shared" si="50"/>
        <v>0.95833333333333348</v>
      </c>
      <c r="L356" s="91">
        <f t="shared" si="51"/>
        <v>3.9583333333333339</v>
      </c>
      <c r="M356" s="29">
        <f t="shared" si="47"/>
        <v>13</v>
      </c>
      <c r="N356" s="92">
        <f t="shared" si="44"/>
        <v>1.0000000000000004</v>
      </c>
      <c r="O356" s="104">
        <f t="shared" si="48"/>
        <v>1.016</v>
      </c>
      <c r="P356" s="105">
        <f t="shared" si="45"/>
        <v>9.2456000000000031</v>
      </c>
    </row>
    <row r="357" spans="2:16" x14ac:dyDescent="0.25">
      <c r="B357" s="88" t="str">
        <f t="shared" si="52"/>
        <v>Sitio Santa Lúcia</v>
      </c>
      <c r="C357" s="106">
        <f t="shared" si="49"/>
        <v>2020</v>
      </c>
      <c r="D357" s="101">
        <v>43916</v>
      </c>
      <c r="E357" s="102">
        <v>0.45833333333333331</v>
      </c>
      <c r="F357" s="103">
        <v>0.5</v>
      </c>
      <c r="G357" s="103">
        <v>0.29166666666666669</v>
      </c>
      <c r="H357" s="103">
        <v>0.33333333333333331</v>
      </c>
      <c r="I357" s="90">
        <f t="shared" si="46"/>
        <v>1.0000000000000004</v>
      </c>
      <c r="J357" s="90">
        <f t="shared" si="43"/>
        <v>0.99999999999999911</v>
      </c>
      <c r="K357" s="91">
        <f t="shared" si="50"/>
        <v>0.95833333333333348</v>
      </c>
      <c r="L357" s="91">
        <f t="shared" si="51"/>
        <v>3.9583333333333339</v>
      </c>
      <c r="M357" s="29">
        <f t="shared" si="47"/>
        <v>13</v>
      </c>
      <c r="N357" s="92">
        <f t="shared" si="44"/>
        <v>1.0000000000000004</v>
      </c>
      <c r="O357" s="104">
        <f t="shared" si="48"/>
        <v>1.016</v>
      </c>
      <c r="P357" s="105">
        <f t="shared" si="45"/>
        <v>9.2456000000000031</v>
      </c>
    </row>
    <row r="358" spans="2:16" x14ac:dyDescent="0.25">
      <c r="B358" s="88" t="str">
        <f t="shared" si="52"/>
        <v>Sitio Santa Lúcia</v>
      </c>
      <c r="C358" s="106">
        <f t="shared" si="49"/>
        <v>2020</v>
      </c>
      <c r="D358" s="101">
        <v>43917</v>
      </c>
      <c r="E358" s="102">
        <v>0.33333333333333331</v>
      </c>
      <c r="F358" s="102">
        <v>0.375</v>
      </c>
      <c r="G358" s="102">
        <v>0.41666666666666702</v>
      </c>
      <c r="H358" s="102">
        <v>0.45833333333333298</v>
      </c>
      <c r="I358" s="90">
        <f t="shared" si="46"/>
        <v>1.0000000000000004</v>
      </c>
      <c r="J358" s="90">
        <f t="shared" si="43"/>
        <v>0.99999999999998312</v>
      </c>
      <c r="K358" s="91">
        <f t="shared" si="50"/>
        <v>0.95833333333333348</v>
      </c>
      <c r="L358" s="91">
        <f t="shared" si="51"/>
        <v>3.9583333333333339</v>
      </c>
      <c r="M358" s="29">
        <f t="shared" si="47"/>
        <v>13</v>
      </c>
      <c r="N358" s="92">
        <f t="shared" si="44"/>
        <v>1.0000000000000004</v>
      </c>
      <c r="O358" s="104">
        <f t="shared" si="48"/>
        <v>1.016</v>
      </c>
      <c r="P358" s="105">
        <f t="shared" si="45"/>
        <v>9.2456000000000031</v>
      </c>
    </row>
    <row r="359" spans="2:16" x14ac:dyDescent="0.25">
      <c r="B359" s="88" t="str">
        <f t="shared" si="52"/>
        <v>Sitio Santa Lúcia</v>
      </c>
      <c r="C359" s="106">
        <f t="shared" si="49"/>
        <v>2020</v>
      </c>
      <c r="D359" s="101">
        <v>43918</v>
      </c>
      <c r="E359" s="102">
        <v>0.375</v>
      </c>
      <c r="F359" s="102">
        <v>0.45833333333333331</v>
      </c>
      <c r="G359" s="102">
        <v>0.45833333333333298</v>
      </c>
      <c r="H359" s="102">
        <v>0.5</v>
      </c>
      <c r="I359" s="90">
        <f t="shared" si="46"/>
        <v>1.9999999999999996</v>
      </c>
      <c r="J359" s="90">
        <f t="shared" si="43"/>
        <v>1.0000000000000084</v>
      </c>
      <c r="K359" s="91">
        <f t="shared" si="50"/>
        <v>0.95833333333333348</v>
      </c>
      <c r="L359" s="91">
        <f t="shared" si="51"/>
        <v>3.9583333333333339</v>
      </c>
      <c r="M359" s="29">
        <f t="shared" si="47"/>
        <v>13</v>
      </c>
      <c r="N359" s="92">
        <f t="shared" si="44"/>
        <v>1.9999999999999996</v>
      </c>
      <c r="O359" s="104">
        <f t="shared" si="48"/>
        <v>1.016</v>
      </c>
      <c r="P359" s="105">
        <f t="shared" si="45"/>
        <v>18.491199999999996</v>
      </c>
    </row>
    <row r="360" spans="2:16" x14ac:dyDescent="0.25">
      <c r="B360" s="88" t="str">
        <f t="shared" si="52"/>
        <v>Sitio Santa Lúcia</v>
      </c>
      <c r="C360" s="106">
        <f t="shared" si="49"/>
        <v>2020</v>
      </c>
      <c r="D360" s="101">
        <v>43919</v>
      </c>
      <c r="E360" s="102">
        <v>0.29166666666666669</v>
      </c>
      <c r="F360" s="102">
        <v>0.33333333333333298</v>
      </c>
      <c r="G360" s="102">
        <v>0.39583333333333331</v>
      </c>
      <c r="H360" s="102">
        <v>0.44444444444444442</v>
      </c>
      <c r="I360" s="90">
        <f t="shared" si="46"/>
        <v>0.99999999999999112</v>
      </c>
      <c r="J360" s="90">
        <f t="shared" si="43"/>
        <v>1.1666666666666665</v>
      </c>
      <c r="K360" s="91">
        <f t="shared" si="50"/>
        <v>0.95833333333333348</v>
      </c>
      <c r="L360" s="91">
        <f t="shared" si="51"/>
        <v>3.9583333333333339</v>
      </c>
      <c r="M360" s="29">
        <f t="shared" si="47"/>
        <v>13</v>
      </c>
      <c r="N360" s="92">
        <f t="shared" si="44"/>
        <v>0.99999999999999112</v>
      </c>
      <c r="O360" s="104">
        <f t="shared" si="48"/>
        <v>1.016</v>
      </c>
      <c r="P360" s="105">
        <f t="shared" si="45"/>
        <v>9.2455999999999179</v>
      </c>
    </row>
    <row r="361" spans="2:16" x14ac:dyDescent="0.25">
      <c r="B361" s="88" t="str">
        <f t="shared" si="52"/>
        <v>Sitio Santa Lúcia</v>
      </c>
      <c r="C361" s="106">
        <f t="shared" si="49"/>
        <v>2020</v>
      </c>
      <c r="D361" s="101">
        <v>43920</v>
      </c>
      <c r="E361" s="102">
        <v>0.33333333333333298</v>
      </c>
      <c r="F361" s="102">
        <v>0.41666666666666669</v>
      </c>
      <c r="G361" s="102">
        <v>0.41666666666666602</v>
      </c>
      <c r="H361" s="102">
        <v>0.45833333333333298</v>
      </c>
      <c r="I361" s="90">
        <f t="shared" si="46"/>
        <v>2.0000000000000089</v>
      </c>
      <c r="J361" s="90">
        <f t="shared" si="43"/>
        <v>1.0000000000000071</v>
      </c>
      <c r="K361" s="91">
        <f t="shared" si="50"/>
        <v>0.95833333333333348</v>
      </c>
      <c r="L361" s="91">
        <f t="shared" si="51"/>
        <v>3.9583333333333339</v>
      </c>
      <c r="M361" s="29">
        <f t="shared" si="47"/>
        <v>13</v>
      </c>
      <c r="N361" s="92">
        <f t="shared" si="44"/>
        <v>2.0000000000000089</v>
      </c>
      <c r="O361" s="104">
        <f t="shared" si="48"/>
        <v>1.016</v>
      </c>
      <c r="P361" s="105">
        <f t="shared" si="45"/>
        <v>18.491200000000081</v>
      </c>
    </row>
    <row r="362" spans="2:16" x14ac:dyDescent="0.25">
      <c r="B362" s="88" t="str">
        <f t="shared" si="52"/>
        <v>Sitio Santa Lúcia</v>
      </c>
      <c r="C362" s="106">
        <f t="shared" si="49"/>
        <v>2020</v>
      </c>
      <c r="D362" s="101">
        <v>43921</v>
      </c>
      <c r="E362" s="102">
        <v>0.29166666666666669</v>
      </c>
      <c r="F362" s="102">
        <v>0.3611111111111111</v>
      </c>
      <c r="G362" s="102">
        <v>0.375</v>
      </c>
      <c r="H362" s="102">
        <v>0.41666666666666702</v>
      </c>
      <c r="I362" s="90">
        <f t="shared" si="46"/>
        <v>1.6666666666666661</v>
      </c>
      <c r="J362" s="90">
        <f t="shared" si="43"/>
        <v>1.0000000000000084</v>
      </c>
      <c r="K362" s="91">
        <f t="shared" si="50"/>
        <v>0.95833333333333348</v>
      </c>
      <c r="L362" s="91">
        <f t="shared" si="51"/>
        <v>3.9583333333333339</v>
      </c>
      <c r="M362" s="29">
        <f t="shared" si="47"/>
        <v>13</v>
      </c>
      <c r="N362" s="92">
        <f t="shared" si="44"/>
        <v>1.6666666666666661</v>
      </c>
      <c r="O362" s="104">
        <f t="shared" si="48"/>
        <v>1.016</v>
      </c>
      <c r="P362" s="105">
        <f t="shared" si="45"/>
        <v>15.409333333333326</v>
      </c>
    </row>
    <row r="363" spans="2:16" x14ac:dyDescent="0.25">
      <c r="B363" s="88" t="str">
        <f t="shared" si="52"/>
        <v>Sitio Santa Lúcia</v>
      </c>
      <c r="C363" s="106">
        <f t="shared" si="49"/>
        <v>2020</v>
      </c>
      <c r="D363" s="101">
        <v>43922</v>
      </c>
      <c r="E363" s="102">
        <v>0.29166666666666669</v>
      </c>
      <c r="F363" s="102">
        <v>0.33333333333333298</v>
      </c>
      <c r="G363" s="102">
        <v>0.375</v>
      </c>
      <c r="H363" s="102">
        <v>0.41666666666666702</v>
      </c>
      <c r="I363" s="90">
        <f t="shared" si="46"/>
        <v>0.99999999999999112</v>
      </c>
      <c r="J363" s="90">
        <f t="shared" si="43"/>
        <v>1.0000000000000084</v>
      </c>
      <c r="K363" s="91">
        <f t="shared" si="50"/>
        <v>0.95833333333333348</v>
      </c>
      <c r="L363" s="91">
        <f t="shared" si="51"/>
        <v>3.9583333333333339</v>
      </c>
      <c r="M363" s="29">
        <f t="shared" si="47"/>
        <v>13</v>
      </c>
      <c r="N363" s="92">
        <f t="shared" si="44"/>
        <v>0.99999999999999112</v>
      </c>
      <c r="O363" s="104">
        <f t="shared" si="48"/>
        <v>1.016</v>
      </c>
      <c r="P363" s="105">
        <f t="shared" si="45"/>
        <v>9.2455999999999179</v>
      </c>
    </row>
    <row r="364" spans="2:16" x14ac:dyDescent="0.25">
      <c r="B364" s="88" t="str">
        <f t="shared" si="52"/>
        <v>Sitio Santa Lúcia</v>
      </c>
      <c r="C364" s="106">
        <f t="shared" si="49"/>
        <v>2020</v>
      </c>
      <c r="D364" s="101">
        <v>43923</v>
      </c>
      <c r="E364" s="102">
        <v>0.33333333333333331</v>
      </c>
      <c r="F364" s="102">
        <v>0.41666666666666669</v>
      </c>
      <c r="G364" s="102">
        <v>0.41666666666666702</v>
      </c>
      <c r="H364" s="102">
        <v>0.5</v>
      </c>
      <c r="I364" s="90">
        <f t="shared" si="46"/>
        <v>2.0000000000000009</v>
      </c>
      <c r="J364" s="90">
        <f t="shared" si="43"/>
        <v>1.9999999999999916</v>
      </c>
      <c r="K364" s="91">
        <f t="shared" si="50"/>
        <v>0.95833333333333348</v>
      </c>
      <c r="L364" s="91">
        <f t="shared" si="51"/>
        <v>3.9583333333333339</v>
      </c>
      <c r="M364" s="29">
        <f t="shared" si="47"/>
        <v>13</v>
      </c>
      <c r="N364" s="92">
        <f t="shared" si="44"/>
        <v>2.0000000000000009</v>
      </c>
      <c r="O364" s="104">
        <f t="shared" si="48"/>
        <v>1.016</v>
      </c>
      <c r="P364" s="105">
        <f t="shared" si="45"/>
        <v>18.491200000000006</v>
      </c>
    </row>
    <row r="365" spans="2:16" x14ac:dyDescent="0.25">
      <c r="B365" s="88" t="str">
        <f t="shared" si="52"/>
        <v>Sitio Santa Lúcia</v>
      </c>
      <c r="C365" s="106">
        <f t="shared" si="49"/>
        <v>2020</v>
      </c>
      <c r="D365" s="101">
        <v>43924</v>
      </c>
      <c r="E365" s="102">
        <v>0.375</v>
      </c>
      <c r="F365" s="102">
        <v>0.5</v>
      </c>
      <c r="G365" s="102">
        <v>0.4375</v>
      </c>
      <c r="H365" s="102">
        <v>0.45833333333333331</v>
      </c>
      <c r="I365" s="90">
        <f t="shared" si="46"/>
        <v>3</v>
      </c>
      <c r="J365" s="90">
        <f t="shared" si="43"/>
        <v>0.49999999999999956</v>
      </c>
      <c r="K365" s="91">
        <f t="shared" si="50"/>
        <v>0.95833333333333348</v>
      </c>
      <c r="L365" s="91">
        <f t="shared" si="51"/>
        <v>3.9583333333333339</v>
      </c>
      <c r="M365" s="29">
        <f t="shared" si="47"/>
        <v>13</v>
      </c>
      <c r="N365" s="92">
        <f t="shared" si="44"/>
        <v>3</v>
      </c>
      <c r="O365" s="104">
        <f t="shared" si="48"/>
        <v>1.016</v>
      </c>
      <c r="P365" s="105">
        <f t="shared" si="45"/>
        <v>27.736799999999999</v>
      </c>
    </row>
    <row r="366" spans="2:16" x14ac:dyDescent="0.25">
      <c r="B366" s="88" t="str">
        <f t="shared" si="52"/>
        <v>Sitio Santa Lúcia</v>
      </c>
      <c r="C366" s="106">
        <f t="shared" si="49"/>
        <v>2020</v>
      </c>
      <c r="D366" s="101">
        <v>43925</v>
      </c>
      <c r="E366" s="102">
        <v>0.4375</v>
      </c>
      <c r="F366" s="102">
        <v>0.49305555555555558</v>
      </c>
      <c r="G366" s="102">
        <v>0.375</v>
      </c>
      <c r="H366" s="102">
        <v>0.41666666666666669</v>
      </c>
      <c r="I366" s="90">
        <f t="shared" si="46"/>
        <v>1.3333333333333339</v>
      </c>
      <c r="J366" s="90">
        <f t="shared" si="43"/>
        <v>1.0000000000000004</v>
      </c>
      <c r="K366" s="91">
        <f t="shared" si="50"/>
        <v>0.95833333333333348</v>
      </c>
      <c r="L366" s="91">
        <f t="shared" si="51"/>
        <v>3.9583333333333339</v>
      </c>
      <c r="M366" s="29">
        <f t="shared" si="47"/>
        <v>13</v>
      </c>
      <c r="N366" s="92">
        <f t="shared" si="44"/>
        <v>1.3333333333333339</v>
      </c>
      <c r="O366" s="104">
        <f t="shared" si="48"/>
        <v>1.016</v>
      </c>
      <c r="P366" s="105">
        <f t="shared" si="45"/>
        <v>12.327466666666673</v>
      </c>
    </row>
    <row r="367" spans="2:16" x14ac:dyDescent="0.25">
      <c r="B367" s="88" t="str">
        <f t="shared" si="52"/>
        <v>Sitio Santa Lúcia</v>
      </c>
      <c r="C367" s="106">
        <f t="shared" si="49"/>
        <v>2020</v>
      </c>
      <c r="D367" s="101">
        <v>43926</v>
      </c>
      <c r="E367" s="102">
        <v>0.45833333333333331</v>
      </c>
      <c r="F367" s="102">
        <v>0.5</v>
      </c>
      <c r="G367" s="102">
        <v>0.33333333333333331</v>
      </c>
      <c r="H367" s="102">
        <v>0.375</v>
      </c>
      <c r="I367" s="90">
        <f t="shared" si="46"/>
        <v>1.0000000000000004</v>
      </c>
      <c r="J367" s="90">
        <f t="shared" si="43"/>
        <v>1.0000000000000004</v>
      </c>
      <c r="K367" s="91">
        <f t="shared" si="50"/>
        <v>0.95833333333333348</v>
      </c>
      <c r="L367" s="91">
        <f t="shared" si="51"/>
        <v>3.9583333333333339</v>
      </c>
      <c r="M367" s="29">
        <f t="shared" si="47"/>
        <v>13</v>
      </c>
      <c r="N367" s="92">
        <f t="shared" si="44"/>
        <v>1.0000000000000004</v>
      </c>
      <c r="O367" s="104">
        <f t="shared" si="48"/>
        <v>1.016</v>
      </c>
      <c r="P367" s="105">
        <f t="shared" si="45"/>
        <v>9.2456000000000031</v>
      </c>
    </row>
    <row r="368" spans="2:16" x14ac:dyDescent="0.25">
      <c r="B368" s="88" t="str">
        <f t="shared" si="52"/>
        <v>Sitio Santa Lúcia</v>
      </c>
      <c r="C368" s="106">
        <f t="shared" si="49"/>
        <v>2020</v>
      </c>
      <c r="D368" s="101">
        <v>43927</v>
      </c>
      <c r="E368" s="102">
        <v>0.375</v>
      </c>
      <c r="F368" s="102">
        <v>0.45833333333333331</v>
      </c>
      <c r="G368" s="102">
        <v>0.45833333333333298</v>
      </c>
      <c r="H368" s="102">
        <v>0.5</v>
      </c>
      <c r="I368" s="90">
        <f t="shared" si="46"/>
        <v>1.9999999999999996</v>
      </c>
      <c r="J368" s="90">
        <f t="shared" si="43"/>
        <v>1.0000000000000084</v>
      </c>
      <c r="K368" s="91">
        <f t="shared" si="50"/>
        <v>0.95833333333333348</v>
      </c>
      <c r="L368" s="91">
        <f t="shared" si="51"/>
        <v>3.9583333333333339</v>
      </c>
      <c r="M368" s="29">
        <f t="shared" si="47"/>
        <v>13</v>
      </c>
      <c r="N368" s="92">
        <f t="shared" si="44"/>
        <v>1.9999999999999996</v>
      </c>
      <c r="O368" s="104">
        <f t="shared" si="48"/>
        <v>1.016</v>
      </c>
      <c r="P368" s="105">
        <f t="shared" si="45"/>
        <v>18.491199999999996</v>
      </c>
    </row>
    <row r="369" spans="2:16" x14ac:dyDescent="0.25">
      <c r="B369" s="88" t="str">
        <f t="shared" si="52"/>
        <v>Sitio Santa Lúcia</v>
      </c>
      <c r="C369" s="106">
        <f t="shared" si="49"/>
        <v>2020</v>
      </c>
      <c r="D369" s="101">
        <v>43928</v>
      </c>
      <c r="E369" s="102">
        <v>0.36805555555555558</v>
      </c>
      <c r="F369" s="102">
        <v>0.41666666666666669</v>
      </c>
      <c r="G369" s="102">
        <v>0.40972222222222227</v>
      </c>
      <c r="H369" s="102">
        <v>0.4375</v>
      </c>
      <c r="I369" s="90">
        <f t="shared" si="46"/>
        <v>1.1666666666666665</v>
      </c>
      <c r="J369" s="90">
        <f t="shared" ref="J369:J432" si="53">((H369-G369)-INT($D$20))*24</f>
        <v>0.66666666666666563</v>
      </c>
      <c r="K369" s="91">
        <f t="shared" si="50"/>
        <v>0.95833333333333348</v>
      </c>
      <c r="L369" s="91">
        <f t="shared" si="51"/>
        <v>3.9583333333333339</v>
      </c>
      <c r="M369" s="29">
        <f t="shared" si="47"/>
        <v>13</v>
      </c>
      <c r="N369" s="92">
        <f t="shared" ref="N369:N432" si="54">I369</f>
        <v>1.1666666666666665</v>
      </c>
      <c r="O369" s="104">
        <f t="shared" si="48"/>
        <v>1.016</v>
      </c>
      <c r="P369" s="105">
        <f t="shared" ref="P369:P432" si="55">M369*N369*O369*0.7</f>
        <v>10.786533333333331</v>
      </c>
    </row>
    <row r="370" spans="2:16" x14ac:dyDescent="0.25">
      <c r="B370" s="88" t="str">
        <f t="shared" si="52"/>
        <v>Sitio Santa Lúcia</v>
      </c>
      <c r="C370" s="106">
        <f t="shared" si="49"/>
        <v>2020</v>
      </c>
      <c r="D370" s="101">
        <v>43929</v>
      </c>
      <c r="E370" s="102">
        <v>0.29166666666666669</v>
      </c>
      <c r="F370" s="102">
        <v>0.375</v>
      </c>
      <c r="G370" s="102">
        <v>0.3263888888888889</v>
      </c>
      <c r="H370" s="102">
        <v>0.36805555555555558</v>
      </c>
      <c r="I370" s="90">
        <f t="shared" ref="I370:I433" si="56">((F370-E370)-INT($D$20))*24</f>
        <v>1.9999999999999996</v>
      </c>
      <c r="J370" s="90">
        <f t="shared" si="53"/>
        <v>1.0000000000000004</v>
      </c>
      <c r="K370" s="91">
        <f t="shared" si="50"/>
        <v>0.95833333333333348</v>
      </c>
      <c r="L370" s="91">
        <f t="shared" si="51"/>
        <v>3.9583333333333339</v>
      </c>
      <c r="M370" s="29">
        <f t="shared" ref="M370:M433" si="57">VLOOKUP(B370,$I$5:$J$17,2,FALSE)</f>
        <v>13</v>
      </c>
      <c r="N370" s="92">
        <f t="shared" si="54"/>
        <v>1.9999999999999996</v>
      </c>
      <c r="O370" s="104">
        <f t="shared" si="48"/>
        <v>1.016</v>
      </c>
      <c r="P370" s="105">
        <f t="shared" si="55"/>
        <v>18.491199999999996</v>
      </c>
    </row>
    <row r="371" spans="2:16" x14ac:dyDescent="0.25">
      <c r="B371" s="88" t="str">
        <f t="shared" si="52"/>
        <v>Sitio Santa Lúcia</v>
      </c>
      <c r="C371" s="106">
        <f t="shared" si="49"/>
        <v>2020</v>
      </c>
      <c r="D371" s="101">
        <v>43930</v>
      </c>
      <c r="E371" s="102">
        <v>0.33333333333333331</v>
      </c>
      <c r="F371" s="102">
        <v>0.39583333333333331</v>
      </c>
      <c r="G371" s="103">
        <v>0.29166666666666669</v>
      </c>
      <c r="H371" s="103">
        <v>0.33333333333333331</v>
      </c>
      <c r="I371" s="90">
        <f t="shared" si="56"/>
        <v>1.5</v>
      </c>
      <c r="J371" s="90">
        <f t="shared" si="53"/>
        <v>0.99999999999999911</v>
      </c>
      <c r="K371" s="91">
        <f t="shared" si="50"/>
        <v>0.95833333333333348</v>
      </c>
      <c r="L371" s="91">
        <f t="shared" si="51"/>
        <v>3.9583333333333339</v>
      </c>
      <c r="M371" s="29">
        <f t="shared" si="57"/>
        <v>13</v>
      </c>
      <c r="N371" s="92">
        <f t="shared" si="54"/>
        <v>1.5</v>
      </c>
      <c r="O371" s="104">
        <f t="shared" si="48"/>
        <v>1.016</v>
      </c>
      <c r="P371" s="105">
        <f t="shared" si="55"/>
        <v>13.868399999999999</v>
      </c>
    </row>
    <row r="372" spans="2:16" x14ac:dyDescent="0.25">
      <c r="B372" s="88" t="str">
        <f t="shared" si="52"/>
        <v>Sitio Santa Lúcia</v>
      </c>
      <c r="C372" s="106">
        <f t="shared" si="49"/>
        <v>2020</v>
      </c>
      <c r="D372" s="101">
        <v>43931</v>
      </c>
      <c r="E372" s="102">
        <v>0.45833333333333331</v>
      </c>
      <c r="F372" s="102">
        <v>0.5</v>
      </c>
      <c r="G372" s="102">
        <v>0.4375</v>
      </c>
      <c r="H372" s="102">
        <v>0.47916666666666702</v>
      </c>
      <c r="I372" s="90">
        <f t="shared" si="56"/>
        <v>1.0000000000000004</v>
      </c>
      <c r="J372" s="90">
        <f t="shared" si="53"/>
        <v>1.0000000000000084</v>
      </c>
      <c r="K372" s="91">
        <f t="shared" si="50"/>
        <v>0.95833333333333348</v>
      </c>
      <c r="L372" s="91">
        <f t="shared" si="51"/>
        <v>3.9583333333333339</v>
      </c>
      <c r="M372" s="29">
        <f t="shared" si="57"/>
        <v>13</v>
      </c>
      <c r="N372" s="92">
        <f t="shared" si="54"/>
        <v>1.0000000000000004</v>
      </c>
      <c r="O372" s="104">
        <f t="shared" si="48"/>
        <v>1.016</v>
      </c>
      <c r="P372" s="105">
        <f t="shared" si="55"/>
        <v>9.2456000000000031</v>
      </c>
    </row>
    <row r="373" spans="2:16" x14ac:dyDescent="0.25">
      <c r="B373" s="88" t="str">
        <f t="shared" si="52"/>
        <v>Sitio Santa Lúcia</v>
      </c>
      <c r="C373" s="106">
        <f t="shared" si="49"/>
        <v>2020</v>
      </c>
      <c r="D373" s="101">
        <v>43932</v>
      </c>
      <c r="E373" s="102">
        <v>0.39583333333333331</v>
      </c>
      <c r="F373" s="102">
        <v>0.4375</v>
      </c>
      <c r="G373" s="102">
        <v>0.33333333333333331</v>
      </c>
      <c r="H373" s="102">
        <v>0.41666666666666669</v>
      </c>
      <c r="I373" s="90">
        <f t="shared" si="56"/>
        <v>1.0000000000000004</v>
      </c>
      <c r="J373" s="90">
        <f t="shared" si="53"/>
        <v>2.0000000000000009</v>
      </c>
      <c r="K373" s="91">
        <f t="shared" si="50"/>
        <v>0.95833333333333348</v>
      </c>
      <c r="L373" s="91">
        <f t="shared" si="51"/>
        <v>3.9583333333333339</v>
      </c>
      <c r="M373" s="29">
        <f t="shared" si="57"/>
        <v>13</v>
      </c>
      <c r="N373" s="92">
        <f t="shared" si="54"/>
        <v>1.0000000000000004</v>
      </c>
      <c r="O373" s="104">
        <f t="shared" ref="O373:O436" si="58">$D$21/1000</f>
        <v>1.016</v>
      </c>
      <c r="P373" s="105">
        <f t="shared" si="55"/>
        <v>9.2456000000000031</v>
      </c>
    </row>
    <row r="374" spans="2:16" x14ac:dyDescent="0.25">
      <c r="B374" s="88" t="str">
        <f t="shared" si="52"/>
        <v>Sitio Santa Lúcia</v>
      </c>
      <c r="C374" s="106">
        <f t="shared" ref="C374:C437" si="59">YEAR(D374)</f>
        <v>2020</v>
      </c>
      <c r="D374" s="101">
        <v>43933</v>
      </c>
      <c r="E374" s="102">
        <v>0.29166666666666669</v>
      </c>
      <c r="F374" s="102">
        <v>0.375</v>
      </c>
      <c r="G374" s="102">
        <v>0.39583333333333331</v>
      </c>
      <c r="H374" s="102">
        <v>0.45833333333333331</v>
      </c>
      <c r="I374" s="90">
        <f t="shared" si="56"/>
        <v>1.9999999999999996</v>
      </c>
      <c r="J374" s="90">
        <f t="shared" si="53"/>
        <v>1.5</v>
      </c>
      <c r="K374" s="91">
        <f t="shared" si="50"/>
        <v>0.95833333333333348</v>
      </c>
      <c r="L374" s="91">
        <f t="shared" si="51"/>
        <v>3.9583333333333339</v>
      </c>
      <c r="M374" s="29">
        <f t="shared" si="57"/>
        <v>13</v>
      </c>
      <c r="N374" s="92">
        <f t="shared" si="54"/>
        <v>1.9999999999999996</v>
      </c>
      <c r="O374" s="104">
        <f t="shared" si="58"/>
        <v>1.016</v>
      </c>
      <c r="P374" s="105">
        <f t="shared" si="55"/>
        <v>18.491199999999996</v>
      </c>
    </row>
    <row r="375" spans="2:16" x14ac:dyDescent="0.25">
      <c r="B375" s="88" t="str">
        <f t="shared" si="52"/>
        <v>Sitio Santa Lúcia</v>
      </c>
      <c r="C375" s="106">
        <f t="shared" si="59"/>
        <v>2020</v>
      </c>
      <c r="D375" s="101">
        <v>43934</v>
      </c>
      <c r="E375" s="102">
        <v>0.45833333333333331</v>
      </c>
      <c r="F375" s="102">
        <v>0.5</v>
      </c>
      <c r="G375" s="102">
        <v>0.45833333333333331</v>
      </c>
      <c r="H375" s="102">
        <v>0.5</v>
      </c>
      <c r="I375" s="90">
        <f t="shared" si="56"/>
        <v>1.0000000000000004</v>
      </c>
      <c r="J375" s="90">
        <f t="shared" si="53"/>
        <v>1.0000000000000004</v>
      </c>
      <c r="K375" s="91">
        <f t="shared" ref="K375:K438" si="60">VLOOKUP(B375,$B$5:$J$17,5,FALSE)</f>
        <v>0.95833333333333348</v>
      </c>
      <c r="L375" s="91">
        <f t="shared" ref="L375:L438" si="61">VLOOKUP(B375,$B$5:$J$17,6,FALSE)</f>
        <v>3.9583333333333339</v>
      </c>
      <c r="M375" s="29">
        <f t="shared" si="57"/>
        <v>13</v>
      </c>
      <c r="N375" s="92">
        <f t="shared" si="54"/>
        <v>1.0000000000000004</v>
      </c>
      <c r="O375" s="104">
        <f t="shared" si="58"/>
        <v>1.016</v>
      </c>
      <c r="P375" s="105">
        <f t="shared" si="55"/>
        <v>9.2456000000000031</v>
      </c>
    </row>
    <row r="376" spans="2:16" x14ac:dyDescent="0.25">
      <c r="B376" s="88" t="str">
        <f t="shared" si="52"/>
        <v>Sitio Santa Lúcia</v>
      </c>
      <c r="C376" s="106">
        <f t="shared" si="59"/>
        <v>2020</v>
      </c>
      <c r="D376" s="101">
        <v>43935</v>
      </c>
      <c r="E376" s="102">
        <v>0.39583333333333331</v>
      </c>
      <c r="F376" s="102">
        <v>0.45833333333333331</v>
      </c>
      <c r="G376" s="102">
        <v>0.375</v>
      </c>
      <c r="H376" s="102">
        <v>0.4375</v>
      </c>
      <c r="I376" s="90">
        <f t="shared" si="56"/>
        <v>1.5</v>
      </c>
      <c r="J376" s="90">
        <f t="shared" si="53"/>
        <v>1.5</v>
      </c>
      <c r="K376" s="91">
        <f t="shared" si="60"/>
        <v>0.95833333333333348</v>
      </c>
      <c r="L376" s="91">
        <f t="shared" si="61"/>
        <v>3.9583333333333339</v>
      </c>
      <c r="M376" s="29">
        <f t="shared" si="57"/>
        <v>13</v>
      </c>
      <c r="N376" s="92">
        <f t="shared" si="54"/>
        <v>1.5</v>
      </c>
      <c r="O376" s="104">
        <f t="shared" si="58"/>
        <v>1.016</v>
      </c>
      <c r="P376" s="105">
        <f t="shared" si="55"/>
        <v>13.868399999999999</v>
      </c>
    </row>
    <row r="377" spans="2:16" x14ac:dyDescent="0.25">
      <c r="B377" s="88" t="str">
        <f t="shared" si="52"/>
        <v>Sitio Santa Lúcia</v>
      </c>
      <c r="C377" s="106">
        <f t="shared" si="59"/>
        <v>2020</v>
      </c>
      <c r="D377" s="101">
        <v>43936</v>
      </c>
      <c r="E377" s="102">
        <v>0.29166666666666669</v>
      </c>
      <c r="F377" s="102">
        <v>0.33333333333333298</v>
      </c>
      <c r="G377" s="102">
        <v>0.29166666666666669</v>
      </c>
      <c r="H377" s="102">
        <v>0.375</v>
      </c>
      <c r="I377" s="90">
        <f t="shared" si="56"/>
        <v>0.99999999999999112</v>
      </c>
      <c r="J377" s="90">
        <f t="shared" si="53"/>
        <v>1.9999999999999996</v>
      </c>
      <c r="K377" s="91">
        <f t="shared" si="60"/>
        <v>0.95833333333333348</v>
      </c>
      <c r="L377" s="91">
        <f t="shared" si="61"/>
        <v>3.9583333333333339</v>
      </c>
      <c r="M377" s="29">
        <f t="shared" si="57"/>
        <v>13</v>
      </c>
      <c r="N377" s="92">
        <f t="shared" si="54"/>
        <v>0.99999999999999112</v>
      </c>
      <c r="O377" s="104">
        <f t="shared" si="58"/>
        <v>1.016</v>
      </c>
      <c r="P377" s="105">
        <f t="shared" si="55"/>
        <v>9.2455999999999179</v>
      </c>
    </row>
    <row r="378" spans="2:16" x14ac:dyDescent="0.25">
      <c r="B378" s="88" t="str">
        <f t="shared" si="52"/>
        <v>Sitio Santa Lúcia</v>
      </c>
      <c r="C378" s="106">
        <f t="shared" si="59"/>
        <v>2020</v>
      </c>
      <c r="D378" s="101">
        <v>43937</v>
      </c>
      <c r="E378" s="102">
        <v>0.41666666666666669</v>
      </c>
      <c r="F378" s="102">
        <v>0.45833333333333298</v>
      </c>
      <c r="G378" s="102">
        <v>0.4375</v>
      </c>
      <c r="H378" s="102">
        <v>0.5</v>
      </c>
      <c r="I378" s="90">
        <f t="shared" si="56"/>
        <v>0.99999999999999112</v>
      </c>
      <c r="J378" s="90">
        <f t="shared" si="53"/>
        <v>1.5</v>
      </c>
      <c r="K378" s="91">
        <f t="shared" si="60"/>
        <v>0.95833333333333348</v>
      </c>
      <c r="L378" s="91">
        <f t="shared" si="61"/>
        <v>3.9583333333333339</v>
      </c>
      <c r="M378" s="29">
        <f t="shared" si="57"/>
        <v>13</v>
      </c>
      <c r="N378" s="92">
        <f t="shared" si="54"/>
        <v>0.99999999999999112</v>
      </c>
      <c r="O378" s="104">
        <f t="shared" si="58"/>
        <v>1.016</v>
      </c>
      <c r="P378" s="105">
        <f t="shared" si="55"/>
        <v>9.2455999999999179</v>
      </c>
    </row>
    <row r="379" spans="2:16" x14ac:dyDescent="0.25">
      <c r="B379" s="88" t="str">
        <f t="shared" si="52"/>
        <v>Sitio Santa Lúcia</v>
      </c>
      <c r="C379" s="106">
        <f t="shared" si="59"/>
        <v>2020</v>
      </c>
      <c r="D379" s="101">
        <v>43938</v>
      </c>
      <c r="E379" s="102">
        <v>0.36805555555555558</v>
      </c>
      <c r="F379" s="102">
        <v>0.40972222222222199</v>
      </c>
      <c r="G379" s="102">
        <v>0.41666666666666669</v>
      </c>
      <c r="H379" s="102">
        <v>0.47916666666666669</v>
      </c>
      <c r="I379" s="90">
        <f t="shared" si="56"/>
        <v>0.99999999999999378</v>
      </c>
      <c r="J379" s="90">
        <f t="shared" si="53"/>
        <v>1.5</v>
      </c>
      <c r="K379" s="91">
        <f t="shared" si="60"/>
        <v>0.95833333333333348</v>
      </c>
      <c r="L379" s="91">
        <f t="shared" si="61"/>
        <v>3.9583333333333339</v>
      </c>
      <c r="M379" s="29">
        <f t="shared" si="57"/>
        <v>13</v>
      </c>
      <c r="N379" s="92">
        <f t="shared" si="54"/>
        <v>0.99999999999999378</v>
      </c>
      <c r="O379" s="104">
        <f t="shared" si="58"/>
        <v>1.016</v>
      </c>
      <c r="P379" s="105">
        <f t="shared" si="55"/>
        <v>9.245599999999941</v>
      </c>
    </row>
    <row r="380" spans="2:16" x14ac:dyDescent="0.25">
      <c r="B380" s="88" t="str">
        <f t="shared" si="52"/>
        <v>Sitio Santa Lúcia</v>
      </c>
      <c r="C380" s="106">
        <f t="shared" si="59"/>
        <v>2020</v>
      </c>
      <c r="D380" s="101">
        <v>43939</v>
      </c>
      <c r="E380" s="102">
        <v>0.45833333333333331</v>
      </c>
      <c r="F380" s="102">
        <v>0.5</v>
      </c>
      <c r="G380" s="102">
        <v>0.41666666666666669</v>
      </c>
      <c r="H380" s="102">
        <v>0.45833333333333331</v>
      </c>
      <c r="I380" s="90">
        <f t="shared" si="56"/>
        <v>1.0000000000000004</v>
      </c>
      <c r="J380" s="90">
        <f t="shared" si="53"/>
        <v>0.99999999999999911</v>
      </c>
      <c r="K380" s="91">
        <f t="shared" si="60"/>
        <v>0.95833333333333348</v>
      </c>
      <c r="L380" s="91">
        <f t="shared" si="61"/>
        <v>3.9583333333333339</v>
      </c>
      <c r="M380" s="29">
        <f t="shared" si="57"/>
        <v>13</v>
      </c>
      <c r="N380" s="92">
        <f t="shared" si="54"/>
        <v>1.0000000000000004</v>
      </c>
      <c r="O380" s="104">
        <f t="shared" si="58"/>
        <v>1.016</v>
      </c>
      <c r="P380" s="105">
        <f t="shared" si="55"/>
        <v>9.2456000000000031</v>
      </c>
    </row>
    <row r="381" spans="2:16" x14ac:dyDescent="0.25">
      <c r="B381" s="88" t="str">
        <f t="shared" si="52"/>
        <v>Sitio Santa Lúcia</v>
      </c>
      <c r="C381" s="106">
        <f t="shared" si="59"/>
        <v>2020</v>
      </c>
      <c r="D381" s="101">
        <v>43940</v>
      </c>
      <c r="E381" s="102">
        <v>0.29166666666666669</v>
      </c>
      <c r="F381" s="102">
        <v>0.39583333333333331</v>
      </c>
      <c r="G381" s="102">
        <v>0.4375</v>
      </c>
      <c r="H381" s="102">
        <v>0.49305555555555558</v>
      </c>
      <c r="I381" s="90">
        <f t="shared" si="56"/>
        <v>2.4999999999999991</v>
      </c>
      <c r="J381" s="90">
        <f t="shared" si="53"/>
        <v>1.3333333333333339</v>
      </c>
      <c r="K381" s="91">
        <f t="shared" si="60"/>
        <v>0.95833333333333348</v>
      </c>
      <c r="L381" s="91">
        <f t="shared" si="61"/>
        <v>3.9583333333333339</v>
      </c>
      <c r="M381" s="29">
        <f t="shared" si="57"/>
        <v>13</v>
      </c>
      <c r="N381" s="92">
        <f t="shared" si="54"/>
        <v>2.4999999999999991</v>
      </c>
      <c r="O381" s="104">
        <f t="shared" si="58"/>
        <v>1.016</v>
      </c>
      <c r="P381" s="105">
        <f t="shared" si="55"/>
        <v>23.11399999999999</v>
      </c>
    </row>
    <row r="382" spans="2:16" x14ac:dyDescent="0.25">
      <c r="B382" s="88" t="str">
        <f t="shared" si="52"/>
        <v>Sitio Santa Lúcia</v>
      </c>
      <c r="C382" s="106">
        <f t="shared" si="59"/>
        <v>2020</v>
      </c>
      <c r="D382" s="101">
        <v>43941</v>
      </c>
      <c r="E382" s="102">
        <v>0.4375</v>
      </c>
      <c r="F382" s="102">
        <v>0.5</v>
      </c>
      <c r="G382" s="102">
        <v>0.29166666666666669</v>
      </c>
      <c r="H382" s="102">
        <v>0.375</v>
      </c>
      <c r="I382" s="90">
        <f t="shared" si="56"/>
        <v>1.5</v>
      </c>
      <c r="J382" s="90">
        <f t="shared" si="53"/>
        <v>1.9999999999999996</v>
      </c>
      <c r="K382" s="91">
        <f t="shared" si="60"/>
        <v>0.95833333333333348</v>
      </c>
      <c r="L382" s="91">
        <f t="shared" si="61"/>
        <v>3.9583333333333339</v>
      </c>
      <c r="M382" s="29">
        <f t="shared" si="57"/>
        <v>13</v>
      </c>
      <c r="N382" s="92">
        <f t="shared" si="54"/>
        <v>1.5</v>
      </c>
      <c r="O382" s="104">
        <f t="shared" si="58"/>
        <v>1.016</v>
      </c>
      <c r="P382" s="105">
        <f t="shared" si="55"/>
        <v>13.868399999999999</v>
      </c>
    </row>
    <row r="383" spans="2:16" x14ac:dyDescent="0.25">
      <c r="B383" s="88" t="str">
        <f t="shared" si="52"/>
        <v>Sitio Santa Lúcia</v>
      </c>
      <c r="C383" s="106">
        <f t="shared" si="59"/>
        <v>2020</v>
      </c>
      <c r="D383" s="101">
        <v>43942</v>
      </c>
      <c r="E383" s="102">
        <v>0.45833333333333331</v>
      </c>
      <c r="F383" s="102">
        <v>0.5</v>
      </c>
      <c r="G383" s="102">
        <v>0.29166666666666669</v>
      </c>
      <c r="H383" s="102">
        <v>0.45833333333333331</v>
      </c>
      <c r="I383" s="90">
        <f t="shared" si="56"/>
        <v>1.0000000000000004</v>
      </c>
      <c r="J383" s="90">
        <f t="shared" si="53"/>
        <v>3.9999999999999991</v>
      </c>
      <c r="K383" s="91">
        <f t="shared" si="60"/>
        <v>0.95833333333333348</v>
      </c>
      <c r="L383" s="91">
        <f t="shared" si="61"/>
        <v>3.9583333333333339</v>
      </c>
      <c r="M383" s="29">
        <f t="shared" si="57"/>
        <v>13</v>
      </c>
      <c r="N383" s="92">
        <f t="shared" si="54"/>
        <v>1.0000000000000004</v>
      </c>
      <c r="O383" s="104">
        <f t="shared" si="58"/>
        <v>1.016</v>
      </c>
      <c r="P383" s="105">
        <f t="shared" si="55"/>
        <v>9.2456000000000031</v>
      </c>
    </row>
    <row r="384" spans="2:16" x14ac:dyDescent="0.25">
      <c r="B384" s="88" t="str">
        <f t="shared" si="52"/>
        <v>Sitio Santa Lúcia</v>
      </c>
      <c r="C384" s="106">
        <f t="shared" si="59"/>
        <v>2020</v>
      </c>
      <c r="D384" s="101">
        <v>43943</v>
      </c>
      <c r="E384" s="102">
        <v>0.29166666666666669</v>
      </c>
      <c r="F384" s="102">
        <v>0.41666666666666669</v>
      </c>
      <c r="G384" s="102">
        <v>0.33333333333333331</v>
      </c>
      <c r="H384" s="102">
        <v>0.44444444444444442</v>
      </c>
      <c r="I384" s="90">
        <f t="shared" si="56"/>
        <v>3</v>
      </c>
      <c r="J384" s="90">
        <f t="shared" si="53"/>
        <v>2.6666666666666665</v>
      </c>
      <c r="K384" s="91">
        <f t="shared" si="60"/>
        <v>0.95833333333333348</v>
      </c>
      <c r="L384" s="91">
        <f t="shared" si="61"/>
        <v>3.9583333333333339</v>
      </c>
      <c r="M384" s="29">
        <f t="shared" si="57"/>
        <v>13</v>
      </c>
      <c r="N384" s="92">
        <f t="shared" si="54"/>
        <v>3</v>
      </c>
      <c r="O384" s="104">
        <f t="shared" si="58"/>
        <v>1.016</v>
      </c>
      <c r="P384" s="105">
        <f t="shared" si="55"/>
        <v>27.736799999999999</v>
      </c>
    </row>
    <row r="385" spans="2:16" x14ac:dyDescent="0.25">
      <c r="B385" s="88" t="str">
        <f t="shared" si="52"/>
        <v>Sitio Santa Lúcia</v>
      </c>
      <c r="C385" s="106">
        <f t="shared" si="59"/>
        <v>2020</v>
      </c>
      <c r="D385" s="101">
        <v>43944</v>
      </c>
      <c r="E385" s="102">
        <v>0.36458333333333331</v>
      </c>
      <c r="F385" s="102">
        <v>0.45833333333333298</v>
      </c>
      <c r="G385" s="102">
        <v>0.41666666666666669</v>
      </c>
      <c r="H385" s="102">
        <v>0.48958333333333331</v>
      </c>
      <c r="I385" s="90">
        <f t="shared" si="56"/>
        <v>2.249999999999992</v>
      </c>
      <c r="J385" s="90">
        <f t="shared" si="53"/>
        <v>1.7499999999999991</v>
      </c>
      <c r="K385" s="91">
        <f t="shared" si="60"/>
        <v>0.95833333333333348</v>
      </c>
      <c r="L385" s="91">
        <f t="shared" si="61"/>
        <v>3.9583333333333339</v>
      </c>
      <c r="M385" s="29">
        <f t="shared" si="57"/>
        <v>13</v>
      </c>
      <c r="N385" s="92">
        <f t="shared" si="54"/>
        <v>2.249999999999992</v>
      </c>
      <c r="O385" s="104">
        <f t="shared" si="58"/>
        <v>1.016</v>
      </c>
      <c r="P385" s="105">
        <f t="shared" si="55"/>
        <v>20.802599999999927</v>
      </c>
    </row>
    <row r="386" spans="2:16" x14ac:dyDescent="0.25">
      <c r="B386" s="88" t="str">
        <f t="shared" si="52"/>
        <v>Sitio Santa Lúcia</v>
      </c>
      <c r="C386" s="106">
        <f t="shared" si="59"/>
        <v>2020</v>
      </c>
      <c r="D386" s="101">
        <v>43945</v>
      </c>
      <c r="E386" s="102">
        <v>0.3888888888888889</v>
      </c>
      <c r="F386" s="102">
        <v>0.41666666666666669</v>
      </c>
      <c r="G386" s="102">
        <v>0.33333333333333331</v>
      </c>
      <c r="H386" s="102">
        <v>0.375</v>
      </c>
      <c r="I386" s="90">
        <f t="shared" si="56"/>
        <v>0.66666666666666696</v>
      </c>
      <c r="J386" s="90">
        <f t="shared" si="53"/>
        <v>1.0000000000000004</v>
      </c>
      <c r="K386" s="91">
        <f t="shared" si="60"/>
        <v>0.95833333333333348</v>
      </c>
      <c r="L386" s="91">
        <f t="shared" si="61"/>
        <v>3.9583333333333339</v>
      </c>
      <c r="M386" s="29">
        <f t="shared" si="57"/>
        <v>13</v>
      </c>
      <c r="N386" s="92">
        <f t="shared" si="54"/>
        <v>0.66666666666666696</v>
      </c>
      <c r="O386" s="104">
        <f t="shared" si="58"/>
        <v>1.016</v>
      </c>
      <c r="P386" s="105">
        <f t="shared" si="55"/>
        <v>6.1637333333333366</v>
      </c>
    </row>
    <row r="387" spans="2:16" x14ac:dyDescent="0.25">
      <c r="B387" s="88" t="str">
        <f t="shared" si="52"/>
        <v>Sitio Santa Lúcia</v>
      </c>
      <c r="C387" s="106">
        <f t="shared" si="59"/>
        <v>2020</v>
      </c>
      <c r="D387" s="101">
        <v>43946</v>
      </c>
      <c r="E387" s="102">
        <v>0.41666666666666669</v>
      </c>
      <c r="F387" s="102">
        <v>0.45833333333333298</v>
      </c>
      <c r="G387" s="102">
        <v>0.29166666666666669</v>
      </c>
      <c r="H387" s="102">
        <v>0.33333333333333298</v>
      </c>
      <c r="I387" s="90">
        <f t="shared" si="56"/>
        <v>0.99999999999999112</v>
      </c>
      <c r="J387" s="90">
        <f t="shared" si="53"/>
        <v>0.99999999999999112</v>
      </c>
      <c r="K387" s="91">
        <f t="shared" si="60"/>
        <v>0.95833333333333348</v>
      </c>
      <c r="L387" s="91">
        <f t="shared" si="61"/>
        <v>3.9583333333333339</v>
      </c>
      <c r="M387" s="29">
        <f t="shared" si="57"/>
        <v>13</v>
      </c>
      <c r="N387" s="92">
        <f t="shared" si="54"/>
        <v>0.99999999999999112</v>
      </c>
      <c r="O387" s="104">
        <f t="shared" si="58"/>
        <v>1.016</v>
      </c>
      <c r="P387" s="105">
        <f t="shared" si="55"/>
        <v>9.2455999999999179</v>
      </c>
    </row>
    <row r="388" spans="2:16" x14ac:dyDescent="0.25">
      <c r="B388" s="88" t="str">
        <f t="shared" si="52"/>
        <v>Sitio Santa Lúcia</v>
      </c>
      <c r="C388" s="106">
        <f t="shared" si="59"/>
        <v>2020</v>
      </c>
      <c r="D388" s="101">
        <v>43947</v>
      </c>
      <c r="E388" s="102">
        <v>0.33333333333333331</v>
      </c>
      <c r="F388" s="102">
        <v>0.40972222222222227</v>
      </c>
      <c r="G388" s="102">
        <v>0.29166666666666669</v>
      </c>
      <c r="H388" s="102">
        <v>0.45833333333333298</v>
      </c>
      <c r="I388" s="90">
        <f t="shared" si="56"/>
        <v>1.8333333333333348</v>
      </c>
      <c r="J388" s="90">
        <f t="shared" si="53"/>
        <v>3.9999999999999911</v>
      </c>
      <c r="K388" s="91">
        <f t="shared" si="60"/>
        <v>0.95833333333333348</v>
      </c>
      <c r="L388" s="91">
        <f t="shared" si="61"/>
        <v>3.9583333333333339</v>
      </c>
      <c r="M388" s="29">
        <f t="shared" si="57"/>
        <v>13</v>
      </c>
      <c r="N388" s="92">
        <f t="shared" si="54"/>
        <v>1.8333333333333348</v>
      </c>
      <c r="O388" s="104">
        <f t="shared" si="58"/>
        <v>1.016</v>
      </c>
      <c r="P388" s="105">
        <f t="shared" si="55"/>
        <v>16.950266666666678</v>
      </c>
    </row>
    <row r="389" spans="2:16" x14ac:dyDescent="0.25">
      <c r="B389" s="88" t="str">
        <f t="shared" si="52"/>
        <v>Sitio Santa Lúcia</v>
      </c>
      <c r="C389" s="106">
        <f t="shared" si="59"/>
        <v>2020</v>
      </c>
      <c r="D389" s="101">
        <v>43948</v>
      </c>
      <c r="E389" s="102">
        <v>0</v>
      </c>
      <c r="F389" s="102">
        <v>0</v>
      </c>
      <c r="G389" s="102">
        <v>0</v>
      </c>
      <c r="H389" s="102">
        <v>0</v>
      </c>
      <c r="I389" s="90">
        <f t="shared" si="56"/>
        <v>0</v>
      </c>
      <c r="J389" s="90">
        <f t="shared" si="53"/>
        <v>0</v>
      </c>
      <c r="K389" s="91">
        <f t="shared" si="60"/>
        <v>0.95833333333333348</v>
      </c>
      <c r="L389" s="91">
        <f t="shared" si="61"/>
        <v>3.9583333333333339</v>
      </c>
      <c r="M389" s="29">
        <f t="shared" si="57"/>
        <v>13</v>
      </c>
      <c r="N389" s="92">
        <f t="shared" si="54"/>
        <v>0</v>
      </c>
      <c r="O389" s="104">
        <f t="shared" si="58"/>
        <v>1.016</v>
      </c>
      <c r="P389" s="105">
        <f t="shared" si="55"/>
        <v>0</v>
      </c>
    </row>
    <row r="390" spans="2:16" x14ac:dyDescent="0.25">
      <c r="B390" s="88" t="str">
        <f t="shared" si="52"/>
        <v>Sitio Santa Lúcia</v>
      </c>
      <c r="C390" s="106">
        <f t="shared" si="59"/>
        <v>2020</v>
      </c>
      <c r="D390" s="101">
        <v>43949</v>
      </c>
      <c r="E390" s="102">
        <v>0.29166666666666669</v>
      </c>
      <c r="F390" s="102">
        <v>0.41666666666666669</v>
      </c>
      <c r="G390" s="102">
        <v>0.3263888888888889</v>
      </c>
      <c r="H390" s="102">
        <v>0.375</v>
      </c>
      <c r="I390" s="90">
        <f t="shared" si="56"/>
        <v>3</v>
      </c>
      <c r="J390" s="90">
        <f t="shared" si="53"/>
        <v>1.1666666666666665</v>
      </c>
      <c r="K390" s="91">
        <f t="shared" si="60"/>
        <v>0.95833333333333348</v>
      </c>
      <c r="L390" s="91">
        <f t="shared" si="61"/>
        <v>3.9583333333333339</v>
      </c>
      <c r="M390" s="29">
        <f t="shared" si="57"/>
        <v>13</v>
      </c>
      <c r="N390" s="92">
        <f t="shared" si="54"/>
        <v>3</v>
      </c>
      <c r="O390" s="104">
        <f t="shared" si="58"/>
        <v>1.016</v>
      </c>
      <c r="P390" s="105">
        <f t="shared" si="55"/>
        <v>27.736799999999999</v>
      </c>
    </row>
    <row r="391" spans="2:16" x14ac:dyDescent="0.25">
      <c r="B391" s="88" t="str">
        <f t="shared" si="52"/>
        <v>Sitio Santa Lúcia</v>
      </c>
      <c r="C391" s="106">
        <f t="shared" si="59"/>
        <v>2020</v>
      </c>
      <c r="D391" s="101">
        <v>43950</v>
      </c>
      <c r="E391" s="102">
        <v>0.41666666666666669</v>
      </c>
      <c r="F391" s="102">
        <v>0.5</v>
      </c>
      <c r="G391" s="102">
        <v>0.45833333333333331</v>
      </c>
      <c r="H391" s="102">
        <v>0.5</v>
      </c>
      <c r="I391" s="90">
        <f t="shared" si="56"/>
        <v>1.9999999999999996</v>
      </c>
      <c r="J391" s="90">
        <f t="shared" si="53"/>
        <v>1.0000000000000004</v>
      </c>
      <c r="K391" s="91">
        <f t="shared" si="60"/>
        <v>0.95833333333333348</v>
      </c>
      <c r="L391" s="91">
        <f t="shared" si="61"/>
        <v>3.9583333333333339</v>
      </c>
      <c r="M391" s="29">
        <f t="shared" si="57"/>
        <v>13</v>
      </c>
      <c r="N391" s="92">
        <f t="shared" si="54"/>
        <v>1.9999999999999996</v>
      </c>
      <c r="O391" s="104">
        <f t="shared" si="58"/>
        <v>1.016</v>
      </c>
      <c r="P391" s="105">
        <f t="shared" si="55"/>
        <v>18.491199999999996</v>
      </c>
    </row>
    <row r="392" spans="2:16" x14ac:dyDescent="0.25">
      <c r="B392" s="88" t="str">
        <f t="shared" si="52"/>
        <v>Sitio Santa Lúcia</v>
      </c>
      <c r="C392" s="106">
        <f t="shared" si="59"/>
        <v>2020</v>
      </c>
      <c r="D392" s="101">
        <v>43951</v>
      </c>
      <c r="E392" s="102">
        <v>0.41666666666666669</v>
      </c>
      <c r="F392" s="102">
        <v>0.45833333333333298</v>
      </c>
      <c r="G392" s="102">
        <v>0.29166666666666669</v>
      </c>
      <c r="H392" s="102">
        <v>0.45833333333333331</v>
      </c>
      <c r="I392" s="90">
        <f t="shared" si="56"/>
        <v>0.99999999999999112</v>
      </c>
      <c r="J392" s="90">
        <f t="shared" si="53"/>
        <v>3.9999999999999991</v>
      </c>
      <c r="K392" s="91">
        <f t="shared" si="60"/>
        <v>0.95833333333333348</v>
      </c>
      <c r="L392" s="91">
        <f t="shared" si="61"/>
        <v>3.9583333333333339</v>
      </c>
      <c r="M392" s="29">
        <f t="shared" si="57"/>
        <v>13</v>
      </c>
      <c r="N392" s="92">
        <f t="shared" si="54"/>
        <v>0.99999999999999112</v>
      </c>
      <c r="O392" s="104">
        <f t="shared" si="58"/>
        <v>1.016</v>
      </c>
      <c r="P392" s="105">
        <f t="shared" si="55"/>
        <v>9.2455999999999179</v>
      </c>
    </row>
    <row r="393" spans="2:16" x14ac:dyDescent="0.25">
      <c r="B393" s="88" t="str">
        <f t="shared" si="52"/>
        <v>Sitio Santa Lúcia</v>
      </c>
      <c r="C393" s="106">
        <f t="shared" si="59"/>
        <v>2020</v>
      </c>
      <c r="D393" s="101">
        <v>43952</v>
      </c>
      <c r="E393" s="102">
        <v>0.41666666666666669</v>
      </c>
      <c r="F393" s="102">
        <v>0.45833333333333298</v>
      </c>
      <c r="G393" s="102">
        <v>0.29166666666666669</v>
      </c>
      <c r="H393" s="102">
        <v>0.33333333333333331</v>
      </c>
      <c r="I393" s="90">
        <f t="shared" si="56"/>
        <v>0.99999999999999112</v>
      </c>
      <c r="J393" s="90">
        <f t="shared" si="53"/>
        <v>0.99999999999999911</v>
      </c>
      <c r="K393" s="91">
        <f t="shared" si="60"/>
        <v>0.95833333333333348</v>
      </c>
      <c r="L393" s="91">
        <f t="shared" si="61"/>
        <v>3.9583333333333339</v>
      </c>
      <c r="M393" s="29">
        <f t="shared" si="57"/>
        <v>13</v>
      </c>
      <c r="N393" s="92">
        <f t="shared" si="54"/>
        <v>0.99999999999999112</v>
      </c>
      <c r="O393" s="104">
        <f t="shared" si="58"/>
        <v>1.016</v>
      </c>
      <c r="P393" s="105">
        <f t="shared" si="55"/>
        <v>9.2455999999999179</v>
      </c>
    </row>
    <row r="394" spans="2:16" x14ac:dyDescent="0.25">
      <c r="B394" s="88" t="str">
        <f t="shared" si="52"/>
        <v>Sitio Santa Lúcia</v>
      </c>
      <c r="C394" s="106">
        <f t="shared" si="59"/>
        <v>2020</v>
      </c>
      <c r="D394" s="101">
        <v>43953</v>
      </c>
      <c r="E394" s="102">
        <v>0.375</v>
      </c>
      <c r="F394" s="102">
        <v>0.4375</v>
      </c>
      <c r="G394" s="102">
        <v>0.33333333333333331</v>
      </c>
      <c r="H394" s="102">
        <v>0.39583333333333331</v>
      </c>
      <c r="I394" s="90">
        <f t="shared" si="56"/>
        <v>1.5</v>
      </c>
      <c r="J394" s="90">
        <f t="shared" si="53"/>
        <v>1.5</v>
      </c>
      <c r="K394" s="91">
        <f t="shared" si="60"/>
        <v>0.95833333333333348</v>
      </c>
      <c r="L394" s="91">
        <f t="shared" si="61"/>
        <v>3.9583333333333339</v>
      </c>
      <c r="M394" s="29">
        <f t="shared" si="57"/>
        <v>13</v>
      </c>
      <c r="N394" s="92">
        <f t="shared" si="54"/>
        <v>1.5</v>
      </c>
      <c r="O394" s="104">
        <f t="shared" si="58"/>
        <v>1.016</v>
      </c>
      <c r="P394" s="105">
        <f t="shared" si="55"/>
        <v>13.868399999999999</v>
      </c>
    </row>
    <row r="395" spans="2:16" x14ac:dyDescent="0.25">
      <c r="B395" s="88" t="str">
        <f t="shared" si="52"/>
        <v>Sitio Santa Lúcia</v>
      </c>
      <c r="C395" s="106">
        <f t="shared" si="59"/>
        <v>2020</v>
      </c>
      <c r="D395" s="101">
        <v>43954</v>
      </c>
      <c r="E395" s="102">
        <v>0.41666666666666702</v>
      </c>
      <c r="F395" s="102">
        <v>0.5</v>
      </c>
      <c r="G395" s="102">
        <v>0.29166666666666669</v>
      </c>
      <c r="H395" s="102">
        <v>0.45833333333333331</v>
      </c>
      <c r="I395" s="90">
        <f t="shared" si="56"/>
        <v>1.9999999999999916</v>
      </c>
      <c r="J395" s="90">
        <f t="shared" si="53"/>
        <v>3.9999999999999991</v>
      </c>
      <c r="K395" s="91">
        <f t="shared" si="60"/>
        <v>0.95833333333333348</v>
      </c>
      <c r="L395" s="91">
        <f t="shared" si="61"/>
        <v>3.9583333333333339</v>
      </c>
      <c r="M395" s="29">
        <f t="shared" si="57"/>
        <v>13</v>
      </c>
      <c r="N395" s="92">
        <f t="shared" si="54"/>
        <v>1.9999999999999916</v>
      </c>
      <c r="O395" s="104">
        <f t="shared" si="58"/>
        <v>1.016</v>
      </c>
      <c r="P395" s="105">
        <f t="shared" si="55"/>
        <v>18.491199999999921</v>
      </c>
    </row>
    <row r="396" spans="2:16" x14ac:dyDescent="0.25">
      <c r="B396" s="88" t="str">
        <f t="shared" si="52"/>
        <v>Sitio Santa Lúcia</v>
      </c>
      <c r="C396" s="106">
        <f t="shared" si="59"/>
        <v>2020</v>
      </c>
      <c r="D396" s="101">
        <v>43955</v>
      </c>
      <c r="E396" s="102">
        <v>0.29166666666666669</v>
      </c>
      <c r="F396" s="102">
        <v>0.33333333333333298</v>
      </c>
      <c r="G396" s="102">
        <v>0.3611111111111111</v>
      </c>
      <c r="H396" s="102">
        <v>0.41666666666666702</v>
      </c>
      <c r="I396" s="90">
        <f t="shared" si="56"/>
        <v>0.99999999999999112</v>
      </c>
      <c r="J396" s="90">
        <f t="shared" si="53"/>
        <v>1.3333333333333419</v>
      </c>
      <c r="K396" s="91">
        <f t="shared" si="60"/>
        <v>0.95833333333333348</v>
      </c>
      <c r="L396" s="91">
        <f t="shared" si="61"/>
        <v>3.9583333333333339</v>
      </c>
      <c r="M396" s="29">
        <f t="shared" si="57"/>
        <v>13</v>
      </c>
      <c r="N396" s="92">
        <f t="shared" si="54"/>
        <v>0.99999999999999112</v>
      </c>
      <c r="O396" s="104">
        <f t="shared" si="58"/>
        <v>1.016</v>
      </c>
      <c r="P396" s="105">
        <f t="shared" si="55"/>
        <v>9.2455999999999179</v>
      </c>
    </row>
    <row r="397" spans="2:16" x14ac:dyDescent="0.25">
      <c r="B397" s="88" t="str">
        <f t="shared" si="52"/>
        <v>Sitio Santa Lúcia</v>
      </c>
      <c r="C397" s="106">
        <f t="shared" si="59"/>
        <v>2020</v>
      </c>
      <c r="D397" s="101">
        <v>43956</v>
      </c>
      <c r="E397" s="102">
        <v>0.41666666666666669</v>
      </c>
      <c r="F397" s="102">
        <v>0.45833333333333298</v>
      </c>
      <c r="G397" s="102">
        <v>0.44444444444444442</v>
      </c>
      <c r="H397" s="102">
        <v>0.49305555555555558</v>
      </c>
      <c r="I397" s="90">
        <f t="shared" si="56"/>
        <v>0.99999999999999112</v>
      </c>
      <c r="J397" s="90">
        <f t="shared" si="53"/>
        <v>1.1666666666666679</v>
      </c>
      <c r="K397" s="91">
        <f t="shared" si="60"/>
        <v>0.95833333333333348</v>
      </c>
      <c r="L397" s="91">
        <f t="shared" si="61"/>
        <v>3.9583333333333339</v>
      </c>
      <c r="M397" s="29">
        <f t="shared" si="57"/>
        <v>13</v>
      </c>
      <c r="N397" s="92">
        <f t="shared" si="54"/>
        <v>0.99999999999999112</v>
      </c>
      <c r="O397" s="104">
        <f t="shared" si="58"/>
        <v>1.016</v>
      </c>
      <c r="P397" s="105">
        <f t="shared" si="55"/>
        <v>9.2455999999999179</v>
      </c>
    </row>
    <row r="398" spans="2:16" x14ac:dyDescent="0.25">
      <c r="B398" s="88" t="str">
        <f t="shared" si="52"/>
        <v>Sitio Santa Lúcia</v>
      </c>
      <c r="C398" s="106">
        <f t="shared" si="59"/>
        <v>2020</v>
      </c>
      <c r="D398" s="101">
        <v>43957</v>
      </c>
      <c r="E398" s="102">
        <v>0.31944444444444448</v>
      </c>
      <c r="F398" s="102">
        <v>0.36805555555555558</v>
      </c>
      <c r="G398" s="102">
        <v>0.29166666666666669</v>
      </c>
      <c r="H398" s="102">
        <v>0.33333333333333331</v>
      </c>
      <c r="I398" s="90">
        <f t="shared" si="56"/>
        <v>1.1666666666666665</v>
      </c>
      <c r="J398" s="90">
        <f t="shared" si="53"/>
        <v>0.99999999999999911</v>
      </c>
      <c r="K398" s="91">
        <f t="shared" si="60"/>
        <v>0.95833333333333348</v>
      </c>
      <c r="L398" s="91">
        <f t="shared" si="61"/>
        <v>3.9583333333333339</v>
      </c>
      <c r="M398" s="29">
        <f t="shared" si="57"/>
        <v>13</v>
      </c>
      <c r="N398" s="92">
        <f t="shared" si="54"/>
        <v>1.1666666666666665</v>
      </c>
      <c r="O398" s="104">
        <f t="shared" si="58"/>
        <v>1.016</v>
      </c>
      <c r="P398" s="105">
        <f t="shared" si="55"/>
        <v>10.786533333333331</v>
      </c>
    </row>
    <row r="399" spans="2:16" x14ac:dyDescent="0.25">
      <c r="B399" s="88" t="str">
        <f t="shared" si="52"/>
        <v>Sitio Santa Lúcia</v>
      </c>
      <c r="C399" s="106">
        <f t="shared" si="59"/>
        <v>2020</v>
      </c>
      <c r="D399" s="101">
        <v>43958</v>
      </c>
      <c r="E399" s="102">
        <v>0.41666666666666669</v>
      </c>
      <c r="F399" s="102">
        <v>0.5</v>
      </c>
      <c r="G399" s="102">
        <v>0.375</v>
      </c>
      <c r="H399" s="102">
        <v>0.45833333333333331</v>
      </c>
      <c r="I399" s="90">
        <f t="shared" si="56"/>
        <v>1.9999999999999996</v>
      </c>
      <c r="J399" s="90">
        <f t="shared" si="53"/>
        <v>1.9999999999999996</v>
      </c>
      <c r="K399" s="91">
        <f t="shared" si="60"/>
        <v>0.95833333333333348</v>
      </c>
      <c r="L399" s="91">
        <f t="shared" si="61"/>
        <v>3.9583333333333339</v>
      </c>
      <c r="M399" s="29">
        <f t="shared" si="57"/>
        <v>13</v>
      </c>
      <c r="N399" s="92">
        <f t="shared" si="54"/>
        <v>1.9999999999999996</v>
      </c>
      <c r="O399" s="104">
        <f t="shared" si="58"/>
        <v>1.016</v>
      </c>
      <c r="P399" s="105">
        <f t="shared" si="55"/>
        <v>18.491199999999996</v>
      </c>
    </row>
    <row r="400" spans="2:16" x14ac:dyDescent="0.25">
      <c r="B400" s="88" t="str">
        <f t="shared" si="52"/>
        <v>Sitio Santa Lúcia</v>
      </c>
      <c r="C400" s="106">
        <f t="shared" si="59"/>
        <v>2020</v>
      </c>
      <c r="D400" s="101">
        <v>43959</v>
      </c>
      <c r="E400" s="102">
        <v>0.375</v>
      </c>
      <c r="F400" s="102">
        <v>0.45833333333333331</v>
      </c>
      <c r="G400" s="102">
        <v>0.29166666666666669</v>
      </c>
      <c r="H400" s="102">
        <v>0.36805555555555558</v>
      </c>
      <c r="I400" s="90">
        <f t="shared" si="56"/>
        <v>1.9999999999999996</v>
      </c>
      <c r="J400" s="90">
        <f t="shared" si="53"/>
        <v>1.8333333333333335</v>
      </c>
      <c r="K400" s="91">
        <f t="shared" si="60"/>
        <v>0.95833333333333348</v>
      </c>
      <c r="L400" s="91">
        <f t="shared" si="61"/>
        <v>3.9583333333333339</v>
      </c>
      <c r="M400" s="29">
        <f t="shared" si="57"/>
        <v>13</v>
      </c>
      <c r="N400" s="92">
        <f t="shared" si="54"/>
        <v>1.9999999999999996</v>
      </c>
      <c r="O400" s="104">
        <f t="shared" si="58"/>
        <v>1.016</v>
      </c>
      <c r="P400" s="105">
        <f t="shared" si="55"/>
        <v>18.491199999999996</v>
      </c>
    </row>
    <row r="401" spans="2:16" x14ac:dyDescent="0.25">
      <c r="B401" s="88" t="str">
        <f t="shared" si="52"/>
        <v>Sitio Santa Lúcia</v>
      </c>
      <c r="C401" s="106">
        <f t="shared" si="59"/>
        <v>2020</v>
      </c>
      <c r="D401" s="101">
        <v>43960</v>
      </c>
      <c r="E401" s="102">
        <v>0.45833333333333331</v>
      </c>
      <c r="F401" s="102">
        <v>0.5</v>
      </c>
      <c r="G401" s="102">
        <v>0.33333333333333331</v>
      </c>
      <c r="H401" s="102">
        <v>0.4375</v>
      </c>
      <c r="I401" s="90">
        <f t="shared" si="56"/>
        <v>1.0000000000000004</v>
      </c>
      <c r="J401" s="90">
        <f t="shared" si="53"/>
        <v>2.5000000000000004</v>
      </c>
      <c r="K401" s="91">
        <f t="shared" si="60"/>
        <v>0.95833333333333348</v>
      </c>
      <c r="L401" s="91">
        <f t="shared" si="61"/>
        <v>3.9583333333333339</v>
      </c>
      <c r="M401" s="29">
        <f t="shared" si="57"/>
        <v>13</v>
      </c>
      <c r="N401" s="92">
        <f t="shared" si="54"/>
        <v>1.0000000000000004</v>
      </c>
      <c r="O401" s="104">
        <f t="shared" si="58"/>
        <v>1.016</v>
      </c>
      <c r="P401" s="105">
        <f t="shared" si="55"/>
        <v>9.2456000000000031</v>
      </c>
    </row>
    <row r="402" spans="2:16" x14ac:dyDescent="0.25">
      <c r="B402" s="88" t="str">
        <f t="shared" si="52"/>
        <v>Sitio Santa Lúcia</v>
      </c>
      <c r="C402" s="106">
        <f t="shared" si="59"/>
        <v>2020</v>
      </c>
      <c r="D402" s="101">
        <v>43961</v>
      </c>
      <c r="E402" s="102">
        <v>0.29166666666666669</v>
      </c>
      <c r="F402" s="102">
        <v>0.39583333333333331</v>
      </c>
      <c r="G402" s="102">
        <v>0.41666666666666669</v>
      </c>
      <c r="H402" s="102">
        <v>0.5</v>
      </c>
      <c r="I402" s="90">
        <f t="shared" si="56"/>
        <v>2.4999999999999991</v>
      </c>
      <c r="J402" s="90">
        <f t="shared" si="53"/>
        <v>1.9999999999999996</v>
      </c>
      <c r="K402" s="91">
        <f t="shared" si="60"/>
        <v>0.95833333333333348</v>
      </c>
      <c r="L402" s="91">
        <f t="shared" si="61"/>
        <v>3.9583333333333339</v>
      </c>
      <c r="M402" s="29">
        <f t="shared" si="57"/>
        <v>13</v>
      </c>
      <c r="N402" s="92">
        <f t="shared" si="54"/>
        <v>2.4999999999999991</v>
      </c>
      <c r="O402" s="104">
        <f t="shared" si="58"/>
        <v>1.016</v>
      </c>
      <c r="P402" s="105">
        <f t="shared" si="55"/>
        <v>23.11399999999999</v>
      </c>
    </row>
    <row r="403" spans="2:16" x14ac:dyDescent="0.25">
      <c r="B403" s="88" t="str">
        <f t="shared" si="52"/>
        <v>Sitio Santa Lúcia</v>
      </c>
      <c r="C403" s="106">
        <f t="shared" si="59"/>
        <v>2020</v>
      </c>
      <c r="D403" s="101">
        <v>43962</v>
      </c>
      <c r="E403" s="102">
        <v>0.375</v>
      </c>
      <c r="F403" s="102">
        <v>0.47916666666666669</v>
      </c>
      <c r="G403" s="102">
        <v>0.45833333333333298</v>
      </c>
      <c r="H403" s="102">
        <v>0.5</v>
      </c>
      <c r="I403" s="90">
        <f t="shared" si="56"/>
        <v>2.5000000000000004</v>
      </c>
      <c r="J403" s="90">
        <f t="shared" si="53"/>
        <v>1.0000000000000084</v>
      </c>
      <c r="K403" s="91">
        <f t="shared" si="60"/>
        <v>0.95833333333333348</v>
      </c>
      <c r="L403" s="91">
        <f t="shared" si="61"/>
        <v>3.9583333333333339</v>
      </c>
      <c r="M403" s="29">
        <f t="shared" si="57"/>
        <v>13</v>
      </c>
      <c r="N403" s="92">
        <f t="shared" si="54"/>
        <v>2.5000000000000004</v>
      </c>
      <c r="O403" s="104">
        <f t="shared" si="58"/>
        <v>1.016</v>
      </c>
      <c r="P403" s="105">
        <f t="shared" si="55"/>
        <v>23.114000000000004</v>
      </c>
    </row>
    <row r="404" spans="2:16" x14ac:dyDescent="0.25">
      <c r="B404" s="88" t="str">
        <f t="shared" si="52"/>
        <v>Sitio Santa Lúcia</v>
      </c>
      <c r="C404" s="106">
        <f t="shared" si="59"/>
        <v>2020</v>
      </c>
      <c r="D404" s="101">
        <v>43963</v>
      </c>
      <c r="E404" s="102">
        <v>0.33333333333333331</v>
      </c>
      <c r="F404" s="102">
        <v>0.375</v>
      </c>
      <c r="G404" s="102">
        <v>0.29166666666666669</v>
      </c>
      <c r="H404" s="102">
        <v>0.33333333333333331</v>
      </c>
      <c r="I404" s="90">
        <f t="shared" si="56"/>
        <v>1.0000000000000004</v>
      </c>
      <c r="J404" s="90">
        <f t="shared" si="53"/>
        <v>0.99999999999999911</v>
      </c>
      <c r="K404" s="91">
        <f t="shared" si="60"/>
        <v>0.95833333333333348</v>
      </c>
      <c r="L404" s="91">
        <f t="shared" si="61"/>
        <v>3.9583333333333339</v>
      </c>
      <c r="M404" s="29">
        <f t="shared" si="57"/>
        <v>13</v>
      </c>
      <c r="N404" s="92">
        <f t="shared" si="54"/>
        <v>1.0000000000000004</v>
      </c>
      <c r="O404" s="104">
        <f t="shared" si="58"/>
        <v>1.016</v>
      </c>
      <c r="P404" s="105">
        <f t="shared" si="55"/>
        <v>9.2456000000000031</v>
      </c>
    </row>
    <row r="405" spans="2:16" x14ac:dyDescent="0.25">
      <c r="B405" s="88" t="str">
        <f t="shared" si="52"/>
        <v>Sitio Santa Lúcia</v>
      </c>
      <c r="C405" s="106">
        <f t="shared" si="59"/>
        <v>2020</v>
      </c>
      <c r="D405" s="101">
        <v>43964</v>
      </c>
      <c r="E405" s="102">
        <v>0.29166666666666669</v>
      </c>
      <c r="F405" s="102">
        <v>0.45833333333333331</v>
      </c>
      <c r="G405" s="102">
        <v>0.33333333333333331</v>
      </c>
      <c r="H405" s="102">
        <v>0.41666666666666702</v>
      </c>
      <c r="I405" s="90">
        <f t="shared" si="56"/>
        <v>3.9999999999999991</v>
      </c>
      <c r="J405" s="90">
        <f t="shared" si="53"/>
        <v>2.0000000000000089</v>
      </c>
      <c r="K405" s="91">
        <f t="shared" si="60"/>
        <v>0.95833333333333348</v>
      </c>
      <c r="L405" s="91">
        <f t="shared" si="61"/>
        <v>3.9583333333333339</v>
      </c>
      <c r="M405" s="29">
        <f t="shared" si="57"/>
        <v>13</v>
      </c>
      <c r="N405" s="92">
        <f t="shared" si="54"/>
        <v>3.9999999999999991</v>
      </c>
      <c r="O405" s="104">
        <f t="shared" si="58"/>
        <v>1.016</v>
      </c>
      <c r="P405" s="105">
        <f t="shared" si="55"/>
        <v>36.982399999999991</v>
      </c>
    </row>
    <row r="406" spans="2:16" x14ac:dyDescent="0.25">
      <c r="B406" s="88" t="str">
        <f t="shared" si="52"/>
        <v>Sitio Santa Lúcia</v>
      </c>
      <c r="C406" s="106">
        <f t="shared" si="59"/>
        <v>2020</v>
      </c>
      <c r="D406" s="101">
        <v>43965</v>
      </c>
      <c r="E406" s="102">
        <v>0.33333333333333331</v>
      </c>
      <c r="F406" s="102">
        <v>0.375</v>
      </c>
      <c r="G406" s="102">
        <v>0.29166666666666669</v>
      </c>
      <c r="H406" s="102">
        <v>0.41666666666666669</v>
      </c>
      <c r="I406" s="90">
        <f t="shared" si="56"/>
        <v>1.0000000000000004</v>
      </c>
      <c r="J406" s="90">
        <f t="shared" si="53"/>
        <v>3</v>
      </c>
      <c r="K406" s="91">
        <f t="shared" si="60"/>
        <v>0.95833333333333348</v>
      </c>
      <c r="L406" s="91">
        <f t="shared" si="61"/>
        <v>3.9583333333333339</v>
      </c>
      <c r="M406" s="29">
        <f t="shared" si="57"/>
        <v>13</v>
      </c>
      <c r="N406" s="92">
        <f t="shared" si="54"/>
        <v>1.0000000000000004</v>
      </c>
      <c r="O406" s="104">
        <f t="shared" si="58"/>
        <v>1.016</v>
      </c>
      <c r="P406" s="105">
        <f t="shared" si="55"/>
        <v>9.2456000000000031</v>
      </c>
    </row>
    <row r="407" spans="2:16" x14ac:dyDescent="0.25">
      <c r="B407" s="88" t="str">
        <f t="shared" si="52"/>
        <v>Sitio Santa Lúcia</v>
      </c>
      <c r="C407" s="106">
        <f t="shared" si="59"/>
        <v>2020</v>
      </c>
      <c r="D407" s="101">
        <v>43966</v>
      </c>
      <c r="E407" s="102">
        <v>0.41666666666666669</v>
      </c>
      <c r="F407" s="102">
        <v>0.5</v>
      </c>
      <c r="G407" s="102">
        <v>0.33333333333333331</v>
      </c>
      <c r="H407" s="102">
        <v>0.375</v>
      </c>
      <c r="I407" s="90">
        <f t="shared" si="56"/>
        <v>1.9999999999999996</v>
      </c>
      <c r="J407" s="90">
        <f t="shared" si="53"/>
        <v>1.0000000000000004</v>
      </c>
      <c r="K407" s="91">
        <f t="shared" si="60"/>
        <v>0.95833333333333348</v>
      </c>
      <c r="L407" s="91">
        <f t="shared" si="61"/>
        <v>3.9583333333333339</v>
      </c>
      <c r="M407" s="29">
        <f t="shared" si="57"/>
        <v>13</v>
      </c>
      <c r="N407" s="92">
        <f t="shared" si="54"/>
        <v>1.9999999999999996</v>
      </c>
      <c r="O407" s="104">
        <f t="shared" si="58"/>
        <v>1.016</v>
      </c>
      <c r="P407" s="105">
        <f t="shared" si="55"/>
        <v>18.491199999999996</v>
      </c>
    </row>
    <row r="408" spans="2:16" x14ac:dyDescent="0.25">
      <c r="B408" s="88" t="str">
        <f t="shared" si="52"/>
        <v>Sitio Santa Lúcia</v>
      </c>
      <c r="C408" s="106">
        <f t="shared" si="59"/>
        <v>2020</v>
      </c>
      <c r="D408" s="101">
        <v>43967</v>
      </c>
      <c r="E408" s="102">
        <v>0.29166666666666669</v>
      </c>
      <c r="F408" s="102">
        <v>0.39583333333333331</v>
      </c>
      <c r="G408" s="102">
        <v>0.32291666666666669</v>
      </c>
      <c r="H408" s="102">
        <v>0.36805555555555558</v>
      </c>
      <c r="I408" s="90">
        <f t="shared" si="56"/>
        <v>2.4999999999999991</v>
      </c>
      <c r="J408" s="90">
        <f t="shared" si="53"/>
        <v>1.0833333333333335</v>
      </c>
      <c r="K408" s="91">
        <f t="shared" si="60"/>
        <v>0.95833333333333348</v>
      </c>
      <c r="L408" s="91">
        <f t="shared" si="61"/>
        <v>3.9583333333333339</v>
      </c>
      <c r="M408" s="29">
        <f t="shared" si="57"/>
        <v>13</v>
      </c>
      <c r="N408" s="92">
        <f t="shared" si="54"/>
        <v>2.4999999999999991</v>
      </c>
      <c r="O408" s="104">
        <f t="shared" si="58"/>
        <v>1.016</v>
      </c>
      <c r="P408" s="105">
        <f t="shared" si="55"/>
        <v>23.11399999999999</v>
      </c>
    </row>
    <row r="409" spans="2:16" x14ac:dyDescent="0.25">
      <c r="B409" s="88" t="str">
        <f t="shared" si="52"/>
        <v>Sitio Santa Lúcia</v>
      </c>
      <c r="C409" s="106">
        <f t="shared" si="59"/>
        <v>2020</v>
      </c>
      <c r="D409" s="101">
        <v>43968</v>
      </c>
      <c r="E409" s="102">
        <v>0.375</v>
      </c>
      <c r="F409" s="102">
        <v>0.4375</v>
      </c>
      <c r="G409" s="102">
        <v>0.33333333333333331</v>
      </c>
      <c r="H409" s="102">
        <v>0.41666666666666669</v>
      </c>
      <c r="I409" s="90">
        <f t="shared" si="56"/>
        <v>1.5</v>
      </c>
      <c r="J409" s="90">
        <f t="shared" si="53"/>
        <v>2.0000000000000009</v>
      </c>
      <c r="K409" s="91">
        <f t="shared" si="60"/>
        <v>0.95833333333333348</v>
      </c>
      <c r="L409" s="91">
        <f t="shared" si="61"/>
        <v>3.9583333333333339</v>
      </c>
      <c r="M409" s="29">
        <f t="shared" si="57"/>
        <v>13</v>
      </c>
      <c r="N409" s="92">
        <f t="shared" si="54"/>
        <v>1.5</v>
      </c>
      <c r="O409" s="104">
        <f t="shared" si="58"/>
        <v>1.016</v>
      </c>
      <c r="P409" s="105">
        <f t="shared" si="55"/>
        <v>13.868399999999999</v>
      </c>
    </row>
    <row r="410" spans="2:16" x14ac:dyDescent="0.25">
      <c r="B410" s="88" t="str">
        <f t="shared" si="52"/>
        <v>Sitio Santa Lúcia</v>
      </c>
      <c r="C410" s="106">
        <f t="shared" si="59"/>
        <v>2020</v>
      </c>
      <c r="D410" s="101">
        <v>43969</v>
      </c>
      <c r="E410" s="102">
        <v>0.29166666666666669</v>
      </c>
      <c r="F410" s="102">
        <v>0.45833333333333331</v>
      </c>
      <c r="G410" s="102">
        <v>0.3125</v>
      </c>
      <c r="H410" s="102">
        <v>0.35416666666666702</v>
      </c>
      <c r="I410" s="90">
        <f t="shared" si="56"/>
        <v>3.9999999999999991</v>
      </c>
      <c r="J410" s="90">
        <f t="shared" si="53"/>
        <v>1.0000000000000084</v>
      </c>
      <c r="K410" s="91">
        <f t="shared" si="60"/>
        <v>0.95833333333333348</v>
      </c>
      <c r="L410" s="91">
        <f t="shared" si="61"/>
        <v>3.9583333333333339</v>
      </c>
      <c r="M410" s="29">
        <f t="shared" si="57"/>
        <v>13</v>
      </c>
      <c r="N410" s="92">
        <f t="shared" si="54"/>
        <v>3.9999999999999991</v>
      </c>
      <c r="O410" s="104">
        <f t="shared" si="58"/>
        <v>1.016</v>
      </c>
      <c r="P410" s="105">
        <f t="shared" si="55"/>
        <v>36.982399999999991</v>
      </c>
    </row>
    <row r="411" spans="2:16" x14ac:dyDescent="0.25">
      <c r="B411" s="88" t="str">
        <f t="shared" si="52"/>
        <v>Sitio Santa Lúcia</v>
      </c>
      <c r="C411" s="106">
        <f t="shared" si="59"/>
        <v>2020</v>
      </c>
      <c r="D411" s="101">
        <v>43970</v>
      </c>
      <c r="E411" s="102">
        <v>0.3611111111111111</v>
      </c>
      <c r="F411" s="102">
        <v>0.41666666666666669</v>
      </c>
      <c r="G411" s="102">
        <v>0.41666666666666669</v>
      </c>
      <c r="H411" s="102">
        <v>0.5</v>
      </c>
      <c r="I411" s="90">
        <f t="shared" si="56"/>
        <v>1.3333333333333339</v>
      </c>
      <c r="J411" s="90">
        <f t="shared" si="53"/>
        <v>1.9999999999999996</v>
      </c>
      <c r="K411" s="91">
        <f t="shared" si="60"/>
        <v>0.95833333333333348</v>
      </c>
      <c r="L411" s="91">
        <f t="shared" si="61"/>
        <v>3.9583333333333339</v>
      </c>
      <c r="M411" s="29">
        <f t="shared" si="57"/>
        <v>13</v>
      </c>
      <c r="N411" s="92">
        <f t="shared" si="54"/>
        <v>1.3333333333333339</v>
      </c>
      <c r="O411" s="104">
        <f t="shared" si="58"/>
        <v>1.016</v>
      </c>
      <c r="P411" s="105">
        <f t="shared" si="55"/>
        <v>12.327466666666673</v>
      </c>
    </row>
    <row r="412" spans="2:16" x14ac:dyDescent="0.25">
      <c r="B412" s="88" t="str">
        <f t="shared" si="52"/>
        <v>Sitio Santa Lúcia</v>
      </c>
      <c r="C412" s="106">
        <f t="shared" si="59"/>
        <v>2020</v>
      </c>
      <c r="D412" s="101">
        <v>43971</v>
      </c>
      <c r="E412" s="102">
        <v>0.29166666666666669</v>
      </c>
      <c r="F412" s="102">
        <v>0.39583333333333331</v>
      </c>
      <c r="G412" s="102">
        <v>0.4375</v>
      </c>
      <c r="H412" s="102">
        <v>0.45833333333333331</v>
      </c>
      <c r="I412" s="90">
        <f t="shared" si="56"/>
        <v>2.4999999999999991</v>
      </c>
      <c r="J412" s="90">
        <f t="shared" si="53"/>
        <v>0.49999999999999956</v>
      </c>
      <c r="K412" s="91">
        <f t="shared" si="60"/>
        <v>0.95833333333333348</v>
      </c>
      <c r="L412" s="91">
        <f t="shared" si="61"/>
        <v>3.9583333333333339</v>
      </c>
      <c r="M412" s="29">
        <f t="shared" si="57"/>
        <v>13</v>
      </c>
      <c r="N412" s="92">
        <f t="shared" si="54"/>
        <v>2.4999999999999991</v>
      </c>
      <c r="O412" s="104">
        <f t="shared" si="58"/>
        <v>1.016</v>
      </c>
      <c r="P412" s="105">
        <f t="shared" si="55"/>
        <v>23.11399999999999</v>
      </c>
    </row>
    <row r="413" spans="2:16" x14ac:dyDescent="0.25">
      <c r="B413" s="88" t="str">
        <f t="shared" si="52"/>
        <v>Sitio Santa Lúcia</v>
      </c>
      <c r="C413" s="106">
        <f t="shared" si="59"/>
        <v>2020</v>
      </c>
      <c r="D413" s="101">
        <v>43972</v>
      </c>
      <c r="E413" s="102">
        <v>0.33333333333333331</v>
      </c>
      <c r="F413" s="102">
        <v>0.375</v>
      </c>
      <c r="G413" s="102">
        <v>0.41666666666666702</v>
      </c>
      <c r="H413" s="102">
        <v>0.47916666666666669</v>
      </c>
      <c r="I413" s="90">
        <f t="shared" si="56"/>
        <v>1.0000000000000004</v>
      </c>
      <c r="J413" s="90">
        <f t="shared" si="53"/>
        <v>1.499999999999992</v>
      </c>
      <c r="K413" s="91">
        <f t="shared" si="60"/>
        <v>0.95833333333333348</v>
      </c>
      <c r="L413" s="91">
        <f t="shared" si="61"/>
        <v>3.9583333333333339</v>
      </c>
      <c r="M413" s="29">
        <f t="shared" si="57"/>
        <v>13</v>
      </c>
      <c r="N413" s="92">
        <f t="shared" si="54"/>
        <v>1.0000000000000004</v>
      </c>
      <c r="O413" s="104">
        <f t="shared" si="58"/>
        <v>1.016</v>
      </c>
      <c r="P413" s="105">
        <f t="shared" si="55"/>
        <v>9.2456000000000031</v>
      </c>
    </row>
    <row r="414" spans="2:16" x14ac:dyDescent="0.25">
      <c r="B414" s="88" t="str">
        <f t="shared" si="52"/>
        <v>Sitio Santa Lúcia</v>
      </c>
      <c r="C414" s="106">
        <f t="shared" si="59"/>
        <v>2020</v>
      </c>
      <c r="D414" s="101">
        <v>43973</v>
      </c>
      <c r="E414" s="102">
        <v>0.29166666666666669</v>
      </c>
      <c r="F414" s="102">
        <v>0.41666666666666669</v>
      </c>
      <c r="G414" s="102">
        <v>0.29166666666666669</v>
      </c>
      <c r="H414" s="102">
        <v>0.33333333333333331</v>
      </c>
      <c r="I414" s="90">
        <f t="shared" si="56"/>
        <v>3</v>
      </c>
      <c r="J414" s="90">
        <f t="shared" si="53"/>
        <v>0.99999999999999911</v>
      </c>
      <c r="K414" s="91">
        <f t="shared" si="60"/>
        <v>0.95833333333333348</v>
      </c>
      <c r="L414" s="91">
        <f t="shared" si="61"/>
        <v>3.9583333333333339</v>
      </c>
      <c r="M414" s="29">
        <f t="shared" si="57"/>
        <v>13</v>
      </c>
      <c r="N414" s="92">
        <f t="shared" si="54"/>
        <v>3</v>
      </c>
      <c r="O414" s="104">
        <f t="shared" si="58"/>
        <v>1.016</v>
      </c>
      <c r="P414" s="105">
        <f t="shared" si="55"/>
        <v>27.736799999999999</v>
      </c>
    </row>
    <row r="415" spans="2:16" x14ac:dyDescent="0.25">
      <c r="B415" s="88" t="str">
        <f t="shared" si="52"/>
        <v>Sitio Santa Lúcia</v>
      </c>
      <c r="C415" s="106">
        <f t="shared" si="59"/>
        <v>2020</v>
      </c>
      <c r="D415" s="101">
        <v>43974</v>
      </c>
      <c r="E415" s="102">
        <v>0.45833333333333331</v>
      </c>
      <c r="F415" s="102">
        <v>0.5</v>
      </c>
      <c r="G415" s="102">
        <v>0.33333333333333331</v>
      </c>
      <c r="H415" s="102">
        <v>0.5</v>
      </c>
      <c r="I415" s="90">
        <f t="shared" si="56"/>
        <v>1.0000000000000004</v>
      </c>
      <c r="J415" s="90">
        <f t="shared" si="53"/>
        <v>4</v>
      </c>
      <c r="K415" s="91">
        <f t="shared" si="60"/>
        <v>0.95833333333333348</v>
      </c>
      <c r="L415" s="91">
        <f t="shared" si="61"/>
        <v>3.9583333333333339</v>
      </c>
      <c r="M415" s="29">
        <f t="shared" si="57"/>
        <v>13</v>
      </c>
      <c r="N415" s="92">
        <f t="shared" si="54"/>
        <v>1.0000000000000004</v>
      </c>
      <c r="O415" s="104">
        <f t="shared" si="58"/>
        <v>1.016</v>
      </c>
      <c r="P415" s="105">
        <f t="shared" si="55"/>
        <v>9.2456000000000031</v>
      </c>
    </row>
    <row r="416" spans="2:16" x14ac:dyDescent="0.25">
      <c r="B416" s="88" t="str">
        <f t="shared" ref="B416:B479" si="62">$B$17</f>
        <v>Sitio Santa Lúcia</v>
      </c>
      <c r="C416" s="106">
        <f t="shared" si="59"/>
        <v>2020</v>
      </c>
      <c r="D416" s="101">
        <v>43975</v>
      </c>
      <c r="E416" s="102">
        <v>0.33333333333333331</v>
      </c>
      <c r="F416" s="102">
        <v>0.39583333333333331</v>
      </c>
      <c r="G416" s="102">
        <v>0.33333333333333331</v>
      </c>
      <c r="H416" s="102">
        <v>0.45833333333333298</v>
      </c>
      <c r="I416" s="90">
        <f t="shared" si="56"/>
        <v>1.5</v>
      </c>
      <c r="J416" s="90">
        <f t="shared" si="53"/>
        <v>2.999999999999992</v>
      </c>
      <c r="K416" s="91">
        <f t="shared" si="60"/>
        <v>0.95833333333333348</v>
      </c>
      <c r="L416" s="91">
        <f t="shared" si="61"/>
        <v>3.9583333333333339</v>
      </c>
      <c r="M416" s="29">
        <f t="shared" si="57"/>
        <v>13</v>
      </c>
      <c r="N416" s="92">
        <f t="shared" si="54"/>
        <v>1.5</v>
      </c>
      <c r="O416" s="104">
        <f t="shared" si="58"/>
        <v>1.016</v>
      </c>
      <c r="P416" s="105">
        <f t="shared" si="55"/>
        <v>13.868399999999999</v>
      </c>
    </row>
    <row r="417" spans="2:16" x14ac:dyDescent="0.25">
      <c r="B417" s="88" t="str">
        <f t="shared" si="62"/>
        <v>Sitio Santa Lúcia</v>
      </c>
      <c r="C417" s="106">
        <f t="shared" si="59"/>
        <v>2020</v>
      </c>
      <c r="D417" s="101">
        <v>43976</v>
      </c>
      <c r="E417" s="102">
        <v>0.39583333333333331</v>
      </c>
      <c r="F417" s="102">
        <v>0.44444444444444442</v>
      </c>
      <c r="G417" s="102">
        <v>0.3611111111111111</v>
      </c>
      <c r="H417" s="102">
        <v>0.41666666666666669</v>
      </c>
      <c r="I417" s="90">
        <f t="shared" si="56"/>
        <v>1.1666666666666665</v>
      </c>
      <c r="J417" s="90">
        <f t="shared" si="53"/>
        <v>1.3333333333333339</v>
      </c>
      <c r="K417" s="91">
        <f t="shared" si="60"/>
        <v>0.95833333333333348</v>
      </c>
      <c r="L417" s="91">
        <f t="shared" si="61"/>
        <v>3.9583333333333339</v>
      </c>
      <c r="M417" s="29">
        <f t="shared" si="57"/>
        <v>13</v>
      </c>
      <c r="N417" s="92">
        <f t="shared" si="54"/>
        <v>1.1666666666666665</v>
      </c>
      <c r="O417" s="104">
        <f t="shared" si="58"/>
        <v>1.016</v>
      </c>
      <c r="P417" s="105">
        <f t="shared" si="55"/>
        <v>10.786533333333331</v>
      </c>
    </row>
    <row r="418" spans="2:16" x14ac:dyDescent="0.25">
      <c r="B418" s="88" t="str">
        <f t="shared" si="62"/>
        <v>Sitio Santa Lúcia</v>
      </c>
      <c r="C418" s="106">
        <f t="shared" si="59"/>
        <v>2020</v>
      </c>
      <c r="D418" s="101">
        <v>43977</v>
      </c>
      <c r="E418" s="102">
        <v>0.45833333333333331</v>
      </c>
      <c r="F418" s="102">
        <v>0.5</v>
      </c>
      <c r="G418" s="102">
        <v>0.375</v>
      </c>
      <c r="H418" s="102">
        <v>0.45833333333333331</v>
      </c>
      <c r="I418" s="90">
        <f t="shared" si="56"/>
        <v>1.0000000000000004</v>
      </c>
      <c r="J418" s="90">
        <f t="shared" si="53"/>
        <v>1.9999999999999996</v>
      </c>
      <c r="K418" s="91">
        <f t="shared" si="60"/>
        <v>0.95833333333333348</v>
      </c>
      <c r="L418" s="91">
        <f t="shared" si="61"/>
        <v>3.9583333333333339</v>
      </c>
      <c r="M418" s="29">
        <f t="shared" si="57"/>
        <v>13</v>
      </c>
      <c r="N418" s="92">
        <f t="shared" si="54"/>
        <v>1.0000000000000004</v>
      </c>
      <c r="O418" s="104">
        <f t="shared" si="58"/>
        <v>1.016</v>
      </c>
      <c r="P418" s="105">
        <f t="shared" si="55"/>
        <v>9.2456000000000031</v>
      </c>
    </row>
    <row r="419" spans="2:16" x14ac:dyDescent="0.25">
      <c r="B419" s="88" t="str">
        <f t="shared" si="62"/>
        <v>Sitio Santa Lúcia</v>
      </c>
      <c r="C419" s="106">
        <f t="shared" si="59"/>
        <v>2020</v>
      </c>
      <c r="D419" s="101">
        <v>43978</v>
      </c>
      <c r="E419" s="102">
        <v>0.41666666666666669</v>
      </c>
      <c r="F419" s="102">
        <v>0.45833333333333298</v>
      </c>
      <c r="G419" s="102">
        <v>0.41666666666666669</v>
      </c>
      <c r="H419" s="102">
        <v>0.45833333333333331</v>
      </c>
      <c r="I419" s="90">
        <f t="shared" si="56"/>
        <v>0.99999999999999112</v>
      </c>
      <c r="J419" s="90">
        <f t="shared" si="53"/>
        <v>0.99999999999999911</v>
      </c>
      <c r="K419" s="91">
        <f t="shared" si="60"/>
        <v>0.95833333333333348</v>
      </c>
      <c r="L419" s="91">
        <f t="shared" si="61"/>
        <v>3.9583333333333339</v>
      </c>
      <c r="M419" s="29">
        <f t="shared" si="57"/>
        <v>13</v>
      </c>
      <c r="N419" s="92">
        <f t="shared" si="54"/>
        <v>0.99999999999999112</v>
      </c>
      <c r="O419" s="104">
        <f t="shared" si="58"/>
        <v>1.016</v>
      </c>
      <c r="P419" s="105">
        <f t="shared" si="55"/>
        <v>9.2455999999999179</v>
      </c>
    </row>
    <row r="420" spans="2:16" x14ac:dyDescent="0.25">
      <c r="B420" s="88" t="str">
        <f t="shared" si="62"/>
        <v>Sitio Santa Lúcia</v>
      </c>
      <c r="C420" s="106">
        <f t="shared" si="59"/>
        <v>2020</v>
      </c>
      <c r="D420" s="101">
        <v>43979</v>
      </c>
      <c r="E420" s="102">
        <v>0.29166666666666669</v>
      </c>
      <c r="F420" s="102">
        <v>0.45833333333333331</v>
      </c>
      <c r="G420" s="102">
        <v>0.35416666666666669</v>
      </c>
      <c r="H420" s="102">
        <v>0.41666666666666702</v>
      </c>
      <c r="I420" s="90">
        <f t="shared" si="56"/>
        <v>3.9999999999999991</v>
      </c>
      <c r="J420" s="90">
        <f t="shared" si="53"/>
        <v>1.500000000000008</v>
      </c>
      <c r="K420" s="91">
        <f t="shared" si="60"/>
        <v>0.95833333333333348</v>
      </c>
      <c r="L420" s="91">
        <f t="shared" si="61"/>
        <v>3.9583333333333339</v>
      </c>
      <c r="M420" s="29">
        <f t="shared" si="57"/>
        <v>13</v>
      </c>
      <c r="N420" s="92">
        <f t="shared" si="54"/>
        <v>3.9999999999999991</v>
      </c>
      <c r="O420" s="104">
        <f t="shared" si="58"/>
        <v>1.016</v>
      </c>
      <c r="P420" s="105">
        <f t="shared" si="55"/>
        <v>36.982399999999991</v>
      </c>
    </row>
    <row r="421" spans="2:16" x14ac:dyDescent="0.25">
      <c r="B421" s="88" t="str">
        <f t="shared" si="62"/>
        <v>Sitio Santa Lúcia</v>
      </c>
      <c r="C421" s="106">
        <f t="shared" si="59"/>
        <v>2020</v>
      </c>
      <c r="D421" s="101">
        <v>43980</v>
      </c>
      <c r="E421" s="102">
        <v>0.33333333333333298</v>
      </c>
      <c r="F421" s="102">
        <v>0.41666666666666669</v>
      </c>
      <c r="G421" s="102">
        <v>0.29166666666666669</v>
      </c>
      <c r="H421" s="102">
        <v>0.4375</v>
      </c>
      <c r="I421" s="90">
        <f t="shared" si="56"/>
        <v>2.0000000000000089</v>
      </c>
      <c r="J421" s="90">
        <f t="shared" si="53"/>
        <v>3.4999999999999996</v>
      </c>
      <c r="K421" s="91">
        <f t="shared" si="60"/>
        <v>0.95833333333333348</v>
      </c>
      <c r="L421" s="91">
        <f t="shared" si="61"/>
        <v>3.9583333333333339</v>
      </c>
      <c r="M421" s="29">
        <f t="shared" si="57"/>
        <v>13</v>
      </c>
      <c r="N421" s="92">
        <f t="shared" si="54"/>
        <v>2.0000000000000089</v>
      </c>
      <c r="O421" s="104">
        <f t="shared" si="58"/>
        <v>1.016</v>
      </c>
      <c r="P421" s="105">
        <f t="shared" si="55"/>
        <v>18.491200000000081</v>
      </c>
    </row>
    <row r="422" spans="2:16" x14ac:dyDescent="0.25">
      <c r="B422" s="88" t="str">
        <f t="shared" si="62"/>
        <v>Sitio Santa Lúcia</v>
      </c>
      <c r="C422" s="106">
        <f t="shared" si="59"/>
        <v>2020</v>
      </c>
      <c r="D422" s="101">
        <v>43981</v>
      </c>
      <c r="E422" s="102">
        <v>0.41666666666666669</v>
      </c>
      <c r="F422" s="102">
        <v>0.5</v>
      </c>
      <c r="G422" s="102">
        <v>0.33333333333333331</v>
      </c>
      <c r="H422" s="102">
        <v>0.41666666666666669</v>
      </c>
      <c r="I422" s="90">
        <f t="shared" si="56"/>
        <v>1.9999999999999996</v>
      </c>
      <c r="J422" s="90">
        <f t="shared" si="53"/>
        <v>2.0000000000000009</v>
      </c>
      <c r="K422" s="91">
        <f t="shared" si="60"/>
        <v>0.95833333333333348</v>
      </c>
      <c r="L422" s="91">
        <f t="shared" si="61"/>
        <v>3.9583333333333339</v>
      </c>
      <c r="M422" s="29">
        <f t="shared" si="57"/>
        <v>13</v>
      </c>
      <c r="N422" s="92">
        <f t="shared" si="54"/>
        <v>1.9999999999999996</v>
      </c>
      <c r="O422" s="104">
        <f t="shared" si="58"/>
        <v>1.016</v>
      </c>
      <c r="P422" s="105">
        <f t="shared" si="55"/>
        <v>18.491199999999996</v>
      </c>
    </row>
    <row r="423" spans="2:16" x14ac:dyDescent="0.25">
      <c r="B423" s="88" t="str">
        <f t="shared" si="62"/>
        <v>Sitio Santa Lúcia</v>
      </c>
      <c r="C423" s="106">
        <f t="shared" si="59"/>
        <v>2020</v>
      </c>
      <c r="D423" s="101">
        <v>43982</v>
      </c>
      <c r="E423" s="102">
        <v>0.375</v>
      </c>
      <c r="F423" s="102">
        <v>0.45833333333333331</v>
      </c>
      <c r="G423" s="102">
        <v>0.375</v>
      </c>
      <c r="H423" s="102">
        <v>0.4375</v>
      </c>
      <c r="I423" s="90">
        <f t="shared" si="56"/>
        <v>1.9999999999999996</v>
      </c>
      <c r="J423" s="90">
        <f t="shared" si="53"/>
        <v>1.5</v>
      </c>
      <c r="K423" s="91">
        <f t="shared" si="60"/>
        <v>0.95833333333333348</v>
      </c>
      <c r="L423" s="91">
        <f t="shared" si="61"/>
        <v>3.9583333333333339</v>
      </c>
      <c r="M423" s="29">
        <f t="shared" si="57"/>
        <v>13</v>
      </c>
      <c r="N423" s="92">
        <f t="shared" si="54"/>
        <v>1.9999999999999996</v>
      </c>
      <c r="O423" s="104">
        <f t="shared" si="58"/>
        <v>1.016</v>
      </c>
      <c r="P423" s="105">
        <f t="shared" si="55"/>
        <v>18.491199999999996</v>
      </c>
    </row>
    <row r="424" spans="2:16" x14ac:dyDescent="0.25">
      <c r="B424" s="88" t="str">
        <f t="shared" si="62"/>
        <v>Sitio Santa Lúcia</v>
      </c>
      <c r="C424" s="106">
        <f t="shared" si="59"/>
        <v>2020</v>
      </c>
      <c r="D424" s="101">
        <v>43983</v>
      </c>
      <c r="E424" s="102">
        <v>0.29166666666666669</v>
      </c>
      <c r="F424" s="102">
        <v>0.45833333333333331</v>
      </c>
      <c r="G424" s="102">
        <v>0.29166666666666669</v>
      </c>
      <c r="H424" s="102">
        <v>0.39583333333333331</v>
      </c>
      <c r="I424" s="90">
        <f t="shared" si="56"/>
        <v>3.9999999999999991</v>
      </c>
      <c r="J424" s="90">
        <f t="shared" si="53"/>
        <v>2.4999999999999991</v>
      </c>
      <c r="K424" s="91">
        <f t="shared" si="60"/>
        <v>0.95833333333333348</v>
      </c>
      <c r="L424" s="91">
        <f t="shared" si="61"/>
        <v>3.9583333333333339</v>
      </c>
      <c r="M424" s="29">
        <f t="shared" si="57"/>
        <v>13</v>
      </c>
      <c r="N424" s="92">
        <f t="shared" si="54"/>
        <v>3.9999999999999991</v>
      </c>
      <c r="O424" s="104">
        <f t="shared" si="58"/>
        <v>1.016</v>
      </c>
      <c r="P424" s="105">
        <f t="shared" si="55"/>
        <v>36.982399999999991</v>
      </c>
    </row>
    <row r="425" spans="2:16" x14ac:dyDescent="0.25">
      <c r="B425" s="88" t="str">
        <f t="shared" si="62"/>
        <v>Sitio Santa Lúcia</v>
      </c>
      <c r="C425" s="106">
        <f t="shared" si="59"/>
        <v>2020</v>
      </c>
      <c r="D425" s="101">
        <v>43984</v>
      </c>
      <c r="E425" s="102">
        <v>0.3125</v>
      </c>
      <c r="F425" s="102">
        <v>0.4375</v>
      </c>
      <c r="G425" s="102">
        <v>0.41666666666666669</v>
      </c>
      <c r="H425" s="102">
        <v>0.5</v>
      </c>
      <c r="I425" s="90">
        <f t="shared" si="56"/>
        <v>3</v>
      </c>
      <c r="J425" s="90">
        <f t="shared" si="53"/>
        <v>1.9999999999999996</v>
      </c>
      <c r="K425" s="91">
        <f t="shared" si="60"/>
        <v>0.95833333333333348</v>
      </c>
      <c r="L425" s="91">
        <f t="shared" si="61"/>
        <v>3.9583333333333339</v>
      </c>
      <c r="M425" s="29">
        <f t="shared" si="57"/>
        <v>13</v>
      </c>
      <c r="N425" s="92">
        <f t="shared" si="54"/>
        <v>3</v>
      </c>
      <c r="O425" s="104">
        <f t="shared" si="58"/>
        <v>1.016</v>
      </c>
      <c r="P425" s="105">
        <f t="shared" si="55"/>
        <v>27.736799999999999</v>
      </c>
    </row>
    <row r="426" spans="2:16" x14ac:dyDescent="0.25">
      <c r="B426" s="88" t="str">
        <f t="shared" si="62"/>
        <v>Sitio Santa Lúcia</v>
      </c>
      <c r="C426" s="106">
        <f t="shared" si="59"/>
        <v>2020</v>
      </c>
      <c r="D426" s="101">
        <v>43985</v>
      </c>
      <c r="E426" s="102">
        <v>0.33333333333333331</v>
      </c>
      <c r="F426" s="102">
        <v>0.41666666666666669</v>
      </c>
      <c r="G426" s="102">
        <v>0.375</v>
      </c>
      <c r="H426" s="102">
        <v>0.45833333333333298</v>
      </c>
      <c r="I426" s="90">
        <f t="shared" si="56"/>
        <v>2.0000000000000009</v>
      </c>
      <c r="J426" s="90">
        <f t="shared" si="53"/>
        <v>1.9999999999999916</v>
      </c>
      <c r="K426" s="91">
        <f t="shared" si="60"/>
        <v>0.95833333333333348</v>
      </c>
      <c r="L426" s="91">
        <f t="shared" si="61"/>
        <v>3.9583333333333339</v>
      </c>
      <c r="M426" s="29">
        <f t="shared" si="57"/>
        <v>13</v>
      </c>
      <c r="N426" s="92">
        <f t="shared" si="54"/>
        <v>2.0000000000000009</v>
      </c>
      <c r="O426" s="104">
        <f t="shared" si="58"/>
        <v>1.016</v>
      </c>
      <c r="P426" s="105">
        <f t="shared" si="55"/>
        <v>18.491200000000006</v>
      </c>
    </row>
    <row r="427" spans="2:16" x14ac:dyDescent="0.25">
      <c r="B427" s="88" t="str">
        <f t="shared" si="62"/>
        <v>Sitio Santa Lúcia</v>
      </c>
      <c r="C427" s="106">
        <f t="shared" si="59"/>
        <v>2020</v>
      </c>
      <c r="D427" s="101">
        <v>43986</v>
      </c>
      <c r="E427" s="102">
        <v>0.35416666666666669</v>
      </c>
      <c r="F427" s="102">
        <v>0.4375</v>
      </c>
      <c r="G427" s="102">
        <v>0.375</v>
      </c>
      <c r="H427" s="102">
        <v>0.45833333333333331</v>
      </c>
      <c r="I427" s="90">
        <f t="shared" si="56"/>
        <v>1.9999999999999996</v>
      </c>
      <c r="J427" s="90">
        <f t="shared" si="53"/>
        <v>1.9999999999999996</v>
      </c>
      <c r="K427" s="91">
        <f t="shared" si="60"/>
        <v>0.95833333333333348</v>
      </c>
      <c r="L427" s="91">
        <f t="shared" si="61"/>
        <v>3.9583333333333339</v>
      </c>
      <c r="M427" s="29">
        <f t="shared" si="57"/>
        <v>13</v>
      </c>
      <c r="N427" s="92">
        <f t="shared" si="54"/>
        <v>1.9999999999999996</v>
      </c>
      <c r="O427" s="104">
        <f t="shared" si="58"/>
        <v>1.016</v>
      </c>
      <c r="P427" s="105">
        <f t="shared" si="55"/>
        <v>18.491199999999996</v>
      </c>
    </row>
    <row r="428" spans="2:16" x14ac:dyDescent="0.25">
      <c r="B428" s="88" t="str">
        <f t="shared" si="62"/>
        <v>Sitio Santa Lúcia</v>
      </c>
      <c r="C428" s="106">
        <f t="shared" si="59"/>
        <v>2020</v>
      </c>
      <c r="D428" s="101">
        <v>43987</v>
      </c>
      <c r="E428" s="102">
        <v>0.375</v>
      </c>
      <c r="F428" s="102">
        <v>0.4513888888888889</v>
      </c>
      <c r="G428" s="102">
        <v>0.41666666666666669</v>
      </c>
      <c r="H428" s="102">
        <v>0.5</v>
      </c>
      <c r="I428" s="90">
        <f t="shared" si="56"/>
        <v>1.8333333333333335</v>
      </c>
      <c r="J428" s="90">
        <f t="shared" si="53"/>
        <v>1.9999999999999996</v>
      </c>
      <c r="K428" s="91">
        <f t="shared" si="60"/>
        <v>0.95833333333333348</v>
      </c>
      <c r="L428" s="91">
        <f t="shared" si="61"/>
        <v>3.9583333333333339</v>
      </c>
      <c r="M428" s="29">
        <f t="shared" si="57"/>
        <v>13</v>
      </c>
      <c r="N428" s="92">
        <f t="shared" si="54"/>
        <v>1.8333333333333335</v>
      </c>
      <c r="O428" s="104">
        <f t="shared" si="58"/>
        <v>1.016</v>
      </c>
      <c r="P428" s="105">
        <f t="shared" si="55"/>
        <v>16.950266666666668</v>
      </c>
    </row>
    <row r="429" spans="2:16" x14ac:dyDescent="0.25">
      <c r="B429" s="88" t="str">
        <f t="shared" si="62"/>
        <v>Sitio Santa Lúcia</v>
      </c>
      <c r="C429" s="106">
        <f t="shared" si="59"/>
        <v>2020</v>
      </c>
      <c r="D429" s="101">
        <v>43988</v>
      </c>
      <c r="E429" s="102">
        <v>0.29166666666666669</v>
      </c>
      <c r="F429" s="102">
        <v>0.41666666666666669</v>
      </c>
      <c r="G429" s="102">
        <v>0.3125</v>
      </c>
      <c r="H429" s="102">
        <v>0.4375</v>
      </c>
      <c r="I429" s="90">
        <f t="shared" si="56"/>
        <v>3</v>
      </c>
      <c r="J429" s="90">
        <f t="shared" si="53"/>
        <v>3</v>
      </c>
      <c r="K429" s="91">
        <f t="shared" si="60"/>
        <v>0.95833333333333348</v>
      </c>
      <c r="L429" s="91">
        <f t="shared" si="61"/>
        <v>3.9583333333333339</v>
      </c>
      <c r="M429" s="29">
        <f t="shared" si="57"/>
        <v>13</v>
      </c>
      <c r="N429" s="92">
        <f t="shared" si="54"/>
        <v>3</v>
      </c>
      <c r="O429" s="104">
        <f t="shared" si="58"/>
        <v>1.016</v>
      </c>
      <c r="P429" s="105">
        <f t="shared" si="55"/>
        <v>27.736799999999999</v>
      </c>
    </row>
    <row r="430" spans="2:16" x14ac:dyDescent="0.25">
      <c r="B430" s="88" t="str">
        <f t="shared" si="62"/>
        <v>Sitio Santa Lúcia</v>
      </c>
      <c r="C430" s="106">
        <f t="shared" si="59"/>
        <v>2020</v>
      </c>
      <c r="D430" s="101">
        <v>43989</v>
      </c>
      <c r="E430" s="102">
        <v>0.35416666666666669</v>
      </c>
      <c r="F430" s="102">
        <v>0.4513888888888889</v>
      </c>
      <c r="G430" s="102">
        <v>0.3263888888888889</v>
      </c>
      <c r="H430" s="102">
        <v>0.41666666666666669</v>
      </c>
      <c r="I430" s="90">
        <f t="shared" si="56"/>
        <v>2.333333333333333</v>
      </c>
      <c r="J430" s="90">
        <f t="shared" si="53"/>
        <v>2.166666666666667</v>
      </c>
      <c r="K430" s="91">
        <f t="shared" si="60"/>
        <v>0.95833333333333348</v>
      </c>
      <c r="L430" s="91">
        <f t="shared" si="61"/>
        <v>3.9583333333333339</v>
      </c>
      <c r="M430" s="29">
        <f t="shared" si="57"/>
        <v>13</v>
      </c>
      <c r="N430" s="92">
        <f t="shared" si="54"/>
        <v>2.333333333333333</v>
      </c>
      <c r="O430" s="104">
        <f t="shared" si="58"/>
        <v>1.016</v>
      </c>
      <c r="P430" s="105">
        <f t="shared" si="55"/>
        <v>21.573066666666662</v>
      </c>
    </row>
    <row r="431" spans="2:16" x14ac:dyDescent="0.25">
      <c r="B431" s="88" t="str">
        <f t="shared" si="62"/>
        <v>Sitio Santa Lúcia</v>
      </c>
      <c r="C431" s="106">
        <f t="shared" si="59"/>
        <v>2020</v>
      </c>
      <c r="D431" s="101">
        <v>43990</v>
      </c>
      <c r="E431" s="102">
        <v>0.29166666666666669</v>
      </c>
      <c r="F431" s="102">
        <v>0.45833333333333331</v>
      </c>
      <c r="G431" s="102">
        <v>0.33333333333333331</v>
      </c>
      <c r="H431" s="102">
        <v>0.41666666666666702</v>
      </c>
      <c r="I431" s="90">
        <f t="shared" si="56"/>
        <v>3.9999999999999991</v>
      </c>
      <c r="J431" s="90">
        <f t="shared" si="53"/>
        <v>2.0000000000000089</v>
      </c>
      <c r="K431" s="91">
        <f t="shared" si="60"/>
        <v>0.95833333333333348</v>
      </c>
      <c r="L431" s="91">
        <f t="shared" si="61"/>
        <v>3.9583333333333339</v>
      </c>
      <c r="M431" s="29">
        <f t="shared" si="57"/>
        <v>13</v>
      </c>
      <c r="N431" s="92">
        <f t="shared" si="54"/>
        <v>3.9999999999999991</v>
      </c>
      <c r="O431" s="104">
        <f t="shared" si="58"/>
        <v>1.016</v>
      </c>
      <c r="P431" s="105">
        <f t="shared" si="55"/>
        <v>36.982399999999991</v>
      </c>
    </row>
    <row r="432" spans="2:16" x14ac:dyDescent="0.25">
      <c r="B432" s="88" t="str">
        <f t="shared" si="62"/>
        <v>Sitio Santa Lúcia</v>
      </c>
      <c r="C432" s="106">
        <f t="shared" si="59"/>
        <v>2020</v>
      </c>
      <c r="D432" s="101">
        <v>43991</v>
      </c>
      <c r="E432" s="102">
        <v>0.33333333333333331</v>
      </c>
      <c r="F432" s="102">
        <v>0.40972222222222227</v>
      </c>
      <c r="G432" s="102">
        <v>0.29166666666666669</v>
      </c>
      <c r="H432" s="102">
        <v>0.4513888888888889</v>
      </c>
      <c r="I432" s="90">
        <f t="shared" si="56"/>
        <v>1.8333333333333348</v>
      </c>
      <c r="J432" s="90">
        <f t="shared" si="53"/>
        <v>3.833333333333333</v>
      </c>
      <c r="K432" s="91">
        <f t="shared" si="60"/>
        <v>0.95833333333333348</v>
      </c>
      <c r="L432" s="91">
        <f t="shared" si="61"/>
        <v>3.9583333333333339</v>
      </c>
      <c r="M432" s="29">
        <f t="shared" si="57"/>
        <v>13</v>
      </c>
      <c r="N432" s="92">
        <f t="shared" si="54"/>
        <v>1.8333333333333348</v>
      </c>
      <c r="O432" s="104">
        <f t="shared" si="58"/>
        <v>1.016</v>
      </c>
      <c r="P432" s="105">
        <f t="shared" si="55"/>
        <v>16.950266666666678</v>
      </c>
    </row>
    <row r="433" spans="2:16" x14ac:dyDescent="0.25">
      <c r="B433" s="88" t="str">
        <f t="shared" si="62"/>
        <v>Sitio Santa Lúcia</v>
      </c>
      <c r="C433" s="106">
        <f t="shared" si="59"/>
        <v>2020</v>
      </c>
      <c r="D433" s="101">
        <v>43992</v>
      </c>
      <c r="E433" s="102">
        <v>0.29166666666666669</v>
      </c>
      <c r="F433" s="102">
        <v>0.41666666666666669</v>
      </c>
      <c r="G433" s="102">
        <v>0.29166666666666669</v>
      </c>
      <c r="H433" s="102">
        <v>0.45833333333333331</v>
      </c>
      <c r="I433" s="90">
        <f t="shared" si="56"/>
        <v>3</v>
      </c>
      <c r="J433" s="90">
        <f t="shared" ref="J433:J496" si="63">((H433-G433)-INT($D$20))*24</f>
        <v>3.9999999999999991</v>
      </c>
      <c r="K433" s="91">
        <f t="shared" si="60"/>
        <v>0.95833333333333348</v>
      </c>
      <c r="L433" s="91">
        <f t="shared" si="61"/>
        <v>3.9583333333333339</v>
      </c>
      <c r="M433" s="29">
        <f t="shared" si="57"/>
        <v>13</v>
      </c>
      <c r="N433" s="92">
        <f t="shared" ref="N433:N496" si="64">I433</f>
        <v>3</v>
      </c>
      <c r="O433" s="104">
        <f t="shared" si="58"/>
        <v>1.016</v>
      </c>
      <c r="P433" s="105">
        <f t="shared" ref="P433:P496" si="65">M433*N433*O433*0.7</f>
        <v>27.736799999999999</v>
      </c>
    </row>
    <row r="434" spans="2:16" x14ac:dyDescent="0.25">
      <c r="B434" s="88" t="str">
        <f t="shared" si="62"/>
        <v>Sitio Santa Lúcia</v>
      </c>
      <c r="C434" s="106">
        <f t="shared" si="59"/>
        <v>2020</v>
      </c>
      <c r="D434" s="101">
        <v>43993</v>
      </c>
      <c r="E434" s="102">
        <v>0.35416666666666669</v>
      </c>
      <c r="F434" s="102">
        <v>0.4375</v>
      </c>
      <c r="G434" s="102">
        <v>0.36805555555555558</v>
      </c>
      <c r="H434" s="102">
        <v>0.4513888888888889</v>
      </c>
      <c r="I434" s="90">
        <f t="shared" ref="I434:I497" si="66">((F434-E434)-INT($D$20))*24</f>
        <v>1.9999999999999996</v>
      </c>
      <c r="J434" s="90">
        <f t="shared" si="63"/>
        <v>1.9999999999999996</v>
      </c>
      <c r="K434" s="91">
        <f t="shared" si="60"/>
        <v>0.95833333333333348</v>
      </c>
      <c r="L434" s="91">
        <f t="shared" si="61"/>
        <v>3.9583333333333339</v>
      </c>
      <c r="M434" s="29">
        <f t="shared" ref="M434:M497" si="67">VLOOKUP(B434,$I$5:$J$17,2,FALSE)</f>
        <v>13</v>
      </c>
      <c r="N434" s="92">
        <f t="shared" si="64"/>
        <v>1.9999999999999996</v>
      </c>
      <c r="O434" s="104">
        <f t="shared" si="58"/>
        <v>1.016</v>
      </c>
      <c r="P434" s="105">
        <f t="shared" si="65"/>
        <v>18.491199999999996</v>
      </c>
    </row>
    <row r="435" spans="2:16" x14ac:dyDescent="0.25">
      <c r="B435" s="88" t="str">
        <f t="shared" si="62"/>
        <v>Sitio Santa Lúcia</v>
      </c>
      <c r="C435" s="106">
        <f t="shared" si="59"/>
        <v>2020</v>
      </c>
      <c r="D435" s="101">
        <v>43994</v>
      </c>
      <c r="E435" s="102">
        <v>0.29166666666666669</v>
      </c>
      <c r="F435" s="102">
        <v>0.41666666666666669</v>
      </c>
      <c r="G435" s="102">
        <v>0.29166666666666669</v>
      </c>
      <c r="H435" s="102">
        <v>0.45833333333333331</v>
      </c>
      <c r="I435" s="90">
        <f t="shared" si="66"/>
        <v>3</v>
      </c>
      <c r="J435" s="90">
        <f t="shared" si="63"/>
        <v>3.9999999999999991</v>
      </c>
      <c r="K435" s="91">
        <f t="shared" si="60"/>
        <v>0.95833333333333348</v>
      </c>
      <c r="L435" s="91">
        <f t="shared" si="61"/>
        <v>3.9583333333333339</v>
      </c>
      <c r="M435" s="29">
        <f t="shared" si="67"/>
        <v>13</v>
      </c>
      <c r="N435" s="92">
        <f t="shared" si="64"/>
        <v>3</v>
      </c>
      <c r="O435" s="104">
        <f t="shared" si="58"/>
        <v>1.016</v>
      </c>
      <c r="P435" s="105">
        <f t="shared" si="65"/>
        <v>27.736799999999999</v>
      </c>
    </row>
    <row r="436" spans="2:16" x14ac:dyDescent="0.25">
      <c r="B436" s="88" t="str">
        <f t="shared" si="62"/>
        <v>Sitio Santa Lúcia</v>
      </c>
      <c r="C436" s="106">
        <f t="shared" si="59"/>
        <v>2020</v>
      </c>
      <c r="D436" s="101">
        <v>43995</v>
      </c>
      <c r="E436" s="102">
        <v>0.375</v>
      </c>
      <c r="F436" s="102">
        <v>0.5</v>
      </c>
      <c r="G436" s="102">
        <v>0.29166666666666669</v>
      </c>
      <c r="H436" s="102">
        <v>0.41666666666666669</v>
      </c>
      <c r="I436" s="90">
        <f t="shared" si="66"/>
        <v>3</v>
      </c>
      <c r="J436" s="90">
        <f t="shared" si="63"/>
        <v>3</v>
      </c>
      <c r="K436" s="91">
        <f t="shared" si="60"/>
        <v>0.95833333333333348</v>
      </c>
      <c r="L436" s="91">
        <f t="shared" si="61"/>
        <v>3.9583333333333339</v>
      </c>
      <c r="M436" s="29">
        <f t="shared" si="67"/>
        <v>13</v>
      </c>
      <c r="N436" s="92">
        <f t="shared" si="64"/>
        <v>3</v>
      </c>
      <c r="O436" s="104">
        <f t="shared" si="58"/>
        <v>1.016</v>
      </c>
      <c r="P436" s="105">
        <f t="shared" si="65"/>
        <v>27.736799999999999</v>
      </c>
    </row>
    <row r="437" spans="2:16" x14ac:dyDescent="0.25">
      <c r="B437" s="88" t="str">
        <f t="shared" si="62"/>
        <v>Sitio Santa Lúcia</v>
      </c>
      <c r="C437" s="106">
        <f t="shared" si="59"/>
        <v>2020</v>
      </c>
      <c r="D437" s="101">
        <v>43996</v>
      </c>
      <c r="E437" s="102">
        <v>0</v>
      </c>
      <c r="F437" s="102">
        <v>0</v>
      </c>
      <c r="G437" s="102">
        <v>0</v>
      </c>
      <c r="H437" s="102">
        <v>0</v>
      </c>
      <c r="I437" s="90">
        <f t="shared" si="66"/>
        <v>0</v>
      </c>
      <c r="J437" s="90">
        <f t="shared" si="63"/>
        <v>0</v>
      </c>
      <c r="K437" s="91">
        <f t="shared" si="60"/>
        <v>0.95833333333333348</v>
      </c>
      <c r="L437" s="91">
        <f t="shared" si="61"/>
        <v>3.9583333333333339</v>
      </c>
      <c r="M437" s="29">
        <f t="shared" si="67"/>
        <v>13</v>
      </c>
      <c r="N437" s="92">
        <f t="shared" si="64"/>
        <v>0</v>
      </c>
      <c r="O437" s="104">
        <f t="shared" ref="O437:O500" si="68">$D$21/1000</f>
        <v>1.016</v>
      </c>
      <c r="P437" s="105">
        <f t="shared" si="65"/>
        <v>0</v>
      </c>
    </row>
    <row r="438" spans="2:16" x14ac:dyDescent="0.25">
      <c r="B438" s="88" t="str">
        <f t="shared" si="62"/>
        <v>Sitio Santa Lúcia</v>
      </c>
      <c r="C438" s="106">
        <f t="shared" ref="C438:C501" si="69">YEAR(D438)</f>
        <v>2020</v>
      </c>
      <c r="D438" s="101">
        <v>43997</v>
      </c>
      <c r="E438" s="102">
        <v>0.33333333333333331</v>
      </c>
      <c r="F438" s="102">
        <v>0.41666666666666669</v>
      </c>
      <c r="G438" s="102">
        <v>0.29166666666666669</v>
      </c>
      <c r="H438" s="102">
        <v>0.45833333333333298</v>
      </c>
      <c r="I438" s="90">
        <f t="shared" si="66"/>
        <v>2.0000000000000009</v>
      </c>
      <c r="J438" s="90">
        <f t="shared" si="63"/>
        <v>3.9999999999999911</v>
      </c>
      <c r="K438" s="91">
        <f t="shared" si="60"/>
        <v>0.95833333333333348</v>
      </c>
      <c r="L438" s="91">
        <f t="shared" si="61"/>
        <v>3.9583333333333339</v>
      </c>
      <c r="M438" s="29">
        <f t="shared" si="67"/>
        <v>13</v>
      </c>
      <c r="N438" s="92">
        <f t="shared" si="64"/>
        <v>2.0000000000000009</v>
      </c>
      <c r="O438" s="104">
        <f t="shared" si="68"/>
        <v>1.016</v>
      </c>
      <c r="P438" s="105">
        <f t="shared" si="65"/>
        <v>18.491200000000006</v>
      </c>
    </row>
    <row r="439" spans="2:16" x14ac:dyDescent="0.25">
      <c r="B439" s="88" t="str">
        <f t="shared" si="62"/>
        <v>Sitio Santa Lúcia</v>
      </c>
      <c r="C439" s="106">
        <f t="shared" si="69"/>
        <v>2020</v>
      </c>
      <c r="D439" s="101">
        <v>43998</v>
      </c>
      <c r="E439" s="102">
        <v>0.29166666666666669</v>
      </c>
      <c r="F439" s="102">
        <v>0.4375</v>
      </c>
      <c r="G439" s="102">
        <v>0.29166666666666669</v>
      </c>
      <c r="H439" s="102">
        <v>0.45833333333333298</v>
      </c>
      <c r="I439" s="90">
        <f t="shared" si="66"/>
        <v>3.4999999999999996</v>
      </c>
      <c r="J439" s="90">
        <f t="shared" si="63"/>
        <v>3.9999999999999911</v>
      </c>
      <c r="K439" s="91">
        <f t="shared" ref="K439:K502" si="70">VLOOKUP(B439,$B$5:$J$17,5,FALSE)</f>
        <v>0.95833333333333348</v>
      </c>
      <c r="L439" s="91">
        <f t="shared" ref="L439:L502" si="71">VLOOKUP(B439,$B$5:$J$17,6,FALSE)</f>
        <v>3.9583333333333339</v>
      </c>
      <c r="M439" s="29">
        <f t="shared" si="67"/>
        <v>13</v>
      </c>
      <c r="N439" s="92">
        <f t="shared" si="64"/>
        <v>3.4999999999999996</v>
      </c>
      <c r="O439" s="104">
        <f t="shared" si="68"/>
        <v>1.016</v>
      </c>
      <c r="P439" s="105">
        <f t="shared" si="65"/>
        <v>32.359599999999993</v>
      </c>
    </row>
    <row r="440" spans="2:16" x14ac:dyDescent="0.25">
      <c r="B440" s="88" t="str">
        <f t="shared" si="62"/>
        <v>Sitio Santa Lúcia</v>
      </c>
      <c r="C440" s="106">
        <f t="shared" si="69"/>
        <v>2020</v>
      </c>
      <c r="D440" s="101">
        <v>43999</v>
      </c>
      <c r="E440" s="102">
        <v>0.3611111111111111</v>
      </c>
      <c r="F440" s="102">
        <v>0.4861111111111111</v>
      </c>
      <c r="G440" s="102">
        <v>0.39583333333333331</v>
      </c>
      <c r="H440" s="102">
        <v>0.4375</v>
      </c>
      <c r="I440" s="90">
        <f t="shared" si="66"/>
        <v>3</v>
      </c>
      <c r="J440" s="90">
        <f t="shared" si="63"/>
        <v>1.0000000000000004</v>
      </c>
      <c r="K440" s="91">
        <f t="shared" si="70"/>
        <v>0.95833333333333348</v>
      </c>
      <c r="L440" s="91">
        <f t="shared" si="71"/>
        <v>3.9583333333333339</v>
      </c>
      <c r="M440" s="29">
        <f t="shared" si="67"/>
        <v>13</v>
      </c>
      <c r="N440" s="92">
        <f t="shared" si="64"/>
        <v>3</v>
      </c>
      <c r="O440" s="104">
        <f t="shared" si="68"/>
        <v>1.016</v>
      </c>
      <c r="P440" s="105">
        <f t="shared" si="65"/>
        <v>27.736799999999999</v>
      </c>
    </row>
    <row r="441" spans="2:16" x14ac:dyDescent="0.25">
      <c r="B441" s="88" t="str">
        <f t="shared" si="62"/>
        <v>Sitio Santa Lúcia</v>
      </c>
      <c r="C441" s="106">
        <f t="shared" si="69"/>
        <v>2020</v>
      </c>
      <c r="D441" s="101">
        <v>44000</v>
      </c>
      <c r="E441" s="102">
        <v>0.36805555555555558</v>
      </c>
      <c r="F441" s="102">
        <v>0.41666666666666669</v>
      </c>
      <c r="G441" s="102">
        <v>0.41666666666666669</v>
      </c>
      <c r="H441" s="102">
        <v>0.5</v>
      </c>
      <c r="I441" s="90">
        <f t="shared" si="66"/>
        <v>1.1666666666666665</v>
      </c>
      <c r="J441" s="90">
        <f t="shared" si="63"/>
        <v>1.9999999999999996</v>
      </c>
      <c r="K441" s="91">
        <f t="shared" si="70"/>
        <v>0.95833333333333348</v>
      </c>
      <c r="L441" s="91">
        <f t="shared" si="71"/>
        <v>3.9583333333333339</v>
      </c>
      <c r="M441" s="29">
        <f t="shared" si="67"/>
        <v>13</v>
      </c>
      <c r="N441" s="92">
        <f t="shared" si="64"/>
        <v>1.1666666666666665</v>
      </c>
      <c r="O441" s="104">
        <f t="shared" si="68"/>
        <v>1.016</v>
      </c>
      <c r="P441" s="105">
        <f t="shared" si="65"/>
        <v>10.786533333333331</v>
      </c>
    </row>
    <row r="442" spans="2:16" x14ac:dyDescent="0.25">
      <c r="B442" s="88" t="str">
        <f t="shared" si="62"/>
        <v>Sitio Santa Lúcia</v>
      </c>
      <c r="C442" s="106">
        <f t="shared" si="69"/>
        <v>2020</v>
      </c>
      <c r="D442" s="101">
        <v>44001</v>
      </c>
      <c r="E442" s="102">
        <v>0.29166666666666669</v>
      </c>
      <c r="F442" s="102">
        <v>0.45833333333333331</v>
      </c>
      <c r="G442" s="102">
        <v>0.33333333333333331</v>
      </c>
      <c r="H442" s="102">
        <v>0.45833333333333331</v>
      </c>
      <c r="I442" s="90">
        <f t="shared" si="66"/>
        <v>3.9999999999999991</v>
      </c>
      <c r="J442" s="90">
        <f t="shared" si="63"/>
        <v>3</v>
      </c>
      <c r="K442" s="91">
        <f t="shared" si="70"/>
        <v>0.95833333333333348</v>
      </c>
      <c r="L442" s="91">
        <f t="shared" si="71"/>
        <v>3.9583333333333339</v>
      </c>
      <c r="M442" s="29">
        <f t="shared" si="67"/>
        <v>13</v>
      </c>
      <c r="N442" s="92">
        <f t="shared" si="64"/>
        <v>3.9999999999999991</v>
      </c>
      <c r="O442" s="104">
        <f t="shared" si="68"/>
        <v>1.016</v>
      </c>
      <c r="P442" s="105">
        <f t="shared" si="65"/>
        <v>36.982399999999991</v>
      </c>
    </row>
    <row r="443" spans="2:16" x14ac:dyDescent="0.25">
      <c r="B443" s="88" t="str">
        <f t="shared" si="62"/>
        <v>Sitio Santa Lúcia</v>
      </c>
      <c r="C443" s="106">
        <f t="shared" si="69"/>
        <v>2020</v>
      </c>
      <c r="D443" s="101">
        <v>44002</v>
      </c>
      <c r="E443" s="102">
        <v>0.33333333333333331</v>
      </c>
      <c r="F443" s="102">
        <v>0.41666666666666669</v>
      </c>
      <c r="G443" s="102">
        <v>0.375</v>
      </c>
      <c r="H443" s="102">
        <v>0.5</v>
      </c>
      <c r="I443" s="90">
        <f t="shared" si="66"/>
        <v>2.0000000000000009</v>
      </c>
      <c r="J443" s="90">
        <f t="shared" si="63"/>
        <v>3</v>
      </c>
      <c r="K443" s="91">
        <f t="shared" si="70"/>
        <v>0.95833333333333348</v>
      </c>
      <c r="L443" s="91">
        <f t="shared" si="71"/>
        <v>3.9583333333333339</v>
      </c>
      <c r="M443" s="29">
        <f t="shared" si="67"/>
        <v>13</v>
      </c>
      <c r="N443" s="92">
        <f t="shared" si="64"/>
        <v>2.0000000000000009</v>
      </c>
      <c r="O443" s="104">
        <f t="shared" si="68"/>
        <v>1.016</v>
      </c>
      <c r="P443" s="105">
        <f t="shared" si="65"/>
        <v>18.491200000000006</v>
      </c>
    </row>
    <row r="444" spans="2:16" x14ac:dyDescent="0.25">
      <c r="B444" s="88" t="str">
        <f t="shared" si="62"/>
        <v>Sitio Santa Lúcia</v>
      </c>
      <c r="C444" s="106">
        <f t="shared" si="69"/>
        <v>2020</v>
      </c>
      <c r="D444" s="101">
        <v>44003</v>
      </c>
      <c r="E444" s="102">
        <v>0.41666666666666669</v>
      </c>
      <c r="F444" s="102">
        <v>0.5</v>
      </c>
      <c r="G444" s="102">
        <v>0.29166666666666669</v>
      </c>
      <c r="H444" s="102">
        <v>0.41666666666666669</v>
      </c>
      <c r="I444" s="90">
        <f t="shared" si="66"/>
        <v>1.9999999999999996</v>
      </c>
      <c r="J444" s="90">
        <f t="shared" si="63"/>
        <v>3</v>
      </c>
      <c r="K444" s="91">
        <f t="shared" si="70"/>
        <v>0.95833333333333348</v>
      </c>
      <c r="L444" s="91">
        <f t="shared" si="71"/>
        <v>3.9583333333333339</v>
      </c>
      <c r="M444" s="29">
        <f t="shared" si="67"/>
        <v>13</v>
      </c>
      <c r="N444" s="92">
        <f t="shared" si="64"/>
        <v>1.9999999999999996</v>
      </c>
      <c r="O444" s="104">
        <f t="shared" si="68"/>
        <v>1.016</v>
      </c>
      <c r="P444" s="105">
        <f t="shared" si="65"/>
        <v>18.491199999999996</v>
      </c>
    </row>
    <row r="445" spans="2:16" x14ac:dyDescent="0.25">
      <c r="B445" s="88" t="str">
        <f t="shared" si="62"/>
        <v>Sitio Santa Lúcia</v>
      </c>
      <c r="C445" s="106">
        <f t="shared" si="69"/>
        <v>2020</v>
      </c>
      <c r="D445" s="101">
        <v>44004</v>
      </c>
      <c r="E445" s="102">
        <v>0.29166666666666669</v>
      </c>
      <c r="F445" s="102">
        <v>0.375</v>
      </c>
      <c r="G445" s="102">
        <v>0.3125</v>
      </c>
      <c r="H445" s="102">
        <v>0.40972222222222227</v>
      </c>
      <c r="I445" s="90">
        <f t="shared" si="66"/>
        <v>1.9999999999999996</v>
      </c>
      <c r="J445" s="90">
        <f t="shared" si="63"/>
        <v>2.3333333333333344</v>
      </c>
      <c r="K445" s="91">
        <f t="shared" si="70"/>
        <v>0.95833333333333348</v>
      </c>
      <c r="L445" s="91">
        <f t="shared" si="71"/>
        <v>3.9583333333333339</v>
      </c>
      <c r="M445" s="29">
        <f t="shared" si="67"/>
        <v>13</v>
      </c>
      <c r="N445" s="92">
        <f t="shared" si="64"/>
        <v>1.9999999999999996</v>
      </c>
      <c r="O445" s="104">
        <f t="shared" si="68"/>
        <v>1.016</v>
      </c>
      <c r="P445" s="105">
        <f t="shared" si="65"/>
        <v>18.491199999999996</v>
      </c>
    </row>
    <row r="446" spans="2:16" x14ac:dyDescent="0.25">
      <c r="B446" s="88" t="str">
        <f t="shared" si="62"/>
        <v>Sitio Santa Lúcia</v>
      </c>
      <c r="C446" s="106">
        <f t="shared" si="69"/>
        <v>2020</v>
      </c>
      <c r="D446" s="101">
        <v>44005</v>
      </c>
      <c r="E446" s="102">
        <v>0.36458333333333331</v>
      </c>
      <c r="F446" s="102">
        <v>0.4375</v>
      </c>
      <c r="G446" s="102">
        <v>0.33333333333333331</v>
      </c>
      <c r="H446" s="102">
        <v>0.45833333333333331</v>
      </c>
      <c r="I446" s="90">
        <f t="shared" si="66"/>
        <v>1.7500000000000004</v>
      </c>
      <c r="J446" s="90">
        <f t="shared" si="63"/>
        <v>3</v>
      </c>
      <c r="K446" s="91">
        <f t="shared" si="70"/>
        <v>0.95833333333333348</v>
      </c>
      <c r="L446" s="91">
        <f t="shared" si="71"/>
        <v>3.9583333333333339</v>
      </c>
      <c r="M446" s="29">
        <f t="shared" si="67"/>
        <v>13</v>
      </c>
      <c r="N446" s="92">
        <f t="shared" si="64"/>
        <v>1.7500000000000004</v>
      </c>
      <c r="O446" s="104">
        <f t="shared" si="68"/>
        <v>1.016</v>
      </c>
      <c r="P446" s="105">
        <f t="shared" si="65"/>
        <v>16.179800000000004</v>
      </c>
    </row>
    <row r="447" spans="2:16" x14ac:dyDescent="0.25">
      <c r="B447" s="88" t="str">
        <f t="shared" si="62"/>
        <v>Sitio Santa Lúcia</v>
      </c>
      <c r="C447" s="106">
        <f t="shared" si="69"/>
        <v>2020</v>
      </c>
      <c r="D447" s="101">
        <v>44006</v>
      </c>
      <c r="E447" s="102">
        <v>0.29166666666666669</v>
      </c>
      <c r="F447" s="102">
        <v>0.41666666666666669</v>
      </c>
      <c r="G447" s="102">
        <v>0.33333333333333331</v>
      </c>
      <c r="H447" s="102">
        <v>0.45833333333333331</v>
      </c>
      <c r="I447" s="90">
        <f t="shared" si="66"/>
        <v>3</v>
      </c>
      <c r="J447" s="90">
        <f t="shared" si="63"/>
        <v>3</v>
      </c>
      <c r="K447" s="91">
        <f t="shared" si="70"/>
        <v>0.95833333333333348</v>
      </c>
      <c r="L447" s="91">
        <f t="shared" si="71"/>
        <v>3.9583333333333339</v>
      </c>
      <c r="M447" s="29">
        <f t="shared" si="67"/>
        <v>13</v>
      </c>
      <c r="N447" s="92">
        <f t="shared" si="64"/>
        <v>3</v>
      </c>
      <c r="O447" s="104">
        <f t="shared" si="68"/>
        <v>1.016</v>
      </c>
      <c r="P447" s="105">
        <f t="shared" si="65"/>
        <v>27.736799999999999</v>
      </c>
    </row>
    <row r="448" spans="2:16" x14ac:dyDescent="0.25">
      <c r="B448" s="88" t="str">
        <f t="shared" si="62"/>
        <v>Sitio Santa Lúcia</v>
      </c>
      <c r="C448" s="106">
        <f t="shared" si="69"/>
        <v>2020</v>
      </c>
      <c r="D448" s="101">
        <v>44007</v>
      </c>
      <c r="E448" s="102">
        <v>0.27083333333333331</v>
      </c>
      <c r="F448" s="102">
        <v>0.45833333333333298</v>
      </c>
      <c r="G448" s="102">
        <v>0.3125</v>
      </c>
      <c r="H448" s="102">
        <v>0.39583333333333331</v>
      </c>
      <c r="I448" s="90">
        <f t="shared" si="66"/>
        <v>4.499999999999992</v>
      </c>
      <c r="J448" s="90">
        <f t="shared" si="63"/>
        <v>1.9999999999999996</v>
      </c>
      <c r="K448" s="91">
        <f t="shared" si="70"/>
        <v>0.95833333333333348</v>
      </c>
      <c r="L448" s="91">
        <f t="shared" si="71"/>
        <v>3.9583333333333339</v>
      </c>
      <c r="M448" s="29">
        <f t="shared" si="67"/>
        <v>13</v>
      </c>
      <c r="N448" s="92">
        <f t="shared" si="64"/>
        <v>4.499999999999992</v>
      </c>
      <c r="O448" s="104">
        <f t="shared" si="68"/>
        <v>1.016</v>
      </c>
      <c r="P448" s="105">
        <f t="shared" si="65"/>
        <v>41.605199999999925</v>
      </c>
    </row>
    <row r="449" spans="2:16" x14ac:dyDescent="0.25">
      <c r="B449" s="88" t="str">
        <f t="shared" si="62"/>
        <v>Sitio Santa Lúcia</v>
      </c>
      <c r="C449" s="106">
        <f t="shared" si="69"/>
        <v>2020</v>
      </c>
      <c r="D449" s="101">
        <v>44008</v>
      </c>
      <c r="E449" s="102">
        <v>0.29166666666666669</v>
      </c>
      <c r="F449" s="102">
        <v>0.375</v>
      </c>
      <c r="G449" s="102">
        <v>0.28472222222222221</v>
      </c>
      <c r="H449" s="102">
        <v>0.41666666666666669</v>
      </c>
      <c r="I449" s="90">
        <f t="shared" si="66"/>
        <v>1.9999999999999996</v>
      </c>
      <c r="J449" s="90">
        <f t="shared" si="63"/>
        <v>3.1666666666666674</v>
      </c>
      <c r="K449" s="91">
        <f t="shared" si="70"/>
        <v>0.95833333333333348</v>
      </c>
      <c r="L449" s="91">
        <f t="shared" si="71"/>
        <v>3.9583333333333339</v>
      </c>
      <c r="M449" s="29">
        <f t="shared" si="67"/>
        <v>13</v>
      </c>
      <c r="N449" s="92">
        <f t="shared" si="64"/>
        <v>1.9999999999999996</v>
      </c>
      <c r="O449" s="104">
        <f t="shared" si="68"/>
        <v>1.016</v>
      </c>
      <c r="P449" s="105">
        <f t="shared" si="65"/>
        <v>18.491199999999996</v>
      </c>
    </row>
    <row r="450" spans="2:16" x14ac:dyDescent="0.25">
      <c r="B450" s="88" t="str">
        <f t="shared" si="62"/>
        <v>Sitio Santa Lúcia</v>
      </c>
      <c r="C450" s="106">
        <f t="shared" si="69"/>
        <v>2020</v>
      </c>
      <c r="D450" s="101">
        <v>44009</v>
      </c>
      <c r="E450" s="102">
        <v>0.3611111111111111</v>
      </c>
      <c r="F450" s="102">
        <v>0.375</v>
      </c>
      <c r="G450" s="102">
        <v>0.29166666666666669</v>
      </c>
      <c r="H450" s="102">
        <v>0.41666666666666669</v>
      </c>
      <c r="I450" s="90">
        <f t="shared" si="66"/>
        <v>0.33333333333333348</v>
      </c>
      <c r="J450" s="90">
        <f t="shared" si="63"/>
        <v>3</v>
      </c>
      <c r="K450" s="91">
        <f t="shared" si="70"/>
        <v>0.95833333333333348</v>
      </c>
      <c r="L450" s="91">
        <f t="shared" si="71"/>
        <v>3.9583333333333339</v>
      </c>
      <c r="M450" s="29">
        <f t="shared" si="67"/>
        <v>13</v>
      </c>
      <c r="N450" s="92">
        <f t="shared" si="64"/>
        <v>0.33333333333333348</v>
      </c>
      <c r="O450" s="104">
        <f t="shared" si="68"/>
        <v>1.016</v>
      </c>
      <c r="P450" s="105">
        <f t="shared" si="65"/>
        <v>3.0818666666666683</v>
      </c>
    </row>
    <row r="451" spans="2:16" x14ac:dyDescent="0.25">
      <c r="B451" s="88" t="str">
        <f t="shared" si="62"/>
        <v>Sitio Santa Lúcia</v>
      </c>
      <c r="C451" s="106">
        <f t="shared" si="69"/>
        <v>2020</v>
      </c>
      <c r="D451" s="101">
        <v>44010</v>
      </c>
      <c r="E451" s="102">
        <v>0.25</v>
      </c>
      <c r="F451" s="102">
        <v>0.41666666666666702</v>
      </c>
      <c r="G451" s="102">
        <v>0.375</v>
      </c>
      <c r="H451" s="102">
        <v>0.45833333333333298</v>
      </c>
      <c r="I451" s="90">
        <f t="shared" si="66"/>
        <v>4.0000000000000089</v>
      </c>
      <c r="J451" s="90">
        <f t="shared" si="63"/>
        <v>1.9999999999999916</v>
      </c>
      <c r="K451" s="91">
        <f t="shared" si="70"/>
        <v>0.95833333333333348</v>
      </c>
      <c r="L451" s="91">
        <f t="shared" si="71"/>
        <v>3.9583333333333339</v>
      </c>
      <c r="M451" s="29">
        <f t="shared" si="67"/>
        <v>13</v>
      </c>
      <c r="N451" s="92">
        <f t="shared" si="64"/>
        <v>4.0000000000000089</v>
      </c>
      <c r="O451" s="104">
        <f t="shared" si="68"/>
        <v>1.016</v>
      </c>
      <c r="P451" s="105">
        <f t="shared" si="65"/>
        <v>36.982400000000077</v>
      </c>
    </row>
    <row r="452" spans="2:16" x14ac:dyDescent="0.25">
      <c r="B452" s="88" t="str">
        <f t="shared" si="62"/>
        <v>Sitio Santa Lúcia</v>
      </c>
      <c r="C452" s="106">
        <f t="shared" si="69"/>
        <v>2020</v>
      </c>
      <c r="D452" s="101">
        <v>44011</v>
      </c>
      <c r="E452" s="102">
        <v>0.27083333333333331</v>
      </c>
      <c r="F452" s="102">
        <v>0.36805555555555558</v>
      </c>
      <c r="G452" s="102">
        <v>0.25</v>
      </c>
      <c r="H452" s="102">
        <v>0.41666666666666669</v>
      </c>
      <c r="I452" s="90">
        <f t="shared" si="66"/>
        <v>2.3333333333333344</v>
      </c>
      <c r="J452" s="90">
        <f t="shared" si="63"/>
        <v>4</v>
      </c>
      <c r="K452" s="91">
        <f t="shared" si="70"/>
        <v>0.95833333333333348</v>
      </c>
      <c r="L452" s="91">
        <f t="shared" si="71"/>
        <v>3.9583333333333339</v>
      </c>
      <c r="M452" s="29">
        <f t="shared" si="67"/>
        <v>13</v>
      </c>
      <c r="N452" s="92">
        <f t="shared" si="64"/>
        <v>2.3333333333333344</v>
      </c>
      <c r="O452" s="104">
        <f t="shared" si="68"/>
        <v>1.016</v>
      </c>
      <c r="P452" s="105">
        <f t="shared" si="65"/>
        <v>21.573066666666673</v>
      </c>
    </row>
    <row r="453" spans="2:16" x14ac:dyDescent="0.25">
      <c r="B453" s="88" t="str">
        <f t="shared" si="62"/>
        <v>Sitio Santa Lúcia</v>
      </c>
      <c r="C453" s="106">
        <f t="shared" si="69"/>
        <v>2020</v>
      </c>
      <c r="D453" s="101">
        <v>44012</v>
      </c>
      <c r="E453" s="102">
        <v>0.375</v>
      </c>
      <c r="F453" s="102">
        <v>0.45833333333333331</v>
      </c>
      <c r="G453" s="102">
        <v>0.41666666666666702</v>
      </c>
      <c r="H453" s="102">
        <v>0.5</v>
      </c>
      <c r="I453" s="90">
        <f t="shared" si="66"/>
        <v>1.9999999999999996</v>
      </c>
      <c r="J453" s="90">
        <f t="shared" si="63"/>
        <v>1.9999999999999916</v>
      </c>
      <c r="K453" s="91">
        <f t="shared" si="70"/>
        <v>0.95833333333333348</v>
      </c>
      <c r="L453" s="91">
        <f t="shared" si="71"/>
        <v>3.9583333333333339</v>
      </c>
      <c r="M453" s="29">
        <f t="shared" si="67"/>
        <v>13</v>
      </c>
      <c r="N453" s="92">
        <f t="shared" si="64"/>
        <v>1.9999999999999996</v>
      </c>
      <c r="O453" s="104">
        <f t="shared" si="68"/>
        <v>1.016</v>
      </c>
      <c r="P453" s="105">
        <f t="shared" si="65"/>
        <v>18.491199999999996</v>
      </c>
    </row>
    <row r="454" spans="2:16" x14ac:dyDescent="0.25">
      <c r="B454" s="88" t="str">
        <f t="shared" si="62"/>
        <v>Sitio Santa Lúcia</v>
      </c>
      <c r="C454" s="106">
        <f t="shared" si="69"/>
        <v>2020</v>
      </c>
      <c r="D454" s="101">
        <v>44013</v>
      </c>
      <c r="E454" s="102">
        <v>0.29166666666666669</v>
      </c>
      <c r="F454" s="102">
        <v>0.41666666666666669</v>
      </c>
      <c r="G454" s="102">
        <v>0.33333333333333331</v>
      </c>
      <c r="H454" s="102">
        <v>0.45833333333333331</v>
      </c>
      <c r="I454" s="90">
        <f t="shared" si="66"/>
        <v>3</v>
      </c>
      <c r="J454" s="90">
        <f t="shared" si="63"/>
        <v>3</v>
      </c>
      <c r="K454" s="91">
        <f t="shared" si="70"/>
        <v>0.95833333333333348</v>
      </c>
      <c r="L454" s="91">
        <f t="shared" si="71"/>
        <v>3.9583333333333339</v>
      </c>
      <c r="M454" s="29">
        <f t="shared" si="67"/>
        <v>13</v>
      </c>
      <c r="N454" s="92">
        <f t="shared" si="64"/>
        <v>3</v>
      </c>
      <c r="O454" s="104">
        <f t="shared" si="68"/>
        <v>1.016</v>
      </c>
      <c r="P454" s="105">
        <f t="shared" si="65"/>
        <v>27.736799999999999</v>
      </c>
    </row>
    <row r="455" spans="2:16" x14ac:dyDescent="0.25">
      <c r="B455" s="88" t="str">
        <f t="shared" si="62"/>
        <v>Sitio Santa Lúcia</v>
      </c>
      <c r="C455" s="106">
        <f t="shared" si="69"/>
        <v>2020</v>
      </c>
      <c r="D455" s="101">
        <v>44014</v>
      </c>
      <c r="E455" s="102">
        <v>0.375</v>
      </c>
      <c r="F455" s="102">
        <v>0.45833333333333331</v>
      </c>
      <c r="G455" s="102">
        <v>0.27083333333333331</v>
      </c>
      <c r="H455" s="102">
        <v>0.41666666666666669</v>
      </c>
      <c r="I455" s="90">
        <f t="shared" si="66"/>
        <v>1.9999999999999996</v>
      </c>
      <c r="J455" s="90">
        <f t="shared" si="63"/>
        <v>3.5000000000000009</v>
      </c>
      <c r="K455" s="91">
        <f t="shared" si="70"/>
        <v>0.95833333333333348</v>
      </c>
      <c r="L455" s="91">
        <f t="shared" si="71"/>
        <v>3.9583333333333339</v>
      </c>
      <c r="M455" s="29">
        <f t="shared" si="67"/>
        <v>13</v>
      </c>
      <c r="N455" s="92">
        <f t="shared" si="64"/>
        <v>1.9999999999999996</v>
      </c>
      <c r="O455" s="104">
        <f t="shared" si="68"/>
        <v>1.016</v>
      </c>
      <c r="P455" s="105">
        <f t="shared" si="65"/>
        <v>18.491199999999996</v>
      </c>
    </row>
    <row r="456" spans="2:16" x14ac:dyDescent="0.25">
      <c r="B456" s="88" t="str">
        <f t="shared" si="62"/>
        <v>Sitio Santa Lúcia</v>
      </c>
      <c r="C456" s="106">
        <f t="shared" si="69"/>
        <v>2020</v>
      </c>
      <c r="D456" s="101">
        <v>44015</v>
      </c>
      <c r="E456" s="102">
        <v>0.3125</v>
      </c>
      <c r="F456" s="102">
        <v>0.47916666666666669</v>
      </c>
      <c r="G456" s="102">
        <v>0.29166666666666669</v>
      </c>
      <c r="H456" s="102">
        <v>0.4375</v>
      </c>
      <c r="I456" s="90">
        <f t="shared" si="66"/>
        <v>4</v>
      </c>
      <c r="J456" s="90">
        <f t="shared" si="63"/>
        <v>3.4999999999999996</v>
      </c>
      <c r="K456" s="91">
        <f t="shared" si="70"/>
        <v>0.95833333333333348</v>
      </c>
      <c r="L456" s="91">
        <f t="shared" si="71"/>
        <v>3.9583333333333339</v>
      </c>
      <c r="M456" s="29">
        <f t="shared" si="67"/>
        <v>13</v>
      </c>
      <c r="N456" s="92">
        <f t="shared" si="64"/>
        <v>4</v>
      </c>
      <c r="O456" s="104">
        <f t="shared" si="68"/>
        <v>1.016</v>
      </c>
      <c r="P456" s="105">
        <f t="shared" si="65"/>
        <v>36.982399999999998</v>
      </c>
    </row>
    <row r="457" spans="2:16" x14ac:dyDescent="0.25">
      <c r="B457" s="88" t="str">
        <f t="shared" si="62"/>
        <v>Sitio Santa Lúcia</v>
      </c>
      <c r="C457" s="106">
        <f t="shared" si="69"/>
        <v>2020</v>
      </c>
      <c r="D457" s="101">
        <v>44016</v>
      </c>
      <c r="E457" s="102">
        <v>0.375</v>
      </c>
      <c r="F457" s="102">
        <v>0.47916666666666669</v>
      </c>
      <c r="G457" s="102">
        <v>0.27083333333333331</v>
      </c>
      <c r="H457" s="102">
        <v>0.41666666666666669</v>
      </c>
      <c r="I457" s="90">
        <f t="shared" si="66"/>
        <v>2.5000000000000004</v>
      </c>
      <c r="J457" s="90">
        <f t="shared" si="63"/>
        <v>3.5000000000000009</v>
      </c>
      <c r="K457" s="91">
        <f t="shared" si="70"/>
        <v>0.95833333333333348</v>
      </c>
      <c r="L457" s="91">
        <f t="shared" si="71"/>
        <v>3.9583333333333339</v>
      </c>
      <c r="M457" s="29">
        <f t="shared" si="67"/>
        <v>13</v>
      </c>
      <c r="N457" s="92">
        <f t="shared" si="64"/>
        <v>2.5000000000000004</v>
      </c>
      <c r="O457" s="104">
        <f t="shared" si="68"/>
        <v>1.016</v>
      </c>
      <c r="P457" s="105">
        <f t="shared" si="65"/>
        <v>23.114000000000004</v>
      </c>
    </row>
    <row r="458" spans="2:16" x14ac:dyDescent="0.25">
      <c r="B458" s="88" t="str">
        <f t="shared" si="62"/>
        <v>Sitio Santa Lúcia</v>
      </c>
      <c r="C458" s="106">
        <f t="shared" si="69"/>
        <v>2020</v>
      </c>
      <c r="D458" s="101">
        <v>44017</v>
      </c>
      <c r="E458" s="102">
        <v>0.33333333333333331</v>
      </c>
      <c r="F458" s="102">
        <v>0.39583333333333331</v>
      </c>
      <c r="G458" s="102">
        <v>0.33333333333333331</v>
      </c>
      <c r="H458" s="102">
        <v>0.41666666666666669</v>
      </c>
      <c r="I458" s="90">
        <f t="shared" si="66"/>
        <v>1.5</v>
      </c>
      <c r="J458" s="90">
        <f t="shared" si="63"/>
        <v>2.0000000000000009</v>
      </c>
      <c r="K458" s="91">
        <f t="shared" si="70"/>
        <v>0.95833333333333348</v>
      </c>
      <c r="L458" s="91">
        <f t="shared" si="71"/>
        <v>3.9583333333333339</v>
      </c>
      <c r="M458" s="29">
        <f t="shared" si="67"/>
        <v>13</v>
      </c>
      <c r="N458" s="92">
        <f t="shared" si="64"/>
        <v>1.5</v>
      </c>
      <c r="O458" s="104">
        <f t="shared" si="68"/>
        <v>1.016</v>
      </c>
      <c r="P458" s="105">
        <f t="shared" si="65"/>
        <v>13.868399999999999</v>
      </c>
    </row>
    <row r="459" spans="2:16" x14ac:dyDescent="0.25">
      <c r="B459" s="88" t="str">
        <f t="shared" si="62"/>
        <v>Sitio Santa Lúcia</v>
      </c>
      <c r="C459" s="106">
        <f t="shared" si="69"/>
        <v>2020</v>
      </c>
      <c r="D459" s="101">
        <v>44018</v>
      </c>
      <c r="E459" s="102">
        <v>0.375</v>
      </c>
      <c r="F459" s="102">
        <v>0.45833333333333331</v>
      </c>
      <c r="G459" s="102">
        <v>0.27083333333333331</v>
      </c>
      <c r="H459" s="102">
        <v>0.375</v>
      </c>
      <c r="I459" s="90">
        <f t="shared" si="66"/>
        <v>1.9999999999999996</v>
      </c>
      <c r="J459" s="90">
        <f t="shared" si="63"/>
        <v>2.5000000000000004</v>
      </c>
      <c r="K459" s="91">
        <f t="shared" si="70"/>
        <v>0.95833333333333348</v>
      </c>
      <c r="L459" s="91">
        <f t="shared" si="71"/>
        <v>3.9583333333333339</v>
      </c>
      <c r="M459" s="29">
        <f t="shared" si="67"/>
        <v>13</v>
      </c>
      <c r="N459" s="92">
        <f t="shared" si="64"/>
        <v>1.9999999999999996</v>
      </c>
      <c r="O459" s="104">
        <f t="shared" si="68"/>
        <v>1.016</v>
      </c>
      <c r="P459" s="105">
        <f t="shared" si="65"/>
        <v>18.491199999999996</v>
      </c>
    </row>
    <row r="460" spans="2:16" x14ac:dyDescent="0.25">
      <c r="B460" s="88" t="str">
        <f t="shared" si="62"/>
        <v>Sitio Santa Lúcia</v>
      </c>
      <c r="C460" s="106">
        <f t="shared" si="69"/>
        <v>2020</v>
      </c>
      <c r="D460" s="101">
        <v>44019</v>
      </c>
      <c r="E460" s="102">
        <v>0.41666666666666702</v>
      </c>
      <c r="F460" s="102">
        <v>0.5</v>
      </c>
      <c r="G460" s="102">
        <v>0.29166666666666669</v>
      </c>
      <c r="H460" s="102">
        <v>0.39583333333333331</v>
      </c>
      <c r="I460" s="90">
        <f t="shared" si="66"/>
        <v>1.9999999999999916</v>
      </c>
      <c r="J460" s="90">
        <f t="shared" si="63"/>
        <v>2.4999999999999991</v>
      </c>
      <c r="K460" s="91">
        <f t="shared" si="70"/>
        <v>0.95833333333333348</v>
      </c>
      <c r="L460" s="91">
        <f t="shared" si="71"/>
        <v>3.9583333333333339</v>
      </c>
      <c r="M460" s="29">
        <f t="shared" si="67"/>
        <v>13</v>
      </c>
      <c r="N460" s="92">
        <f t="shared" si="64"/>
        <v>1.9999999999999916</v>
      </c>
      <c r="O460" s="104">
        <f t="shared" si="68"/>
        <v>1.016</v>
      </c>
      <c r="P460" s="105">
        <f t="shared" si="65"/>
        <v>18.491199999999921</v>
      </c>
    </row>
    <row r="461" spans="2:16" x14ac:dyDescent="0.25">
      <c r="B461" s="88" t="str">
        <f t="shared" si="62"/>
        <v>Sitio Santa Lúcia</v>
      </c>
      <c r="C461" s="106">
        <f t="shared" si="69"/>
        <v>2020</v>
      </c>
      <c r="D461" s="101">
        <v>44020</v>
      </c>
      <c r="E461" s="102">
        <v>0.33333333333333331</v>
      </c>
      <c r="F461" s="102">
        <v>0.4513888888888889</v>
      </c>
      <c r="G461" s="102">
        <v>0.41666666666666702</v>
      </c>
      <c r="H461" s="102">
        <v>0.5</v>
      </c>
      <c r="I461" s="90">
        <f t="shared" si="66"/>
        <v>2.8333333333333339</v>
      </c>
      <c r="J461" s="90">
        <f t="shared" si="63"/>
        <v>1.9999999999999916</v>
      </c>
      <c r="K461" s="91">
        <f t="shared" si="70"/>
        <v>0.95833333333333348</v>
      </c>
      <c r="L461" s="91">
        <f t="shared" si="71"/>
        <v>3.9583333333333339</v>
      </c>
      <c r="M461" s="29">
        <f t="shared" si="67"/>
        <v>13</v>
      </c>
      <c r="N461" s="92">
        <f t="shared" si="64"/>
        <v>2.8333333333333339</v>
      </c>
      <c r="O461" s="104">
        <f t="shared" si="68"/>
        <v>1.016</v>
      </c>
      <c r="P461" s="105">
        <f t="shared" si="65"/>
        <v>26.195866666666674</v>
      </c>
    </row>
    <row r="462" spans="2:16" x14ac:dyDescent="0.25">
      <c r="B462" s="88" t="str">
        <f t="shared" si="62"/>
        <v>Sitio Santa Lúcia</v>
      </c>
      <c r="C462" s="106">
        <f t="shared" si="69"/>
        <v>2020</v>
      </c>
      <c r="D462" s="101">
        <v>44021</v>
      </c>
      <c r="E462" s="102">
        <v>0.29166666666666669</v>
      </c>
      <c r="F462" s="102">
        <v>0.375</v>
      </c>
      <c r="G462" s="102">
        <v>0.3263888888888889</v>
      </c>
      <c r="H462" s="102">
        <v>0.41666666666666669</v>
      </c>
      <c r="I462" s="90">
        <f t="shared" si="66"/>
        <v>1.9999999999999996</v>
      </c>
      <c r="J462" s="90">
        <f t="shared" si="63"/>
        <v>2.166666666666667</v>
      </c>
      <c r="K462" s="91">
        <f t="shared" si="70"/>
        <v>0.95833333333333348</v>
      </c>
      <c r="L462" s="91">
        <f t="shared" si="71"/>
        <v>3.9583333333333339</v>
      </c>
      <c r="M462" s="29">
        <f t="shared" si="67"/>
        <v>13</v>
      </c>
      <c r="N462" s="92">
        <f t="shared" si="64"/>
        <v>1.9999999999999996</v>
      </c>
      <c r="O462" s="104">
        <f t="shared" si="68"/>
        <v>1.016</v>
      </c>
      <c r="P462" s="105">
        <f t="shared" si="65"/>
        <v>18.491199999999996</v>
      </c>
    </row>
    <row r="463" spans="2:16" x14ac:dyDescent="0.25">
      <c r="B463" s="88" t="str">
        <f t="shared" si="62"/>
        <v>Sitio Santa Lúcia</v>
      </c>
      <c r="C463" s="106">
        <f t="shared" si="69"/>
        <v>2020</v>
      </c>
      <c r="D463" s="101">
        <v>44022</v>
      </c>
      <c r="E463" s="102">
        <v>0.25</v>
      </c>
      <c r="F463" s="102">
        <v>0.41666666666666702</v>
      </c>
      <c r="G463" s="102">
        <v>0.29166666666666669</v>
      </c>
      <c r="H463" s="102">
        <v>0.45833333333333331</v>
      </c>
      <c r="I463" s="90">
        <f t="shared" si="66"/>
        <v>4.0000000000000089</v>
      </c>
      <c r="J463" s="90">
        <f t="shared" si="63"/>
        <v>3.9999999999999991</v>
      </c>
      <c r="K463" s="91">
        <f t="shared" si="70"/>
        <v>0.95833333333333348</v>
      </c>
      <c r="L463" s="91">
        <f t="shared" si="71"/>
        <v>3.9583333333333339</v>
      </c>
      <c r="M463" s="29">
        <f t="shared" si="67"/>
        <v>13</v>
      </c>
      <c r="N463" s="92">
        <f t="shared" si="64"/>
        <v>4.0000000000000089</v>
      </c>
      <c r="O463" s="104">
        <f t="shared" si="68"/>
        <v>1.016</v>
      </c>
      <c r="P463" s="105">
        <f t="shared" si="65"/>
        <v>36.982400000000077</v>
      </c>
    </row>
    <row r="464" spans="2:16" x14ac:dyDescent="0.25">
      <c r="B464" s="88" t="str">
        <f t="shared" si="62"/>
        <v>Sitio Santa Lúcia</v>
      </c>
      <c r="C464" s="106">
        <f t="shared" si="69"/>
        <v>2020</v>
      </c>
      <c r="D464" s="101">
        <v>44023</v>
      </c>
      <c r="E464" s="102">
        <v>0.33333333333333331</v>
      </c>
      <c r="F464" s="102">
        <v>0.45833333333333331</v>
      </c>
      <c r="G464" s="102">
        <v>0.41666666666666702</v>
      </c>
      <c r="H464" s="102">
        <v>0.5</v>
      </c>
      <c r="I464" s="90">
        <f t="shared" si="66"/>
        <v>3</v>
      </c>
      <c r="J464" s="90">
        <f t="shared" si="63"/>
        <v>1.9999999999999916</v>
      </c>
      <c r="K464" s="91">
        <f t="shared" si="70"/>
        <v>0.95833333333333348</v>
      </c>
      <c r="L464" s="91">
        <f t="shared" si="71"/>
        <v>3.9583333333333339</v>
      </c>
      <c r="M464" s="29">
        <f t="shared" si="67"/>
        <v>13</v>
      </c>
      <c r="N464" s="92">
        <f t="shared" si="64"/>
        <v>3</v>
      </c>
      <c r="O464" s="104">
        <f t="shared" si="68"/>
        <v>1.016</v>
      </c>
      <c r="P464" s="105">
        <f t="shared" si="65"/>
        <v>27.736799999999999</v>
      </c>
    </row>
    <row r="465" spans="2:16" x14ac:dyDescent="0.25">
      <c r="B465" s="88" t="str">
        <f t="shared" si="62"/>
        <v>Sitio Santa Lúcia</v>
      </c>
      <c r="C465" s="106">
        <f t="shared" si="69"/>
        <v>2020</v>
      </c>
      <c r="D465" s="101">
        <v>44024</v>
      </c>
      <c r="E465" s="102">
        <v>0.375</v>
      </c>
      <c r="F465" s="102">
        <v>0.45833333333333331</v>
      </c>
      <c r="G465" s="102">
        <v>0.33333333333333331</v>
      </c>
      <c r="H465" s="102">
        <v>0.41666666666666702</v>
      </c>
      <c r="I465" s="90">
        <f t="shared" si="66"/>
        <v>1.9999999999999996</v>
      </c>
      <c r="J465" s="90">
        <f t="shared" si="63"/>
        <v>2.0000000000000089</v>
      </c>
      <c r="K465" s="91">
        <f t="shared" si="70"/>
        <v>0.95833333333333348</v>
      </c>
      <c r="L465" s="91">
        <f t="shared" si="71"/>
        <v>3.9583333333333339</v>
      </c>
      <c r="M465" s="29">
        <f t="shared" si="67"/>
        <v>13</v>
      </c>
      <c r="N465" s="92">
        <f t="shared" si="64"/>
        <v>1.9999999999999996</v>
      </c>
      <c r="O465" s="104">
        <f t="shared" si="68"/>
        <v>1.016</v>
      </c>
      <c r="P465" s="105">
        <f t="shared" si="65"/>
        <v>18.491199999999996</v>
      </c>
    </row>
    <row r="466" spans="2:16" x14ac:dyDescent="0.25">
      <c r="B466" s="88" t="str">
        <f t="shared" si="62"/>
        <v>Sitio Santa Lúcia</v>
      </c>
      <c r="C466" s="106">
        <f t="shared" si="69"/>
        <v>2020</v>
      </c>
      <c r="D466" s="101">
        <v>44025</v>
      </c>
      <c r="E466" s="102">
        <v>0.27083333333333331</v>
      </c>
      <c r="F466" s="102">
        <v>0.375</v>
      </c>
      <c r="G466" s="102">
        <v>0.375</v>
      </c>
      <c r="H466" s="102">
        <v>0.41666666666666702</v>
      </c>
      <c r="I466" s="90">
        <f t="shared" si="66"/>
        <v>2.5000000000000004</v>
      </c>
      <c r="J466" s="90">
        <f t="shared" si="63"/>
        <v>1.0000000000000084</v>
      </c>
      <c r="K466" s="91">
        <f t="shared" si="70"/>
        <v>0.95833333333333348</v>
      </c>
      <c r="L466" s="91">
        <f t="shared" si="71"/>
        <v>3.9583333333333339</v>
      </c>
      <c r="M466" s="29">
        <f t="shared" si="67"/>
        <v>13</v>
      </c>
      <c r="N466" s="92">
        <f t="shared" si="64"/>
        <v>2.5000000000000004</v>
      </c>
      <c r="O466" s="104">
        <f t="shared" si="68"/>
        <v>1.016</v>
      </c>
      <c r="P466" s="105">
        <f t="shared" si="65"/>
        <v>23.114000000000004</v>
      </c>
    </row>
    <row r="467" spans="2:16" x14ac:dyDescent="0.25">
      <c r="B467" s="88" t="str">
        <f t="shared" si="62"/>
        <v>Sitio Santa Lúcia</v>
      </c>
      <c r="C467" s="106">
        <f t="shared" si="69"/>
        <v>2020</v>
      </c>
      <c r="D467" s="101">
        <v>44026</v>
      </c>
      <c r="E467" s="102">
        <v>0.29166666666666669</v>
      </c>
      <c r="F467" s="102">
        <v>0.4375</v>
      </c>
      <c r="G467" s="102">
        <v>0.31944444444444448</v>
      </c>
      <c r="H467" s="102">
        <v>0.44791666666666669</v>
      </c>
      <c r="I467" s="90">
        <f t="shared" si="66"/>
        <v>3.4999999999999996</v>
      </c>
      <c r="J467" s="90">
        <f t="shared" si="63"/>
        <v>3.083333333333333</v>
      </c>
      <c r="K467" s="91">
        <f t="shared" si="70"/>
        <v>0.95833333333333348</v>
      </c>
      <c r="L467" s="91">
        <f t="shared" si="71"/>
        <v>3.9583333333333339</v>
      </c>
      <c r="M467" s="29">
        <f t="shared" si="67"/>
        <v>13</v>
      </c>
      <c r="N467" s="92">
        <f t="shared" si="64"/>
        <v>3.4999999999999996</v>
      </c>
      <c r="O467" s="104">
        <f t="shared" si="68"/>
        <v>1.016</v>
      </c>
      <c r="P467" s="105">
        <f t="shared" si="65"/>
        <v>32.359599999999993</v>
      </c>
    </row>
    <row r="468" spans="2:16" x14ac:dyDescent="0.25">
      <c r="B468" s="88" t="str">
        <f t="shared" si="62"/>
        <v>Sitio Santa Lúcia</v>
      </c>
      <c r="C468" s="106">
        <f t="shared" si="69"/>
        <v>2020</v>
      </c>
      <c r="D468" s="101">
        <v>44027</v>
      </c>
      <c r="E468" s="102">
        <v>0.25</v>
      </c>
      <c r="F468" s="102">
        <v>0.41666666666666702</v>
      </c>
      <c r="G468" s="102">
        <v>0.25</v>
      </c>
      <c r="H468" s="102">
        <v>0.33333333333333331</v>
      </c>
      <c r="I468" s="90">
        <f t="shared" si="66"/>
        <v>4.0000000000000089</v>
      </c>
      <c r="J468" s="90">
        <f t="shared" si="63"/>
        <v>1.9999999999999996</v>
      </c>
      <c r="K468" s="91">
        <f t="shared" si="70"/>
        <v>0.95833333333333348</v>
      </c>
      <c r="L468" s="91">
        <f t="shared" si="71"/>
        <v>3.9583333333333339</v>
      </c>
      <c r="M468" s="29">
        <f t="shared" si="67"/>
        <v>13</v>
      </c>
      <c r="N468" s="92">
        <f t="shared" si="64"/>
        <v>4.0000000000000089</v>
      </c>
      <c r="O468" s="104">
        <f t="shared" si="68"/>
        <v>1.016</v>
      </c>
      <c r="P468" s="105">
        <f t="shared" si="65"/>
        <v>36.982400000000077</v>
      </c>
    </row>
    <row r="469" spans="2:16" x14ac:dyDescent="0.25">
      <c r="B469" s="88" t="str">
        <f t="shared" si="62"/>
        <v>Sitio Santa Lúcia</v>
      </c>
      <c r="C469" s="106">
        <f t="shared" si="69"/>
        <v>2020</v>
      </c>
      <c r="D469" s="101">
        <v>44028</v>
      </c>
      <c r="E469" s="102">
        <v>0.29166666666666669</v>
      </c>
      <c r="F469" s="102">
        <v>0.36458333333333331</v>
      </c>
      <c r="G469" s="102">
        <v>0.33333333333333331</v>
      </c>
      <c r="H469" s="102">
        <v>0.41666666666666702</v>
      </c>
      <c r="I469" s="90">
        <f t="shared" si="66"/>
        <v>1.7499999999999991</v>
      </c>
      <c r="J469" s="90">
        <f t="shared" si="63"/>
        <v>2.0000000000000089</v>
      </c>
      <c r="K469" s="91">
        <f t="shared" si="70"/>
        <v>0.95833333333333348</v>
      </c>
      <c r="L469" s="91">
        <f t="shared" si="71"/>
        <v>3.9583333333333339</v>
      </c>
      <c r="M469" s="29">
        <f t="shared" si="67"/>
        <v>13</v>
      </c>
      <c r="N469" s="92">
        <f t="shared" si="64"/>
        <v>1.7499999999999991</v>
      </c>
      <c r="O469" s="104">
        <f t="shared" si="68"/>
        <v>1.016</v>
      </c>
      <c r="P469" s="105">
        <f t="shared" si="65"/>
        <v>16.179799999999993</v>
      </c>
    </row>
    <row r="470" spans="2:16" x14ac:dyDescent="0.25">
      <c r="B470" s="88" t="str">
        <f t="shared" si="62"/>
        <v>Sitio Santa Lúcia</v>
      </c>
      <c r="C470" s="106">
        <f t="shared" si="69"/>
        <v>2020</v>
      </c>
      <c r="D470" s="101">
        <v>44029</v>
      </c>
      <c r="E470" s="102">
        <v>0.25</v>
      </c>
      <c r="F470" s="102">
        <v>0.33333333333333331</v>
      </c>
      <c r="G470" s="102">
        <v>0.29166666666666669</v>
      </c>
      <c r="H470" s="102">
        <v>0.41666666666666702</v>
      </c>
      <c r="I470" s="90">
        <f t="shared" si="66"/>
        <v>1.9999999999999996</v>
      </c>
      <c r="J470" s="90">
        <f t="shared" si="63"/>
        <v>3.000000000000008</v>
      </c>
      <c r="K470" s="91">
        <f t="shared" si="70"/>
        <v>0.95833333333333348</v>
      </c>
      <c r="L470" s="91">
        <f t="shared" si="71"/>
        <v>3.9583333333333339</v>
      </c>
      <c r="M470" s="29">
        <f t="shared" si="67"/>
        <v>13</v>
      </c>
      <c r="N470" s="92">
        <f t="shared" si="64"/>
        <v>1.9999999999999996</v>
      </c>
      <c r="O470" s="104">
        <f t="shared" si="68"/>
        <v>1.016</v>
      </c>
      <c r="P470" s="105">
        <f t="shared" si="65"/>
        <v>18.491199999999996</v>
      </c>
    </row>
    <row r="471" spans="2:16" x14ac:dyDescent="0.25">
      <c r="B471" s="88" t="str">
        <f t="shared" si="62"/>
        <v>Sitio Santa Lúcia</v>
      </c>
      <c r="C471" s="106">
        <f t="shared" si="69"/>
        <v>2020</v>
      </c>
      <c r="D471" s="101">
        <v>44030</v>
      </c>
      <c r="E471" s="102">
        <v>0.33333333333333331</v>
      </c>
      <c r="F471" s="102">
        <v>0.41666666666666702</v>
      </c>
      <c r="G471" s="102">
        <v>0.41666666666666702</v>
      </c>
      <c r="H471" s="102">
        <v>0.5</v>
      </c>
      <c r="I471" s="90">
        <f t="shared" si="66"/>
        <v>2.0000000000000089</v>
      </c>
      <c r="J471" s="90">
        <f t="shared" si="63"/>
        <v>1.9999999999999916</v>
      </c>
      <c r="K471" s="91">
        <f t="shared" si="70"/>
        <v>0.95833333333333348</v>
      </c>
      <c r="L471" s="91">
        <f t="shared" si="71"/>
        <v>3.9583333333333339</v>
      </c>
      <c r="M471" s="29">
        <f t="shared" si="67"/>
        <v>13</v>
      </c>
      <c r="N471" s="92">
        <f t="shared" si="64"/>
        <v>2.0000000000000089</v>
      </c>
      <c r="O471" s="104">
        <f t="shared" si="68"/>
        <v>1.016</v>
      </c>
      <c r="P471" s="105">
        <f t="shared" si="65"/>
        <v>18.491200000000081</v>
      </c>
    </row>
    <row r="472" spans="2:16" x14ac:dyDescent="0.25">
      <c r="B472" s="88" t="str">
        <f t="shared" si="62"/>
        <v>Sitio Santa Lúcia</v>
      </c>
      <c r="C472" s="106">
        <f t="shared" si="69"/>
        <v>2020</v>
      </c>
      <c r="D472" s="101">
        <v>44031</v>
      </c>
      <c r="E472" s="102">
        <v>0</v>
      </c>
      <c r="F472" s="102">
        <v>0</v>
      </c>
      <c r="G472" s="102">
        <v>0</v>
      </c>
      <c r="H472" s="102">
        <v>0</v>
      </c>
      <c r="I472" s="90">
        <f t="shared" si="66"/>
        <v>0</v>
      </c>
      <c r="J472" s="90">
        <f t="shared" si="63"/>
        <v>0</v>
      </c>
      <c r="K472" s="91">
        <f t="shared" si="70"/>
        <v>0.95833333333333348</v>
      </c>
      <c r="L472" s="91">
        <f t="shared" si="71"/>
        <v>3.9583333333333339</v>
      </c>
      <c r="M472" s="29">
        <f t="shared" si="67"/>
        <v>13</v>
      </c>
      <c r="N472" s="92">
        <f t="shared" si="64"/>
        <v>0</v>
      </c>
      <c r="O472" s="104">
        <f t="shared" si="68"/>
        <v>1.016</v>
      </c>
      <c r="P472" s="105">
        <f t="shared" si="65"/>
        <v>0</v>
      </c>
    </row>
    <row r="473" spans="2:16" x14ac:dyDescent="0.25">
      <c r="B473" s="88" t="str">
        <f t="shared" si="62"/>
        <v>Sitio Santa Lúcia</v>
      </c>
      <c r="C473" s="106">
        <f t="shared" si="69"/>
        <v>2020</v>
      </c>
      <c r="D473" s="101">
        <v>44032</v>
      </c>
      <c r="E473" s="102">
        <v>0.33333333333333331</v>
      </c>
      <c r="F473" s="102">
        <v>0.41666666666666702</v>
      </c>
      <c r="G473" s="102">
        <v>0.29166666666666669</v>
      </c>
      <c r="H473" s="102">
        <v>0.41666666666666702</v>
      </c>
      <c r="I473" s="90">
        <f t="shared" si="66"/>
        <v>2.0000000000000089</v>
      </c>
      <c r="J473" s="90">
        <f t="shared" si="63"/>
        <v>3.000000000000008</v>
      </c>
      <c r="K473" s="91">
        <f t="shared" si="70"/>
        <v>0.95833333333333348</v>
      </c>
      <c r="L473" s="91">
        <f t="shared" si="71"/>
        <v>3.9583333333333339</v>
      </c>
      <c r="M473" s="29">
        <f t="shared" si="67"/>
        <v>13</v>
      </c>
      <c r="N473" s="92">
        <f t="shared" si="64"/>
        <v>2.0000000000000089</v>
      </c>
      <c r="O473" s="104">
        <f t="shared" si="68"/>
        <v>1.016</v>
      </c>
      <c r="P473" s="105">
        <f t="shared" si="65"/>
        <v>18.491200000000081</v>
      </c>
    </row>
    <row r="474" spans="2:16" x14ac:dyDescent="0.25">
      <c r="B474" s="88" t="str">
        <f t="shared" si="62"/>
        <v>Sitio Santa Lúcia</v>
      </c>
      <c r="C474" s="106">
        <f t="shared" si="69"/>
        <v>2020</v>
      </c>
      <c r="D474" s="101">
        <v>44033</v>
      </c>
      <c r="E474" s="102">
        <v>0.27083333333333331</v>
      </c>
      <c r="F474" s="102">
        <v>0.45833333333333331</v>
      </c>
      <c r="G474" s="102">
        <v>0.27083333333333331</v>
      </c>
      <c r="H474" s="102">
        <v>0.4375</v>
      </c>
      <c r="I474" s="90">
        <f t="shared" si="66"/>
        <v>4.5</v>
      </c>
      <c r="J474" s="90">
        <f t="shared" si="63"/>
        <v>4</v>
      </c>
      <c r="K474" s="91">
        <f t="shared" si="70"/>
        <v>0.95833333333333348</v>
      </c>
      <c r="L474" s="91">
        <f t="shared" si="71"/>
        <v>3.9583333333333339</v>
      </c>
      <c r="M474" s="29">
        <f t="shared" si="67"/>
        <v>13</v>
      </c>
      <c r="N474" s="92">
        <f t="shared" si="64"/>
        <v>4.5</v>
      </c>
      <c r="O474" s="104">
        <f t="shared" si="68"/>
        <v>1.016</v>
      </c>
      <c r="P474" s="105">
        <f t="shared" si="65"/>
        <v>41.605199999999996</v>
      </c>
    </row>
    <row r="475" spans="2:16" x14ac:dyDescent="0.25">
      <c r="B475" s="88" t="str">
        <f t="shared" si="62"/>
        <v>Sitio Santa Lúcia</v>
      </c>
      <c r="C475" s="106">
        <f t="shared" si="69"/>
        <v>2020</v>
      </c>
      <c r="D475" s="101">
        <v>44034</v>
      </c>
      <c r="E475" s="102">
        <v>0.3611111111111111</v>
      </c>
      <c r="F475" s="102">
        <v>0.40277777777777801</v>
      </c>
      <c r="G475" s="102">
        <v>0.29166666666666669</v>
      </c>
      <c r="H475" s="102">
        <v>0.36805555555555558</v>
      </c>
      <c r="I475" s="90">
        <f t="shared" si="66"/>
        <v>1.0000000000000058</v>
      </c>
      <c r="J475" s="90">
        <f t="shared" si="63"/>
        <v>1.8333333333333335</v>
      </c>
      <c r="K475" s="91">
        <f t="shared" si="70"/>
        <v>0.95833333333333348</v>
      </c>
      <c r="L475" s="91">
        <f t="shared" si="71"/>
        <v>3.9583333333333339</v>
      </c>
      <c r="M475" s="29">
        <f t="shared" si="67"/>
        <v>13</v>
      </c>
      <c r="N475" s="92">
        <f t="shared" si="64"/>
        <v>1.0000000000000058</v>
      </c>
      <c r="O475" s="104">
        <f t="shared" si="68"/>
        <v>1.016</v>
      </c>
      <c r="P475" s="105">
        <f t="shared" si="65"/>
        <v>9.2456000000000529</v>
      </c>
    </row>
    <row r="476" spans="2:16" x14ac:dyDescent="0.25">
      <c r="B476" s="88" t="str">
        <f t="shared" si="62"/>
        <v>Sitio Santa Lúcia</v>
      </c>
      <c r="C476" s="106">
        <f t="shared" si="69"/>
        <v>2020</v>
      </c>
      <c r="D476" s="101">
        <v>44035</v>
      </c>
      <c r="E476" s="102">
        <v>0.375</v>
      </c>
      <c r="F476" s="102">
        <v>0.45833333333333331</v>
      </c>
      <c r="G476" s="102">
        <v>0.41666666666666702</v>
      </c>
      <c r="H476" s="102">
        <v>0.5</v>
      </c>
      <c r="I476" s="90">
        <f t="shared" si="66"/>
        <v>1.9999999999999996</v>
      </c>
      <c r="J476" s="90">
        <f t="shared" si="63"/>
        <v>1.9999999999999916</v>
      </c>
      <c r="K476" s="91">
        <f t="shared" si="70"/>
        <v>0.95833333333333348</v>
      </c>
      <c r="L476" s="91">
        <f t="shared" si="71"/>
        <v>3.9583333333333339</v>
      </c>
      <c r="M476" s="29">
        <f t="shared" si="67"/>
        <v>13</v>
      </c>
      <c r="N476" s="92">
        <f t="shared" si="64"/>
        <v>1.9999999999999996</v>
      </c>
      <c r="O476" s="104">
        <f t="shared" si="68"/>
        <v>1.016</v>
      </c>
      <c r="P476" s="105">
        <f t="shared" si="65"/>
        <v>18.491199999999996</v>
      </c>
    </row>
    <row r="477" spans="2:16" x14ac:dyDescent="0.25">
      <c r="B477" s="88" t="str">
        <f t="shared" si="62"/>
        <v>Sitio Santa Lúcia</v>
      </c>
      <c r="C477" s="106">
        <f t="shared" si="69"/>
        <v>2020</v>
      </c>
      <c r="D477" s="101">
        <v>44036</v>
      </c>
      <c r="E477" s="102">
        <v>0.41666666666666669</v>
      </c>
      <c r="F477" s="102">
        <v>0.5</v>
      </c>
      <c r="G477" s="102">
        <v>0.25</v>
      </c>
      <c r="H477" s="102">
        <v>0.41666666666666669</v>
      </c>
      <c r="I477" s="90">
        <f t="shared" si="66"/>
        <v>1.9999999999999996</v>
      </c>
      <c r="J477" s="90">
        <f t="shared" si="63"/>
        <v>4</v>
      </c>
      <c r="K477" s="91">
        <f t="shared" si="70"/>
        <v>0.95833333333333348</v>
      </c>
      <c r="L477" s="91">
        <f t="shared" si="71"/>
        <v>3.9583333333333339</v>
      </c>
      <c r="M477" s="29">
        <f t="shared" si="67"/>
        <v>13</v>
      </c>
      <c r="N477" s="92">
        <f t="shared" si="64"/>
        <v>1.9999999999999996</v>
      </c>
      <c r="O477" s="104">
        <f t="shared" si="68"/>
        <v>1.016</v>
      </c>
      <c r="P477" s="105">
        <f t="shared" si="65"/>
        <v>18.491199999999996</v>
      </c>
    </row>
    <row r="478" spans="2:16" x14ac:dyDescent="0.25">
      <c r="B478" s="88" t="str">
        <f t="shared" si="62"/>
        <v>Sitio Santa Lúcia</v>
      </c>
      <c r="C478" s="106">
        <f t="shared" si="69"/>
        <v>2020</v>
      </c>
      <c r="D478" s="101">
        <v>44037</v>
      </c>
      <c r="E478" s="102">
        <v>0.375</v>
      </c>
      <c r="F478" s="102">
        <v>0.41666666666666669</v>
      </c>
      <c r="G478" s="102">
        <v>0.29166666666666669</v>
      </c>
      <c r="H478" s="102">
        <v>0.4375</v>
      </c>
      <c r="I478" s="90">
        <f t="shared" si="66"/>
        <v>1.0000000000000004</v>
      </c>
      <c r="J478" s="90">
        <f t="shared" si="63"/>
        <v>3.4999999999999996</v>
      </c>
      <c r="K478" s="91">
        <f t="shared" si="70"/>
        <v>0.95833333333333348</v>
      </c>
      <c r="L478" s="91">
        <f t="shared" si="71"/>
        <v>3.9583333333333339</v>
      </c>
      <c r="M478" s="29">
        <f t="shared" si="67"/>
        <v>13</v>
      </c>
      <c r="N478" s="92">
        <f t="shared" si="64"/>
        <v>1.0000000000000004</v>
      </c>
      <c r="O478" s="104">
        <f t="shared" si="68"/>
        <v>1.016</v>
      </c>
      <c r="P478" s="105">
        <f t="shared" si="65"/>
        <v>9.2456000000000031</v>
      </c>
    </row>
    <row r="479" spans="2:16" x14ac:dyDescent="0.25">
      <c r="B479" s="88" t="str">
        <f t="shared" si="62"/>
        <v>Sitio Santa Lúcia</v>
      </c>
      <c r="C479" s="106">
        <f t="shared" si="69"/>
        <v>2020</v>
      </c>
      <c r="D479" s="101">
        <v>44038</v>
      </c>
      <c r="E479" s="102">
        <v>0.25</v>
      </c>
      <c r="F479" s="102">
        <v>0.39583333333333331</v>
      </c>
      <c r="G479" s="102">
        <v>0.25</v>
      </c>
      <c r="H479" s="102">
        <v>0.45833333333333331</v>
      </c>
      <c r="I479" s="90">
        <f t="shared" si="66"/>
        <v>3.4999999999999996</v>
      </c>
      <c r="J479" s="90">
        <f t="shared" si="63"/>
        <v>5</v>
      </c>
      <c r="K479" s="91">
        <f t="shared" si="70"/>
        <v>0.95833333333333348</v>
      </c>
      <c r="L479" s="91">
        <f t="shared" si="71"/>
        <v>3.9583333333333339</v>
      </c>
      <c r="M479" s="29">
        <f t="shared" si="67"/>
        <v>13</v>
      </c>
      <c r="N479" s="92">
        <f t="shared" si="64"/>
        <v>3.4999999999999996</v>
      </c>
      <c r="O479" s="104">
        <f t="shared" si="68"/>
        <v>1.016</v>
      </c>
      <c r="P479" s="105">
        <f t="shared" si="65"/>
        <v>32.359599999999993</v>
      </c>
    </row>
    <row r="480" spans="2:16" x14ac:dyDescent="0.25">
      <c r="B480" s="88" t="str">
        <f t="shared" ref="B480:B543" si="72">$B$17</f>
        <v>Sitio Santa Lúcia</v>
      </c>
      <c r="C480" s="106">
        <f t="shared" si="69"/>
        <v>2020</v>
      </c>
      <c r="D480" s="101">
        <v>44039</v>
      </c>
      <c r="E480" s="102">
        <v>0.29166666666666669</v>
      </c>
      <c r="F480" s="102">
        <v>0.375</v>
      </c>
      <c r="G480" s="102">
        <v>0.35416666666666669</v>
      </c>
      <c r="H480" s="102">
        <v>0.44444444444444442</v>
      </c>
      <c r="I480" s="90">
        <f t="shared" si="66"/>
        <v>1.9999999999999996</v>
      </c>
      <c r="J480" s="90">
        <f t="shared" si="63"/>
        <v>2.1666666666666656</v>
      </c>
      <c r="K480" s="91">
        <f t="shared" si="70"/>
        <v>0.95833333333333348</v>
      </c>
      <c r="L480" s="91">
        <f t="shared" si="71"/>
        <v>3.9583333333333339</v>
      </c>
      <c r="M480" s="29">
        <f t="shared" si="67"/>
        <v>13</v>
      </c>
      <c r="N480" s="92">
        <f t="shared" si="64"/>
        <v>1.9999999999999996</v>
      </c>
      <c r="O480" s="104">
        <f t="shared" si="68"/>
        <v>1.016</v>
      </c>
      <c r="P480" s="105">
        <f t="shared" si="65"/>
        <v>18.491199999999996</v>
      </c>
    </row>
    <row r="481" spans="2:16" x14ac:dyDescent="0.25">
      <c r="B481" s="88" t="str">
        <f t="shared" si="72"/>
        <v>Sitio Santa Lúcia</v>
      </c>
      <c r="C481" s="106">
        <f t="shared" si="69"/>
        <v>2020</v>
      </c>
      <c r="D481" s="101">
        <v>44040</v>
      </c>
      <c r="E481" s="102">
        <v>0.33333333333333331</v>
      </c>
      <c r="F481" s="102">
        <v>0.39583333333333331</v>
      </c>
      <c r="G481" s="102">
        <v>0.35416666666666669</v>
      </c>
      <c r="H481" s="102">
        <v>0.40277777777777773</v>
      </c>
      <c r="I481" s="90">
        <f t="shared" si="66"/>
        <v>1.5</v>
      </c>
      <c r="J481" s="90">
        <f t="shared" si="63"/>
        <v>1.1666666666666652</v>
      </c>
      <c r="K481" s="91">
        <f t="shared" si="70"/>
        <v>0.95833333333333348</v>
      </c>
      <c r="L481" s="91">
        <f t="shared" si="71"/>
        <v>3.9583333333333339</v>
      </c>
      <c r="M481" s="29">
        <f t="shared" si="67"/>
        <v>13</v>
      </c>
      <c r="N481" s="92">
        <f t="shared" si="64"/>
        <v>1.5</v>
      </c>
      <c r="O481" s="104">
        <f t="shared" si="68"/>
        <v>1.016</v>
      </c>
      <c r="P481" s="105">
        <f t="shared" si="65"/>
        <v>13.868399999999999</v>
      </c>
    </row>
    <row r="482" spans="2:16" x14ac:dyDescent="0.25">
      <c r="B482" s="88" t="str">
        <f t="shared" si="72"/>
        <v>Sitio Santa Lúcia</v>
      </c>
      <c r="C482" s="106">
        <f t="shared" si="69"/>
        <v>2020</v>
      </c>
      <c r="D482" s="101">
        <v>44041</v>
      </c>
      <c r="E482" s="102">
        <v>0.25</v>
      </c>
      <c r="F482" s="102">
        <v>0.375</v>
      </c>
      <c r="G482" s="102">
        <v>0.375</v>
      </c>
      <c r="H482" s="102">
        <v>0.45833333333333331</v>
      </c>
      <c r="I482" s="90">
        <f t="shared" si="66"/>
        <v>3</v>
      </c>
      <c r="J482" s="90">
        <f t="shared" si="63"/>
        <v>1.9999999999999996</v>
      </c>
      <c r="K482" s="91">
        <f t="shared" si="70"/>
        <v>0.95833333333333348</v>
      </c>
      <c r="L482" s="91">
        <f t="shared" si="71"/>
        <v>3.9583333333333339</v>
      </c>
      <c r="M482" s="29">
        <f t="shared" si="67"/>
        <v>13</v>
      </c>
      <c r="N482" s="92">
        <f t="shared" si="64"/>
        <v>3</v>
      </c>
      <c r="O482" s="104">
        <f t="shared" si="68"/>
        <v>1.016</v>
      </c>
      <c r="P482" s="105">
        <f t="shared" si="65"/>
        <v>27.736799999999999</v>
      </c>
    </row>
    <row r="483" spans="2:16" x14ac:dyDescent="0.25">
      <c r="B483" s="88" t="str">
        <f t="shared" si="72"/>
        <v>Sitio Santa Lúcia</v>
      </c>
      <c r="C483" s="106">
        <f t="shared" si="69"/>
        <v>2020</v>
      </c>
      <c r="D483" s="101">
        <v>44042</v>
      </c>
      <c r="E483" s="102">
        <v>0.25</v>
      </c>
      <c r="F483" s="102">
        <v>0.39583333333333331</v>
      </c>
      <c r="G483" s="102">
        <v>0.27083333333333331</v>
      </c>
      <c r="H483" s="102">
        <v>0.41666666666666669</v>
      </c>
      <c r="I483" s="90">
        <f t="shared" si="66"/>
        <v>3.4999999999999996</v>
      </c>
      <c r="J483" s="90">
        <f t="shared" si="63"/>
        <v>3.5000000000000009</v>
      </c>
      <c r="K483" s="91">
        <f t="shared" si="70"/>
        <v>0.95833333333333348</v>
      </c>
      <c r="L483" s="91">
        <f t="shared" si="71"/>
        <v>3.9583333333333339</v>
      </c>
      <c r="M483" s="29">
        <f t="shared" si="67"/>
        <v>13</v>
      </c>
      <c r="N483" s="92">
        <f t="shared" si="64"/>
        <v>3.4999999999999996</v>
      </c>
      <c r="O483" s="104">
        <f t="shared" si="68"/>
        <v>1.016</v>
      </c>
      <c r="P483" s="105">
        <f t="shared" si="65"/>
        <v>32.359599999999993</v>
      </c>
    </row>
    <row r="484" spans="2:16" x14ac:dyDescent="0.25">
      <c r="B484" s="88" t="str">
        <f t="shared" si="72"/>
        <v>Sitio Santa Lúcia</v>
      </c>
      <c r="C484" s="106">
        <f t="shared" si="69"/>
        <v>2020</v>
      </c>
      <c r="D484" s="101">
        <v>44043</v>
      </c>
      <c r="E484" s="102">
        <v>0.29166666666666669</v>
      </c>
      <c r="F484" s="102">
        <v>0.3611111111111111</v>
      </c>
      <c r="G484" s="102">
        <v>0.29166666666666669</v>
      </c>
      <c r="H484" s="102">
        <v>0.375</v>
      </c>
      <c r="I484" s="90">
        <f t="shared" si="66"/>
        <v>1.6666666666666661</v>
      </c>
      <c r="J484" s="90">
        <f t="shared" si="63"/>
        <v>1.9999999999999996</v>
      </c>
      <c r="K484" s="91">
        <f t="shared" si="70"/>
        <v>0.95833333333333348</v>
      </c>
      <c r="L484" s="91">
        <f t="shared" si="71"/>
        <v>3.9583333333333339</v>
      </c>
      <c r="M484" s="29">
        <f t="shared" si="67"/>
        <v>13</v>
      </c>
      <c r="N484" s="92">
        <f t="shared" si="64"/>
        <v>1.6666666666666661</v>
      </c>
      <c r="O484" s="104">
        <f t="shared" si="68"/>
        <v>1.016</v>
      </c>
      <c r="P484" s="105">
        <f t="shared" si="65"/>
        <v>15.409333333333326</v>
      </c>
    </row>
    <row r="485" spans="2:16" x14ac:dyDescent="0.25">
      <c r="B485" s="88" t="str">
        <f t="shared" si="72"/>
        <v>Sitio Santa Lúcia</v>
      </c>
      <c r="C485" s="106">
        <f t="shared" si="69"/>
        <v>2020</v>
      </c>
      <c r="D485" s="101">
        <v>44044</v>
      </c>
      <c r="E485" s="102">
        <v>0.33333333333333331</v>
      </c>
      <c r="F485" s="102">
        <v>0.41666666666666669</v>
      </c>
      <c r="G485" s="102">
        <v>0.25</v>
      </c>
      <c r="H485" s="102">
        <v>0.39583333333333331</v>
      </c>
      <c r="I485" s="90">
        <f t="shared" si="66"/>
        <v>2.0000000000000009</v>
      </c>
      <c r="J485" s="90">
        <f t="shared" si="63"/>
        <v>3.4999999999999996</v>
      </c>
      <c r="K485" s="91">
        <f t="shared" si="70"/>
        <v>0.95833333333333348</v>
      </c>
      <c r="L485" s="91">
        <f t="shared" si="71"/>
        <v>3.9583333333333339</v>
      </c>
      <c r="M485" s="29">
        <f t="shared" si="67"/>
        <v>13</v>
      </c>
      <c r="N485" s="92">
        <f t="shared" si="64"/>
        <v>2.0000000000000009</v>
      </c>
      <c r="O485" s="104">
        <f t="shared" si="68"/>
        <v>1.016</v>
      </c>
      <c r="P485" s="105">
        <f t="shared" si="65"/>
        <v>18.491200000000006</v>
      </c>
    </row>
    <row r="486" spans="2:16" x14ac:dyDescent="0.25">
      <c r="B486" s="88" t="str">
        <f t="shared" si="72"/>
        <v>Sitio Santa Lúcia</v>
      </c>
      <c r="C486" s="106">
        <f t="shared" si="69"/>
        <v>2020</v>
      </c>
      <c r="D486" s="101">
        <v>44045</v>
      </c>
      <c r="E486" s="102">
        <v>0.25</v>
      </c>
      <c r="F486" s="102">
        <v>0.4375</v>
      </c>
      <c r="G486" s="102">
        <v>0.33333333333333331</v>
      </c>
      <c r="H486" s="102">
        <v>0.41666666666666669</v>
      </c>
      <c r="I486" s="90">
        <f t="shared" si="66"/>
        <v>4.5</v>
      </c>
      <c r="J486" s="90">
        <f t="shared" si="63"/>
        <v>2.0000000000000009</v>
      </c>
      <c r="K486" s="91">
        <f t="shared" si="70"/>
        <v>0.95833333333333348</v>
      </c>
      <c r="L486" s="91">
        <f t="shared" si="71"/>
        <v>3.9583333333333339</v>
      </c>
      <c r="M486" s="29">
        <f t="shared" si="67"/>
        <v>13</v>
      </c>
      <c r="N486" s="92">
        <f t="shared" si="64"/>
        <v>4.5</v>
      </c>
      <c r="O486" s="104">
        <f t="shared" si="68"/>
        <v>1.016</v>
      </c>
      <c r="P486" s="105">
        <f t="shared" si="65"/>
        <v>41.605199999999996</v>
      </c>
    </row>
    <row r="487" spans="2:16" x14ac:dyDescent="0.25">
      <c r="B487" s="88" t="str">
        <f t="shared" si="72"/>
        <v>Sitio Santa Lúcia</v>
      </c>
      <c r="C487" s="106">
        <f t="shared" si="69"/>
        <v>2020</v>
      </c>
      <c r="D487" s="101">
        <v>44046</v>
      </c>
      <c r="E487" s="102">
        <v>0.33333333333333331</v>
      </c>
      <c r="F487" s="102">
        <v>0.41666666666666669</v>
      </c>
      <c r="G487" s="102">
        <v>0.25</v>
      </c>
      <c r="H487" s="102">
        <v>0.45833333333333331</v>
      </c>
      <c r="I487" s="90">
        <f t="shared" si="66"/>
        <v>2.0000000000000009</v>
      </c>
      <c r="J487" s="90">
        <f t="shared" si="63"/>
        <v>5</v>
      </c>
      <c r="K487" s="91">
        <f t="shared" si="70"/>
        <v>0.95833333333333348</v>
      </c>
      <c r="L487" s="91">
        <f t="shared" si="71"/>
        <v>3.9583333333333339</v>
      </c>
      <c r="M487" s="29">
        <f t="shared" si="67"/>
        <v>13</v>
      </c>
      <c r="N487" s="92">
        <f t="shared" si="64"/>
        <v>2.0000000000000009</v>
      </c>
      <c r="O487" s="104">
        <f t="shared" si="68"/>
        <v>1.016</v>
      </c>
      <c r="P487" s="105">
        <f t="shared" si="65"/>
        <v>18.491200000000006</v>
      </c>
    </row>
    <row r="488" spans="2:16" x14ac:dyDescent="0.25">
      <c r="B488" s="88" t="str">
        <f t="shared" si="72"/>
        <v>Sitio Santa Lúcia</v>
      </c>
      <c r="C488" s="106">
        <f t="shared" si="69"/>
        <v>2020</v>
      </c>
      <c r="D488" s="101">
        <v>44047</v>
      </c>
      <c r="E488" s="102">
        <v>0.375</v>
      </c>
      <c r="F488" s="102">
        <v>0.45833333333333331</v>
      </c>
      <c r="G488" s="102">
        <v>0.375</v>
      </c>
      <c r="H488" s="102">
        <v>0.47916666666666669</v>
      </c>
      <c r="I488" s="90">
        <f t="shared" si="66"/>
        <v>1.9999999999999996</v>
      </c>
      <c r="J488" s="90">
        <f t="shared" si="63"/>
        <v>2.5000000000000004</v>
      </c>
      <c r="K488" s="91">
        <f t="shared" si="70"/>
        <v>0.95833333333333348</v>
      </c>
      <c r="L488" s="91">
        <f t="shared" si="71"/>
        <v>3.9583333333333339</v>
      </c>
      <c r="M488" s="29">
        <f t="shared" si="67"/>
        <v>13</v>
      </c>
      <c r="N488" s="92">
        <f t="shared" si="64"/>
        <v>1.9999999999999996</v>
      </c>
      <c r="O488" s="104">
        <f t="shared" si="68"/>
        <v>1.016</v>
      </c>
      <c r="P488" s="105">
        <f t="shared" si="65"/>
        <v>18.491199999999996</v>
      </c>
    </row>
    <row r="489" spans="2:16" x14ac:dyDescent="0.25">
      <c r="B489" s="88" t="str">
        <f t="shared" si="72"/>
        <v>Sitio Santa Lúcia</v>
      </c>
      <c r="C489" s="106">
        <f t="shared" si="69"/>
        <v>2020</v>
      </c>
      <c r="D489" s="101">
        <v>44048</v>
      </c>
      <c r="E489" s="102">
        <v>0.25</v>
      </c>
      <c r="F489" s="102">
        <v>0.4375</v>
      </c>
      <c r="G489" s="102">
        <v>0.375</v>
      </c>
      <c r="H489" s="102">
        <v>0.47916666666666669</v>
      </c>
      <c r="I489" s="90">
        <f t="shared" si="66"/>
        <v>4.5</v>
      </c>
      <c r="J489" s="90">
        <f t="shared" si="63"/>
        <v>2.5000000000000004</v>
      </c>
      <c r="K489" s="91">
        <f t="shared" si="70"/>
        <v>0.95833333333333348</v>
      </c>
      <c r="L489" s="91">
        <f t="shared" si="71"/>
        <v>3.9583333333333339</v>
      </c>
      <c r="M489" s="29">
        <f t="shared" si="67"/>
        <v>13</v>
      </c>
      <c r="N489" s="92">
        <f t="shared" si="64"/>
        <v>4.5</v>
      </c>
      <c r="O489" s="104">
        <f t="shared" si="68"/>
        <v>1.016</v>
      </c>
      <c r="P489" s="105">
        <f t="shared" si="65"/>
        <v>41.605199999999996</v>
      </c>
    </row>
    <row r="490" spans="2:16" x14ac:dyDescent="0.25">
      <c r="B490" s="88" t="str">
        <f t="shared" si="72"/>
        <v>Sitio Santa Lúcia</v>
      </c>
      <c r="C490" s="106">
        <f t="shared" si="69"/>
        <v>2020</v>
      </c>
      <c r="D490" s="101">
        <v>44049</v>
      </c>
      <c r="E490" s="102">
        <v>0</v>
      </c>
      <c r="F490" s="102">
        <v>0</v>
      </c>
      <c r="G490" s="102">
        <v>0</v>
      </c>
      <c r="H490" s="102">
        <v>0</v>
      </c>
      <c r="I490" s="90">
        <f t="shared" si="66"/>
        <v>0</v>
      </c>
      <c r="J490" s="90">
        <f t="shared" si="63"/>
        <v>0</v>
      </c>
      <c r="K490" s="91">
        <f t="shared" si="70"/>
        <v>0.95833333333333348</v>
      </c>
      <c r="L490" s="91">
        <f t="shared" si="71"/>
        <v>3.9583333333333339</v>
      </c>
      <c r="M490" s="29">
        <f t="shared" si="67"/>
        <v>13</v>
      </c>
      <c r="N490" s="92">
        <f t="shared" si="64"/>
        <v>0</v>
      </c>
      <c r="O490" s="104">
        <f t="shared" si="68"/>
        <v>1.016</v>
      </c>
      <c r="P490" s="105">
        <f t="shared" si="65"/>
        <v>0</v>
      </c>
    </row>
    <row r="491" spans="2:16" x14ac:dyDescent="0.25">
      <c r="B491" s="88" t="str">
        <f t="shared" si="72"/>
        <v>Sitio Santa Lúcia</v>
      </c>
      <c r="C491" s="106">
        <f t="shared" si="69"/>
        <v>2020</v>
      </c>
      <c r="D491" s="101">
        <v>44050</v>
      </c>
      <c r="E491" s="102">
        <v>0</v>
      </c>
      <c r="F491" s="102">
        <v>0</v>
      </c>
      <c r="G491" s="102">
        <v>0</v>
      </c>
      <c r="H491" s="102">
        <v>0</v>
      </c>
      <c r="I491" s="90">
        <f t="shared" si="66"/>
        <v>0</v>
      </c>
      <c r="J491" s="90">
        <f t="shared" si="63"/>
        <v>0</v>
      </c>
      <c r="K491" s="91">
        <f t="shared" si="70"/>
        <v>0.95833333333333348</v>
      </c>
      <c r="L491" s="91">
        <f t="shared" si="71"/>
        <v>3.9583333333333339</v>
      </c>
      <c r="M491" s="29">
        <f t="shared" si="67"/>
        <v>13</v>
      </c>
      <c r="N491" s="92">
        <f t="shared" si="64"/>
        <v>0</v>
      </c>
      <c r="O491" s="104">
        <f t="shared" si="68"/>
        <v>1.016</v>
      </c>
      <c r="P491" s="105">
        <f t="shared" si="65"/>
        <v>0</v>
      </c>
    </row>
    <row r="492" spans="2:16" x14ac:dyDescent="0.25">
      <c r="B492" s="88" t="str">
        <f t="shared" si="72"/>
        <v>Sitio Santa Lúcia</v>
      </c>
      <c r="C492" s="106">
        <f t="shared" si="69"/>
        <v>2020</v>
      </c>
      <c r="D492" s="101">
        <v>44051</v>
      </c>
      <c r="E492" s="102">
        <v>0</v>
      </c>
      <c r="F492" s="102">
        <v>0</v>
      </c>
      <c r="G492" s="102">
        <v>0</v>
      </c>
      <c r="H492" s="102">
        <v>0</v>
      </c>
      <c r="I492" s="90">
        <f t="shared" si="66"/>
        <v>0</v>
      </c>
      <c r="J492" s="90">
        <f t="shared" si="63"/>
        <v>0</v>
      </c>
      <c r="K492" s="91">
        <f t="shared" si="70"/>
        <v>0.95833333333333348</v>
      </c>
      <c r="L492" s="91">
        <f t="shared" si="71"/>
        <v>3.9583333333333339</v>
      </c>
      <c r="M492" s="29">
        <f t="shared" si="67"/>
        <v>13</v>
      </c>
      <c r="N492" s="92">
        <f t="shared" si="64"/>
        <v>0</v>
      </c>
      <c r="O492" s="104">
        <f t="shared" si="68"/>
        <v>1.016</v>
      </c>
      <c r="P492" s="105">
        <f t="shared" si="65"/>
        <v>0</v>
      </c>
    </row>
    <row r="493" spans="2:16" x14ac:dyDescent="0.25">
      <c r="B493" s="88" t="str">
        <f t="shared" si="72"/>
        <v>Sitio Santa Lúcia</v>
      </c>
      <c r="C493" s="106">
        <f t="shared" si="69"/>
        <v>2020</v>
      </c>
      <c r="D493" s="101">
        <v>44052</v>
      </c>
      <c r="E493" s="102">
        <v>0</v>
      </c>
      <c r="F493" s="102">
        <v>0</v>
      </c>
      <c r="G493" s="102">
        <v>0</v>
      </c>
      <c r="H493" s="102">
        <v>0</v>
      </c>
      <c r="I493" s="90">
        <f t="shared" si="66"/>
        <v>0</v>
      </c>
      <c r="J493" s="90">
        <f t="shared" si="63"/>
        <v>0</v>
      </c>
      <c r="K493" s="91">
        <f t="shared" si="70"/>
        <v>0.95833333333333348</v>
      </c>
      <c r="L493" s="91">
        <f t="shared" si="71"/>
        <v>3.9583333333333339</v>
      </c>
      <c r="M493" s="29">
        <f t="shared" si="67"/>
        <v>13</v>
      </c>
      <c r="N493" s="92">
        <f t="shared" si="64"/>
        <v>0</v>
      </c>
      <c r="O493" s="104">
        <f t="shared" si="68"/>
        <v>1.016</v>
      </c>
      <c r="P493" s="105">
        <f t="shared" si="65"/>
        <v>0</v>
      </c>
    </row>
    <row r="494" spans="2:16" x14ac:dyDescent="0.25">
      <c r="B494" s="88" t="str">
        <f t="shared" si="72"/>
        <v>Sitio Santa Lúcia</v>
      </c>
      <c r="C494" s="106">
        <f t="shared" si="69"/>
        <v>2020</v>
      </c>
      <c r="D494" s="101">
        <v>44053</v>
      </c>
      <c r="E494" s="102">
        <v>0</v>
      </c>
      <c r="F494" s="102">
        <v>0</v>
      </c>
      <c r="G494" s="102">
        <v>0</v>
      </c>
      <c r="H494" s="102">
        <v>0</v>
      </c>
      <c r="I494" s="90">
        <f t="shared" si="66"/>
        <v>0</v>
      </c>
      <c r="J494" s="90">
        <f t="shared" si="63"/>
        <v>0</v>
      </c>
      <c r="K494" s="91">
        <f t="shared" si="70"/>
        <v>0.95833333333333348</v>
      </c>
      <c r="L494" s="91">
        <f t="shared" si="71"/>
        <v>3.9583333333333339</v>
      </c>
      <c r="M494" s="29">
        <f t="shared" si="67"/>
        <v>13</v>
      </c>
      <c r="N494" s="92">
        <f t="shared" si="64"/>
        <v>0</v>
      </c>
      <c r="O494" s="104">
        <f t="shared" si="68"/>
        <v>1.016</v>
      </c>
      <c r="P494" s="105">
        <f t="shared" si="65"/>
        <v>0</v>
      </c>
    </row>
    <row r="495" spans="2:16" x14ac:dyDescent="0.25">
      <c r="B495" s="88" t="str">
        <f t="shared" si="72"/>
        <v>Sitio Santa Lúcia</v>
      </c>
      <c r="C495" s="106">
        <f t="shared" si="69"/>
        <v>2020</v>
      </c>
      <c r="D495" s="101">
        <v>44054</v>
      </c>
      <c r="E495" s="102">
        <v>0</v>
      </c>
      <c r="F495" s="102">
        <v>0</v>
      </c>
      <c r="G495" s="102">
        <v>0</v>
      </c>
      <c r="H495" s="102">
        <v>0</v>
      </c>
      <c r="I495" s="90">
        <f t="shared" si="66"/>
        <v>0</v>
      </c>
      <c r="J495" s="90">
        <f t="shared" si="63"/>
        <v>0</v>
      </c>
      <c r="K495" s="91">
        <f t="shared" si="70"/>
        <v>0.95833333333333348</v>
      </c>
      <c r="L495" s="91">
        <f t="shared" si="71"/>
        <v>3.9583333333333339</v>
      </c>
      <c r="M495" s="29">
        <f t="shared" si="67"/>
        <v>13</v>
      </c>
      <c r="N495" s="92">
        <f t="shared" si="64"/>
        <v>0</v>
      </c>
      <c r="O495" s="104">
        <f t="shared" si="68"/>
        <v>1.016</v>
      </c>
      <c r="P495" s="105">
        <f t="shared" si="65"/>
        <v>0</v>
      </c>
    </row>
    <row r="496" spans="2:16" x14ac:dyDescent="0.25">
      <c r="B496" s="88" t="str">
        <f t="shared" si="72"/>
        <v>Sitio Santa Lúcia</v>
      </c>
      <c r="C496" s="106">
        <f t="shared" si="69"/>
        <v>2020</v>
      </c>
      <c r="D496" s="101">
        <v>44055</v>
      </c>
      <c r="E496" s="102">
        <v>0</v>
      </c>
      <c r="F496" s="102">
        <v>0</v>
      </c>
      <c r="G496" s="102">
        <v>0</v>
      </c>
      <c r="H496" s="102">
        <v>0</v>
      </c>
      <c r="I496" s="90">
        <f t="shared" si="66"/>
        <v>0</v>
      </c>
      <c r="J496" s="90">
        <f t="shared" si="63"/>
        <v>0</v>
      </c>
      <c r="K496" s="91">
        <f t="shared" si="70"/>
        <v>0.95833333333333348</v>
      </c>
      <c r="L496" s="91">
        <f t="shared" si="71"/>
        <v>3.9583333333333339</v>
      </c>
      <c r="M496" s="29">
        <f t="shared" si="67"/>
        <v>13</v>
      </c>
      <c r="N496" s="92">
        <f t="shared" si="64"/>
        <v>0</v>
      </c>
      <c r="O496" s="104">
        <f t="shared" si="68"/>
        <v>1.016</v>
      </c>
      <c r="P496" s="105">
        <f t="shared" si="65"/>
        <v>0</v>
      </c>
    </row>
    <row r="497" spans="2:16" x14ac:dyDescent="0.25">
      <c r="B497" s="88" t="str">
        <f t="shared" si="72"/>
        <v>Sitio Santa Lúcia</v>
      </c>
      <c r="C497" s="106">
        <f t="shared" si="69"/>
        <v>2020</v>
      </c>
      <c r="D497" s="101">
        <v>44056</v>
      </c>
      <c r="E497" s="102">
        <v>0</v>
      </c>
      <c r="F497" s="102">
        <v>0</v>
      </c>
      <c r="G497" s="102">
        <v>0</v>
      </c>
      <c r="H497" s="102">
        <v>0</v>
      </c>
      <c r="I497" s="90">
        <f t="shared" si="66"/>
        <v>0</v>
      </c>
      <c r="J497" s="90">
        <f t="shared" ref="J497:J561" si="73">((H497-G497)-INT($D$20))*24</f>
        <v>0</v>
      </c>
      <c r="K497" s="91">
        <f t="shared" si="70"/>
        <v>0.95833333333333348</v>
      </c>
      <c r="L497" s="91">
        <f t="shared" si="71"/>
        <v>3.9583333333333339</v>
      </c>
      <c r="M497" s="29">
        <f t="shared" si="67"/>
        <v>13</v>
      </c>
      <c r="N497" s="92">
        <f t="shared" ref="N497:N510" si="74">I497</f>
        <v>0</v>
      </c>
      <c r="O497" s="104">
        <f t="shared" si="68"/>
        <v>1.016</v>
      </c>
      <c r="P497" s="105">
        <f t="shared" ref="P497:P510" si="75">M497*N497*O497*0.7</f>
        <v>0</v>
      </c>
    </row>
    <row r="498" spans="2:16" x14ac:dyDescent="0.25">
      <c r="B498" s="88" t="str">
        <f t="shared" si="72"/>
        <v>Sitio Santa Lúcia</v>
      </c>
      <c r="C498" s="106">
        <f t="shared" si="69"/>
        <v>2020</v>
      </c>
      <c r="D498" s="101">
        <v>44057</v>
      </c>
      <c r="E498" s="102">
        <v>0</v>
      </c>
      <c r="F498" s="102">
        <v>0</v>
      </c>
      <c r="G498" s="102">
        <v>0</v>
      </c>
      <c r="H498" s="102">
        <v>0</v>
      </c>
      <c r="I498" s="90">
        <f t="shared" ref="I498:I562" si="76">((F498-E498)-INT($D$20))*24</f>
        <v>0</v>
      </c>
      <c r="J498" s="90">
        <f t="shared" si="73"/>
        <v>0</v>
      </c>
      <c r="K498" s="91">
        <f t="shared" si="70"/>
        <v>0.95833333333333348</v>
      </c>
      <c r="L498" s="91">
        <f t="shared" si="71"/>
        <v>3.9583333333333339</v>
      </c>
      <c r="M498" s="29">
        <f t="shared" ref="M498:M510" si="77">VLOOKUP(B498,$I$5:$J$17,2,FALSE)</f>
        <v>13</v>
      </c>
      <c r="N498" s="92">
        <f t="shared" si="74"/>
        <v>0</v>
      </c>
      <c r="O498" s="104">
        <f t="shared" si="68"/>
        <v>1.016</v>
      </c>
      <c r="P498" s="105">
        <f t="shared" si="75"/>
        <v>0</v>
      </c>
    </row>
    <row r="499" spans="2:16" x14ac:dyDescent="0.25">
      <c r="B499" s="88" t="str">
        <f t="shared" si="72"/>
        <v>Sitio Santa Lúcia</v>
      </c>
      <c r="C499" s="106">
        <f t="shared" si="69"/>
        <v>2020</v>
      </c>
      <c r="D499" s="101">
        <v>44058</v>
      </c>
      <c r="E499" s="102">
        <v>0</v>
      </c>
      <c r="F499" s="102">
        <v>0</v>
      </c>
      <c r="G499" s="102">
        <v>0</v>
      </c>
      <c r="H499" s="102">
        <v>0</v>
      </c>
      <c r="I499" s="90">
        <f t="shared" si="76"/>
        <v>0</v>
      </c>
      <c r="J499" s="90">
        <f t="shared" si="73"/>
        <v>0</v>
      </c>
      <c r="K499" s="91">
        <f t="shared" si="70"/>
        <v>0.95833333333333348</v>
      </c>
      <c r="L499" s="91">
        <f t="shared" si="71"/>
        <v>3.9583333333333339</v>
      </c>
      <c r="M499" s="29">
        <f t="shared" si="77"/>
        <v>13</v>
      </c>
      <c r="N499" s="92">
        <f t="shared" si="74"/>
        <v>0</v>
      </c>
      <c r="O499" s="104">
        <f t="shared" si="68"/>
        <v>1.016</v>
      </c>
      <c r="P499" s="105">
        <f t="shared" si="75"/>
        <v>0</v>
      </c>
    </row>
    <row r="500" spans="2:16" x14ac:dyDescent="0.25">
      <c r="B500" s="88" t="str">
        <f t="shared" si="72"/>
        <v>Sitio Santa Lúcia</v>
      </c>
      <c r="C500" s="106">
        <f t="shared" si="69"/>
        <v>2020</v>
      </c>
      <c r="D500" s="101">
        <v>44059</v>
      </c>
      <c r="E500" s="102">
        <v>0</v>
      </c>
      <c r="F500" s="102">
        <v>0</v>
      </c>
      <c r="G500" s="102">
        <v>0</v>
      </c>
      <c r="H500" s="102">
        <v>0</v>
      </c>
      <c r="I500" s="90">
        <f t="shared" si="76"/>
        <v>0</v>
      </c>
      <c r="J500" s="90">
        <f t="shared" si="73"/>
        <v>0</v>
      </c>
      <c r="K500" s="91">
        <f t="shared" si="70"/>
        <v>0.95833333333333348</v>
      </c>
      <c r="L500" s="91">
        <f t="shared" si="71"/>
        <v>3.9583333333333339</v>
      </c>
      <c r="M500" s="29">
        <f t="shared" si="77"/>
        <v>13</v>
      </c>
      <c r="N500" s="92">
        <f t="shared" si="74"/>
        <v>0</v>
      </c>
      <c r="O500" s="104">
        <f t="shared" si="68"/>
        <v>1.016</v>
      </c>
      <c r="P500" s="105">
        <f t="shared" si="75"/>
        <v>0</v>
      </c>
    </row>
    <row r="501" spans="2:16" x14ac:dyDescent="0.25">
      <c r="B501" s="88" t="str">
        <f t="shared" si="72"/>
        <v>Sitio Santa Lúcia</v>
      </c>
      <c r="C501" s="106">
        <f t="shared" si="69"/>
        <v>2020</v>
      </c>
      <c r="D501" s="101">
        <v>44060</v>
      </c>
      <c r="E501" s="102">
        <v>0</v>
      </c>
      <c r="F501" s="102">
        <v>0</v>
      </c>
      <c r="G501" s="102">
        <v>0</v>
      </c>
      <c r="H501" s="102">
        <v>0</v>
      </c>
      <c r="I501" s="90">
        <f t="shared" si="76"/>
        <v>0</v>
      </c>
      <c r="J501" s="90">
        <f t="shared" si="73"/>
        <v>0</v>
      </c>
      <c r="K501" s="91">
        <f t="shared" si="70"/>
        <v>0.95833333333333348</v>
      </c>
      <c r="L501" s="91">
        <f t="shared" si="71"/>
        <v>3.9583333333333339</v>
      </c>
      <c r="M501" s="29">
        <f t="shared" si="77"/>
        <v>13</v>
      </c>
      <c r="N501" s="92">
        <f t="shared" si="74"/>
        <v>0</v>
      </c>
      <c r="O501" s="104">
        <f t="shared" ref="O501:O637" si="78">$D$21/1000</f>
        <v>1.016</v>
      </c>
      <c r="P501" s="105">
        <f t="shared" si="75"/>
        <v>0</v>
      </c>
    </row>
    <row r="502" spans="2:16" x14ac:dyDescent="0.25">
      <c r="B502" s="88" t="str">
        <f t="shared" si="72"/>
        <v>Sitio Santa Lúcia</v>
      </c>
      <c r="C502" s="106">
        <f t="shared" ref="C502:C510" si="79">YEAR(D502)</f>
        <v>2020</v>
      </c>
      <c r="D502" s="101">
        <v>44061</v>
      </c>
      <c r="E502" s="102">
        <v>0</v>
      </c>
      <c r="F502" s="102">
        <v>0</v>
      </c>
      <c r="G502" s="102">
        <v>0</v>
      </c>
      <c r="H502" s="102">
        <v>0</v>
      </c>
      <c r="I502" s="90">
        <f t="shared" si="76"/>
        <v>0</v>
      </c>
      <c r="J502" s="90">
        <f t="shared" si="73"/>
        <v>0</v>
      </c>
      <c r="K502" s="91">
        <f t="shared" si="70"/>
        <v>0.95833333333333348</v>
      </c>
      <c r="L502" s="91">
        <f t="shared" si="71"/>
        <v>3.9583333333333339</v>
      </c>
      <c r="M502" s="29">
        <f t="shared" si="77"/>
        <v>13</v>
      </c>
      <c r="N502" s="92">
        <f t="shared" si="74"/>
        <v>0</v>
      </c>
      <c r="O502" s="104">
        <f t="shared" si="78"/>
        <v>1.016</v>
      </c>
      <c r="P502" s="105">
        <f t="shared" si="75"/>
        <v>0</v>
      </c>
    </row>
    <row r="503" spans="2:16" x14ac:dyDescent="0.25">
      <c r="B503" s="88" t="str">
        <f t="shared" si="72"/>
        <v>Sitio Santa Lúcia</v>
      </c>
      <c r="C503" s="106">
        <f t="shared" si="79"/>
        <v>2020</v>
      </c>
      <c r="D503" s="101">
        <v>44062</v>
      </c>
      <c r="E503" s="102">
        <v>0</v>
      </c>
      <c r="F503" s="102">
        <v>0</v>
      </c>
      <c r="G503" s="102">
        <v>0</v>
      </c>
      <c r="H503" s="102">
        <v>0</v>
      </c>
      <c r="I503" s="90">
        <f t="shared" si="76"/>
        <v>0</v>
      </c>
      <c r="J503" s="90">
        <f t="shared" si="73"/>
        <v>0</v>
      </c>
      <c r="K503" s="91">
        <f t="shared" ref="K503:K566" si="80">VLOOKUP(B503,$B$5:$J$17,5,FALSE)</f>
        <v>0.95833333333333348</v>
      </c>
      <c r="L503" s="91">
        <f t="shared" ref="L503:L566" si="81">VLOOKUP(B503,$B$5:$J$17,6,FALSE)</f>
        <v>3.9583333333333339</v>
      </c>
      <c r="M503" s="29">
        <f t="shared" si="77"/>
        <v>13</v>
      </c>
      <c r="N503" s="92">
        <f t="shared" si="74"/>
        <v>0</v>
      </c>
      <c r="O503" s="104">
        <f t="shared" si="78"/>
        <v>1.016</v>
      </c>
      <c r="P503" s="105">
        <f t="shared" si="75"/>
        <v>0</v>
      </c>
    </row>
    <row r="504" spans="2:16" x14ac:dyDescent="0.25">
      <c r="B504" s="88" t="str">
        <f t="shared" si="72"/>
        <v>Sitio Santa Lúcia</v>
      </c>
      <c r="C504" s="106">
        <f t="shared" si="79"/>
        <v>2020</v>
      </c>
      <c r="D504" s="101">
        <v>44063</v>
      </c>
      <c r="E504" s="102">
        <v>0</v>
      </c>
      <c r="F504" s="102">
        <v>0</v>
      </c>
      <c r="G504" s="102">
        <v>0</v>
      </c>
      <c r="H504" s="102">
        <v>0</v>
      </c>
      <c r="I504" s="90">
        <f t="shared" si="76"/>
        <v>0</v>
      </c>
      <c r="J504" s="90">
        <f t="shared" si="73"/>
        <v>0</v>
      </c>
      <c r="K504" s="91">
        <f t="shared" si="80"/>
        <v>0.95833333333333348</v>
      </c>
      <c r="L504" s="91">
        <f t="shared" si="81"/>
        <v>3.9583333333333339</v>
      </c>
      <c r="M504" s="29">
        <f t="shared" si="77"/>
        <v>13</v>
      </c>
      <c r="N504" s="92">
        <f t="shared" si="74"/>
        <v>0</v>
      </c>
      <c r="O504" s="104">
        <f t="shared" si="78"/>
        <v>1.016</v>
      </c>
      <c r="P504" s="105">
        <f t="shared" si="75"/>
        <v>0</v>
      </c>
    </row>
    <row r="505" spans="2:16" x14ac:dyDescent="0.25">
      <c r="B505" s="88" t="str">
        <f t="shared" si="72"/>
        <v>Sitio Santa Lúcia</v>
      </c>
      <c r="C505" s="106">
        <f t="shared" si="79"/>
        <v>2020</v>
      </c>
      <c r="D505" s="101">
        <v>44064</v>
      </c>
      <c r="E505" s="102">
        <v>0</v>
      </c>
      <c r="F505" s="102">
        <v>0</v>
      </c>
      <c r="G505" s="102">
        <v>0</v>
      </c>
      <c r="H505" s="102">
        <v>0</v>
      </c>
      <c r="I505" s="90">
        <f t="shared" si="76"/>
        <v>0</v>
      </c>
      <c r="J505" s="90">
        <f t="shared" si="73"/>
        <v>0</v>
      </c>
      <c r="K505" s="91">
        <f t="shared" si="80"/>
        <v>0.95833333333333348</v>
      </c>
      <c r="L505" s="91">
        <f t="shared" si="81"/>
        <v>3.9583333333333339</v>
      </c>
      <c r="M505" s="29">
        <f t="shared" si="77"/>
        <v>13</v>
      </c>
      <c r="N505" s="92">
        <f t="shared" si="74"/>
        <v>0</v>
      </c>
      <c r="O505" s="104">
        <f t="shared" si="78"/>
        <v>1.016</v>
      </c>
      <c r="P505" s="105">
        <f t="shared" si="75"/>
        <v>0</v>
      </c>
    </row>
    <row r="506" spans="2:16" x14ac:dyDescent="0.25">
      <c r="B506" s="88" t="str">
        <f t="shared" si="72"/>
        <v>Sitio Santa Lúcia</v>
      </c>
      <c r="C506" s="106">
        <f t="shared" si="79"/>
        <v>2020</v>
      </c>
      <c r="D506" s="101">
        <v>44065</v>
      </c>
      <c r="E506" s="102">
        <v>0</v>
      </c>
      <c r="F506" s="102">
        <v>0</v>
      </c>
      <c r="G506" s="102">
        <v>0</v>
      </c>
      <c r="H506" s="102">
        <v>0</v>
      </c>
      <c r="I506" s="90">
        <f t="shared" si="76"/>
        <v>0</v>
      </c>
      <c r="J506" s="90">
        <f t="shared" si="73"/>
        <v>0</v>
      </c>
      <c r="K506" s="91">
        <f t="shared" si="80"/>
        <v>0.95833333333333348</v>
      </c>
      <c r="L506" s="91">
        <f t="shared" si="81"/>
        <v>3.9583333333333339</v>
      </c>
      <c r="M506" s="29">
        <f t="shared" si="77"/>
        <v>13</v>
      </c>
      <c r="N506" s="92">
        <f t="shared" si="74"/>
        <v>0</v>
      </c>
      <c r="O506" s="104">
        <f t="shared" si="78"/>
        <v>1.016</v>
      </c>
      <c r="P506" s="105">
        <f t="shared" si="75"/>
        <v>0</v>
      </c>
    </row>
    <row r="507" spans="2:16" x14ac:dyDescent="0.25">
      <c r="B507" s="88" t="str">
        <f t="shared" si="72"/>
        <v>Sitio Santa Lúcia</v>
      </c>
      <c r="C507" s="106">
        <f t="shared" si="79"/>
        <v>2020</v>
      </c>
      <c r="D507" s="101">
        <v>44066</v>
      </c>
      <c r="E507" s="102">
        <v>0</v>
      </c>
      <c r="F507" s="102">
        <v>0</v>
      </c>
      <c r="G507" s="102">
        <v>0</v>
      </c>
      <c r="H507" s="102">
        <v>0</v>
      </c>
      <c r="I507" s="90">
        <f t="shared" si="76"/>
        <v>0</v>
      </c>
      <c r="J507" s="90">
        <f t="shared" si="73"/>
        <v>0</v>
      </c>
      <c r="K507" s="91">
        <f t="shared" si="80"/>
        <v>0.95833333333333348</v>
      </c>
      <c r="L507" s="91">
        <f t="shared" si="81"/>
        <v>3.9583333333333339</v>
      </c>
      <c r="M507" s="29">
        <f t="shared" si="77"/>
        <v>13</v>
      </c>
      <c r="N507" s="92">
        <f t="shared" si="74"/>
        <v>0</v>
      </c>
      <c r="O507" s="104">
        <f t="shared" si="78"/>
        <v>1.016</v>
      </c>
      <c r="P507" s="105">
        <f t="shared" si="75"/>
        <v>0</v>
      </c>
    </row>
    <row r="508" spans="2:16" x14ac:dyDescent="0.25">
      <c r="B508" s="88" t="str">
        <f t="shared" si="72"/>
        <v>Sitio Santa Lúcia</v>
      </c>
      <c r="C508" s="106">
        <f t="shared" si="79"/>
        <v>2020</v>
      </c>
      <c r="D508" s="101">
        <v>44067</v>
      </c>
      <c r="E508" s="102">
        <v>0</v>
      </c>
      <c r="F508" s="102">
        <v>0</v>
      </c>
      <c r="G508" s="102">
        <v>0</v>
      </c>
      <c r="H508" s="102">
        <v>0</v>
      </c>
      <c r="I508" s="90">
        <f t="shared" si="76"/>
        <v>0</v>
      </c>
      <c r="J508" s="90">
        <f t="shared" si="73"/>
        <v>0</v>
      </c>
      <c r="K508" s="91">
        <f t="shared" si="80"/>
        <v>0.95833333333333348</v>
      </c>
      <c r="L508" s="91">
        <f t="shared" si="81"/>
        <v>3.9583333333333339</v>
      </c>
      <c r="M508" s="29">
        <f t="shared" si="77"/>
        <v>13</v>
      </c>
      <c r="N508" s="92">
        <f t="shared" si="74"/>
        <v>0</v>
      </c>
      <c r="O508" s="104">
        <f t="shared" si="78"/>
        <v>1.016</v>
      </c>
      <c r="P508" s="105">
        <f t="shared" si="75"/>
        <v>0</v>
      </c>
    </row>
    <row r="509" spans="2:16" x14ac:dyDescent="0.25">
      <c r="B509" s="88" t="str">
        <f t="shared" si="72"/>
        <v>Sitio Santa Lúcia</v>
      </c>
      <c r="C509" s="106">
        <f t="shared" si="79"/>
        <v>2020</v>
      </c>
      <c r="D509" s="101">
        <v>44068</v>
      </c>
      <c r="E509" s="102">
        <v>0</v>
      </c>
      <c r="F509" s="102">
        <v>0</v>
      </c>
      <c r="G509" s="102">
        <v>0</v>
      </c>
      <c r="H509" s="102">
        <v>0</v>
      </c>
      <c r="I509" s="90">
        <f t="shared" si="76"/>
        <v>0</v>
      </c>
      <c r="J509" s="90">
        <f t="shared" si="73"/>
        <v>0</v>
      </c>
      <c r="K509" s="91">
        <f t="shared" si="80"/>
        <v>0.95833333333333348</v>
      </c>
      <c r="L509" s="91">
        <f t="shared" si="81"/>
        <v>3.9583333333333339</v>
      </c>
      <c r="M509" s="29">
        <f t="shared" si="77"/>
        <v>13</v>
      </c>
      <c r="N509" s="92">
        <f t="shared" si="74"/>
        <v>0</v>
      </c>
      <c r="O509" s="104">
        <f t="shared" si="78"/>
        <v>1.016</v>
      </c>
      <c r="P509" s="105">
        <f t="shared" si="75"/>
        <v>0</v>
      </c>
    </row>
    <row r="510" spans="2:16" x14ac:dyDescent="0.25">
      <c r="B510" s="88" t="str">
        <f t="shared" si="72"/>
        <v>Sitio Santa Lúcia</v>
      </c>
      <c r="C510" s="106">
        <f t="shared" si="79"/>
        <v>2020</v>
      </c>
      <c r="D510" s="101">
        <v>44069</v>
      </c>
      <c r="E510" s="102">
        <v>0</v>
      </c>
      <c r="F510" s="102">
        <v>0</v>
      </c>
      <c r="G510" s="102">
        <v>0</v>
      </c>
      <c r="H510" s="102">
        <v>0</v>
      </c>
      <c r="I510" s="90">
        <f t="shared" si="76"/>
        <v>0</v>
      </c>
      <c r="J510" s="90">
        <f t="shared" si="73"/>
        <v>0</v>
      </c>
      <c r="K510" s="91">
        <f t="shared" si="80"/>
        <v>0.95833333333333348</v>
      </c>
      <c r="L510" s="91">
        <f t="shared" si="81"/>
        <v>3.9583333333333339</v>
      </c>
      <c r="M510" s="29">
        <f t="shared" si="77"/>
        <v>13</v>
      </c>
      <c r="N510" s="92">
        <f t="shared" si="74"/>
        <v>0</v>
      </c>
      <c r="O510" s="104">
        <f t="shared" si="78"/>
        <v>1.016</v>
      </c>
      <c r="P510" s="105">
        <f t="shared" si="75"/>
        <v>0</v>
      </c>
    </row>
    <row r="511" spans="2:16" x14ac:dyDescent="0.25">
      <c r="B511" s="88" t="str">
        <f t="shared" si="72"/>
        <v>Sitio Santa Lúcia</v>
      </c>
      <c r="C511" s="106">
        <f>YEAR(D511)</f>
        <v>2020</v>
      </c>
      <c r="D511" s="101">
        <v>44070</v>
      </c>
      <c r="E511" s="102">
        <v>0</v>
      </c>
      <c r="F511" s="102">
        <v>0</v>
      </c>
      <c r="G511" s="102">
        <v>0</v>
      </c>
      <c r="H511" s="102">
        <v>0</v>
      </c>
      <c r="I511" s="90">
        <f t="shared" si="76"/>
        <v>0</v>
      </c>
      <c r="J511" s="90">
        <f t="shared" si="73"/>
        <v>0</v>
      </c>
      <c r="K511" s="91">
        <f t="shared" si="80"/>
        <v>0.95833333333333348</v>
      </c>
      <c r="L511" s="91">
        <f t="shared" si="81"/>
        <v>3.9583333333333339</v>
      </c>
      <c r="M511" s="29">
        <f>VLOOKUP(B511,$I$5:$J$17,2,FALSE)</f>
        <v>13</v>
      </c>
      <c r="N511" s="92">
        <f>I511</f>
        <v>0</v>
      </c>
      <c r="O511" s="104">
        <f t="shared" si="78"/>
        <v>1.016</v>
      </c>
      <c r="P511" s="105">
        <f>M511*N511*O511*0.7</f>
        <v>0</v>
      </c>
    </row>
    <row r="512" spans="2:16" x14ac:dyDescent="0.25">
      <c r="B512" s="88" t="str">
        <f t="shared" si="72"/>
        <v>Sitio Santa Lúcia</v>
      </c>
      <c r="C512" s="106">
        <f t="shared" ref="C512:C535" si="82">YEAR(D512)</f>
        <v>2020</v>
      </c>
      <c r="D512" s="101">
        <v>44071</v>
      </c>
      <c r="E512" s="102">
        <v>0.27083333333333331</v>
      </c>
      <c r="F512" s="102">
        <v>0.41666666666666669</v>
      </c>
      <c r="G512" s="102">
        <v>0.375</v>
      </c>
      <c r="H512" s="102">
        <v>0.45833333333333331</v>
      </c>
      <c r="I512" s="90">
        <f t="shared" si="76"/>
        <v>3.5000000000000009</v>
      </c>
      <c r="J512" s="90">
        <f t="shared" si="73"/>
        <v>1.9999999999999996</v>
      </c>
      <c r="K512" s="91">
        <f t="shared" si="80"/>
        <v>0.95833333333333348</v>
      </c>
      <c r="L512" s="91">
        <f t="shared" si="81"/>
        <v>3.9583333333333339</v>
      </c>
      <c r="M512" s="29">
        <f t="shared" ref="M512:M575" si="83">VLOOKUP(B512,$I$5:$J$17,2,FALSE)</f>
        <v>13</v>
      </c>
      <c r="N512" s="92">
        <f t="shared" ref="N512:N575" si="84">I512</f>
        <v>3.5000000000000009</v>
      </c>
      <c r="O512" s="104">
        <f t="shared" si="78"/>
        <v>1.016</v>
      </c>
      <c r="P512" s="105">
        <f t="shared" ref="P512:P575" si="85">M512*N512*O512*0.7</f>
        <v>32.359600000000007</v>
      </c>
    </row>
    <row r="513" spans="2:16" x14ac:dyDescent="0.25">
      <c r="B513" s="88" t="str">
        <f t="shared" si="72"/>
        <v>Sitio Santa Lúcia</v>
      </c>
      <c r="C513" s="106">
        <f t="shared" si="82"/>
        <v>2020</v>
      </c>
      <c r="D513" s="101">
        <v>44072</v>
      </c>
      <c r="E513" s="102">
        <v>0.375</v>
      </c>
      <c r="F513" s="102">
        <v>0.4375</v>
      </c>
      <c r="G513" s="102">
        <v>0.27083333333333331</v>
      </c>
      <c r="H513" s="102">
        <v>0.41666666666666669</v>
      </c>
      <c r="I513" s="90">
        <f t="shared" si="76"/>
        <v>1.5</v>
      </c>
      <c r="J513" s="90">
        <f t="shared" si="73"/>
        <v>3.5000000000000009</v>
      </c>
      <c r="K513" s="91">
        <f t="shared" si="80"/>
        <v>0.95833333333333348</v>
      </c>
      <c r="L513" s="91">
        <f t="shared" si="81"/>
        <v>3.9583333333333339</v>
      </c>
      <c r="M513" s="29">
        <f t="shared" si="83"/>
        <v>13</v>
      </c>
      <c r="N513" s="92">
        <f t="shared" si="84"/>
        <v>1.5</v>
      </c>
      <c r="O513" s="104">
        <f t="shared" si="78"/>
        <v>1.016</v>
      </c>
      <c r="P513" s="105">
        <f t="shared" si="85"/>
        <v>13.868399999999999</v>
      </c>
    </row>
    <row r="514" spans="2:16" x14ac:dyDescent="0.25">
      <c r="B514" s="88" t="str">
        <f t="shared" si="72"/>
        <v>Sitio Santa Lúcia</v>
      </c>
      <c r="C514" s="106">
        <f t="shared" si="82"/>
        <v>2020</v>
      </c>
      <c r="D514" s="101">
        <v>44073</v>
      </c>
      <c r="E514" s="102">
        <v>0.25</v>
      </c>
      <c r="F514" s="102">
        <v>0.45833333333333331</v>
      </c>
      <c r="G514" s="102">
        <v>0.3611111111111111</v>
      </c>
      <c r="H514" s="102">
        <v>0.4375</v>
      </c>
      <c r="I514" s="90">
        <f t="shared" si="76"/>
        <v>5</v>
      </c>
      <c r="J514" s="90">
        <f t="shared" si="73"/>
        <v>1.8333333333333335</v>
      </c>
      <c r="K514" s="91">
        <f t="shared" si="80"/>
        <v>0.95833333333333348</v>
      </c>
      <c r="L514" s="91">
        <f t="shared" si="81"/>
        <v>3.9583333333333339</v>
      </c>
      <c r="M514" s="29">
        <f t="shared" si="83"/>
        <v>13</v>
      </c>
      <c r="N514" s="92">
        <f t="shared" si="84"/>
        <v>5</v>
      </c>
      <c r="O514" s="104">
        <f t="shared" si="78"/>
        <v>1.016</v>
      </c>
      <c r="P514" s="105">
        <f t="shared" si="85"/>
        <v>46.228000000000002</v>
      </c>
    </row>
    <row r="515" spans="2:16" x14ac:dyDescent="0.25">
      <c r="B515" s="88" t="str">
        <f t="shared" si="72"/>
        <v>Sitio Santa Lúcia</v>
      </c>
      <c r="C515" s="106">
        <f t="shared" si="82"/>
        <v>2020</v>
      </c>
      <c r="D515" s="101">
        <v>44074</v>
      </c>
      <c r="E515" s="102">
        <v>0.29166666666666702</v>
      </c>
      <c r="F515" s="102">
        <v>0.39583333333333331</v>
      </c>
      <c r="G515" s="102">
        <v>0.41666666666666669</v>
      </c>
      <c r="H515" s="102">
        <v>0.5</v>
      </c>
      <c r="I515" s="90">
        <f t="shared" si="76"/>
        <v>2.4999999999999911</v>
      </c>
      <c r="J515" s="90">
        <f t="shared" si="73"/>
        <v>1.9999999999999996</v>
      </c>
      <c r="K515" s="91">
        <f t="shared" si="80"/>
        <v>0.95833333333333348</v>
      </c>
      <c r="L515" s="91">
        <f t="shared" si="81"/>
        <v>3.9583333333333339</v>
      </c>
      <c r="M515" s="29">
        <f t="shared" si="83"/>
        <v>13</v>
      </c>
      <c r="N515" s="92">
        <f t="shared" si="84"/>
        <v>2.4999999999999911</v>
      </c>
      <c r="O515" s="104">
        <f t="shared" si="78"/>
        <v>1.016</v>
      </c>
      <c r="P515" s="105">
        <f t="shared" si="85"/>
        <v>23.113999999999916</v>
      </c>
    </row>
    <row r="516" spans="2:16" x14ac:dyDescent="0.25">
      <c r="B516" s="88" t="str">
        <f t="shared" si="72"/>
        <v>Sitio Santa Lúcia</v>
      </c>
      <c r="C516" s="106">
        <f t="shared" si="82"/>
        <v>2020</v>
      </c>
      <c r="D516" s="101">
        <v>44075</v>
      </c>
      <c r="E516" s="102">
        <v>0.27083333333333331</v>
      </c>
      <c r="F516" s="102">
        <v>0.41666666666666669</v>
      </c>
      <c r="G516" s="102">
        <v>0.33333333333333331</v>
      </c>
      <c r="H516" s="102">
        <v>0.4375</v>
      </c>
      <c r="I516" s="90">
        <f t="shared" si="76"/>
        <v>3.5000000000000009</v>
      </c>
      <c r="J516" s="90">
        <f t="shared" si="73"/>
        <v>2.5000000000000004</v>
      </c>
      <c r="K516" s="91">
        <f t="shared" si="80"/>
        <v>0.95833333333333348</v>
      </c>
      <c r="L516" s="91">
        <f t="shared" si="81"/>
        <v>3.9583333333333339</v>
      </c>
      <c r="M516" s="29">
        <f t="shared" si="83"/>
        <v>13</v>
      </c>
      <c r="N516" s="92">
        <f t="shared" si="84"/>
        <v>3.5000000000000009</v>
      </c>
      <c r="O516" s="104">
        <f t="shared" si="78"/>
        <v>1.016</v>
      </c>
      <c r="P516" s="105">
        <f t="shared" si="85"/>
        <v>32.359600000000007</v>
      </c>
    </row>
    <row r="517" spans="2:16" x14ac:dyDescent="0.25">
      <c r="B517" s="88" t="str">
        <f t="shared" si="72"/>
        <v>Sitio Santa Lúcia</v>
      </c>
      <c r="C517" s="106">
        <f t="shared" si="82"/>
        <v>2020</v>
      </c>
      <c r="D517" s="101">
        <v>44076</v>
      </c>
      <c r="E517" s="102">
        <v>0.375</v>
      </c>
      <c r="F517" s="102">
        <v>0.4375</v>
      </c>
      <c r="G517" s="102">
        <v>0.25</v>
      </c>
      <c r="H517" s="102">
        <v>0.33333333333333331</v>
      </c>
      <c r="I517" s="90">
        <f t="shared" si="76"/>
        <v>1.5</v>
      </c>
      <c r="J517" s="90">
        <f t="shared" si="73"/>
        <v>1.9999999999999996</v>
      </c>
      <c r="K517" s="91">
        <f t="shared" si="80"/>
        <v>0.95833333333333348</v>
      </c>
      <c r="L517" s="91">
        <f t="shared" si="81"/>
        <v>3.9583333333333339</v>
      </c>
      <c r="M517" s="29">
        <f t="shared" si="83"/>
        <v>13</v>
      </c>
      <c r="N517" s="92">
        <f t="shared" si="84"/>
        <v>1.5</v>
      </c>
      <c r="O517" s="104">
        <f t="shared" si="78"/>
        <v>1.016</v>
      </c>
      <c r="P517" s="105">
        <f t="shared" si="85"/>
        <v>13.868399999999999</v>
      </c>
    </row>
    <row r="518" spans="2:16" x14ac:dyDescent="0.25">
      <c r="B518" s="88" t="str">
        <f t="shared" si="72"/>
        <v>Sitio Santa Lúcia</v>
      </c>
      <c r="C518" s="106">
        <f t="shared" si="82"/>
        <v>2020</v>
      </c>
      <c r="D518" s="101">
        <v>44077</v>
      </c>
      <c r="E518" s="102">
        <v>0.29166666666666702</v>
      </c>
      <c r="F518" s="102">
        <v>0.35416666666666669</v>
      </c>
      <c r="G518" s="102">
        <v>0.29166666666666702</v>
      </c>
      <c r="H518" s="102">
        <v>0.39583333333333331</v>
      </c>
      <c r="I518" s="90">
        <f t="shared" si="76"/>
        <v>1.499999999999992</v>
      </c>
      <c r="J518" s="90">
        <f t="shared" si="73"/>
        <v>2.4999999999999911</v>
      </c>
      <c r="K518" s="91">
        <f t="shared" si="80"/>
        <v>0.95833333333333348</v>
      </c>
      <c r="L518" s="91">
        <f t="shared" si="81"/>
        <v>3.9583333333333339</v>
      </c>
      <c r="M518" s="29">
        <f t="shared" si="83"/>
        <v>13</v>
      </c>
      <c r="N518" s="92">
        <f t="shared" si="84"/>
        <v>1.499999999999992</v>
      </c>
      <c r="O518" s="104">
        <f t="shared" si="78"/>
        <v>1.016</v>
      </c>
      <c r="P518" s="105">
        <f t="shared" si="85"/>
        <v>13.868399999999925</v>
      </c>
    </row>
    <row r="519" spans="2:16" x14ac:dyDescent="0.25">
      <c r="B519" s="88" t="str">
        <f t="shared" si="72"/>
        <v>Sitio Santa Lúcia</v>
      </c>
      <c r="C519" s="106">
        <f t="shared" si="82"/>
        <v>2020</v>
      </c>
      <c r="D519" s="101">
        <v>44078</v>
      </c>
      <c r="E519" s="102">
        <v>0.39583333333333331</v>
      </c>
      <c r="F519" s="102">
        <v>0.45833333333333331</v>
      </c>
      <c r="G519" s="102">
        <v>0.33333333333333331</v>
      </c>
      <c r="H519" s="102">
        <v>0.41666666666666669</v>
      </c>
      <c r="I519" s="90">
        <f t="shared" si="76"/>
        <v>1.5</v>
      </c>
      <c r="J519" s="90">
        <f t="shared" si="73"/>
        <v>2.0000000000000009</v>
      </c>
      <c r="K519" s="91">
        <f t="shared" si="80"/>
        <v>0.95833333333333348</v>
      </c>
      <c r="L519" s="91">
        <f t="shared" si="81"/>
        <v>3.9583333333333339</v>
      </c>
      <c r="M519" s="29">
        <f t="shared" si="83"/>
        <v>13</v>
      </c>
      <c r="N519" s="92">
        <f t="shared" si="84"/>
        <v>1.5</v>
      </c>
      <c r="O519" s="104">
        <f t="shared" si="78"/>
        <v>1.016</v>
      </c>
      <c r="P519" s="105">
        <f t="shared" si="85"/>
        <v>13.868399999999999</v>
      </c>
    </row>
    <row r="520" spans="2:16" x14ac:dyDescent="0.25">
      <c r="B520" s="88" t="str">
        <f t="shared" si="72"/>
        <v>Sitio Santa Lúcia</v>
      </c>
      <c r="C520" s="106">
        <f t="shared" si="82"/>
        <v>2020</v>
      </c>
      <c r="D520" s="101">
        <v>44079</v>
      </c>
      <c r="E520" s="102">
        <v>0.25</v>
      </c>
      <c r="F520" s="102">
        <v>0.41666666666666669</v>
      </c>
      <c r="G520" s="102">
        <v>0.25</v>
      </c>
      <c r="H520" s="102">
        <v>0.33333333333333331</v>
      </c>
      <c r="I520" s="90">
        <f t="shared" si="76"/>
        <v>4</v>
      </c>
      <c r="J520" s="90">
        <f t="shared" si="73"/>
        <v>1.9999999999999996</v>
      </c>
      <c r="K520" s="91">
        <f t="shared" si="80"/>
        <v>0.95833333333333348</v>
      </c>
      <c r="L520" s="91">
        <f t="shared" si="81"/>
        <v>3.9583333333333339</v>
      </c>
      <c r="M520" s="29">
        <f t="shared" si="83"/>
        <v>13</v>
      </c>
      <c r="N520" s="92">
        <f t="shared" si="84"/>
        <v>4</v>
      </c>
      <c r="O520" s="104">
        <f t="shared" si="78"/>
        <v>1.016</v>
      </c>
      <c r="P520" s="105">
        <f t="shared" si="85"/>
        <v>36.982399999999998</v>
      </c>
    </row>
    <row r="521" spans="2:16" x14ac:dyDescent="0.25">
      <c r="B521" s="88" t="str">
        <f t="shared" si="72"/>
        <v>Sitio Santa Lúcia</v>
      </c>
      <c r="C521" s="106">
        <f t="shared" si="82"/>
        <v>2020</v>
      </c>
      <c r="D521" s="101">
        <v>44080</v>
      </c>
      <c r="E521" s="102">
        <v>0.41666666666666669</v>
      </c>
      <c r="F521" s="102">
        <v>0.5</v>
      </c>
      <c r="G521" s="102">
        <v>0.29166666666666702</v>
      </c>
      <c r="H521" s="102">
        <v>0.39583333333333331</v>
      </c>
      <c r="I521" s="90">
        <f t="shared" si="76"/>
        <v>1.9999999999999996</v>
      </c>
      <c r="J521" s="90">
        <f t="shared" si="73"/>
        <v>2.4999999999999911</v>
      </c>
      <c r="K521" s="91">
        <f t="shared" si="80"/>
        <v>0.95833333333333348</v>
      </c>
      <c r="L521" s="91">
        <f t="shared" si="81"/>
        <v>3.9583333333333339</v>
      </c>
      <c r="M521" s="29">
        <f t="shared" si="83"/>
        <v>13</v>
      </c>
      <c r="N521" s="92">
        <f t="shared" si="84"/>
        <v>1.9999999999999996</v>
      </c>
      <c r="O521" s="104">
        <f t="shared" si="78"/>
        <v>1.016</v>
      </c>
      <c r="P521" s="105">
        <f t="shared" si="85"/>
        <v>18.491199999999996</v>
      </c>
    </row>
    <row r="522" spans="2:16" x14ac:dyDescent="0.25">
      <c r="B522" s="88" t="str">
        <f t="shared" si="72"/>
        <v>Sitio Santa Lúcia</v>
      </c>
      <c r="C522" s="106">
        <f t="shared" si="82"/>
        <v>2020</v>
      </c>
      <c r="D522" s="101">
        <v>44081</v>
      </c>
      <c r="E522" s="102">
        <v>0.375</v>
      </c>
      <c r="F522" s="102">
        <v>0.45833333333333331</v>
      </c>
      <c r="G522" s="102">
        <v>0.33333333333333331</v>
      </c>
      <c r="H522" s="102">
        <v>0.39583333333333331</v>
      </c>
      <c r="I522" s="90">
        <f t="shared" si="76"/>
        <v>1.9999999999999996</v>
      </c>
      <c r="J522" s="90">
        <f t="shared" si="73"/>
        <v>1.5</v>
      </c>
      <c r="K522" s="91">
        <f t="shared" si="80"/>
        <v>0.95833333333333348</v>
      </c>
      <c r="L522" s="91">
        <f t="shared" si="81"/>
        <v>3.9583333333333339</v>
      </c>
      <c r="M522" s="29">
        <f t="shared" si="83"/>
        <v>13</v>
      </c>
      <c r="N522" s="92">
        <f t="shared" si="84"/>
        <v>1.9999999999999996</v>
      </c>
      <c r="O522" s="104">
        <f t="shared" si="78"/>
        <v>1.016</v>
      </c>
      <c r="P522" s="105">
        <f t="shared" si="85"/>
        <v>18.491199999999996</v>
      </c>
    </row>
    <row r="523" spans="2:16" x14ac:dyDescent="0.25">
      <c r="B523" s="88" t="str">
        <f t="shared" si="72"/>
        <v>Sitio Santa Lúcia</v>
      </c>
      <c r="C523" s="106">
        <f t="shared" si="82"/>
        <v>2020</v>
      </c>
      <c r="D523" s="101">
        <v>44082</v>
      </c>
      <c r="E523" s="102">
        <v>0.39583333333333331</v>
      </c>
      <c r="F523" s="102">
        <v>0.47916666666666669</v>
      </c>
      <c r="G523" s="102">
        <v>0.3611111111111111</v>
      </c>
      <c r="H523" s="102">
        <v>0.41666666666666669</v>
      </c>
      <c r="I523" s="90">
        <f t="shared" si="76"/>
        <v>2.0000000000000009</v>
      </c>
      <c r="J523" s="90">
        <f t="shared" si="73"/>
        <v>1.3333333333333339</v>
      </c>
      <c r="K523" s="91">
        <f t="shared" si="80"/>
        <v>0.95833333333333348</v>
      </c>
      <c r="L523" s="91">
        <f t="shared" si="81"/>
        <v>3.9583333333333339</v>
      </c>
      <c r="M523" s="29">
        <f t="shared" si="83"/>
        <v>13</v>
      </c>
      <c r="N523" s="92">
        <f t="shared" si="84"/>
        <v>2.0000000000000009</v>
      </c>
      <c r="O523" s="104">
        <f t="shared" si="78"/>
        <v>1.016</v>
      </c>
      <c r="P523" s="105">
        <f t="shared" si="85"/>
        <v>18.491200000000006</v>
      </c>
    </row>
    <row r="524" spans="2:16" x14ac:dyDescent="0.25">
      <c r="B524" s="88" t="str">
        <f t="shared" si="72"/>
        <v>Sitio Santa Lúcia</v>
      </c>
      <c r="C524" s="106">
        <f t="shared" si="82"/>
        <v>2020</v>
      </c>
      <c r="D524" s="101">
        <v>44083</v>
      </c>
      <c r="E524" s="102">
        <v>0.25</v>
      </c>
      <c r="F524" s="102">
        <v>0.3611111111111111</v>
      </c>
      <c r="G524" s="102">
        <v>0.375</v>
      </c>
      <c r="H524" s="102">
        <v>0.45833333333333331</v>
      </c>
      <c r="I524" s="90">
        <f t="shared" si="76"/>
        <v>2.6666666666666665</v>
      </c>
      <c r="J524" s="90">
        <f t="shared" si="73"/>
        <v>1.9999999999999996</v>
      </c>
      <c r="K524" s="91">
        <f t="shared" si="80"/>
        <v>0.95833333333333348</v>
      </c>
      <c r="L524" s="91">
        <f t="shared" si="81"/>
        <v>3.9583333333333339</v>
      </c>
      <c r="M524" s="29">
        <f t="shared" si="83"/>
        <v>13</v>
      </c>
      <c r="N524" s="92">
        <f t="shared" si="84"/>
        <v>2.6666666666666665</v>
      </c>
      <c r="O524" s="104">
        <f t="shared" si="78"/>
        <v>1.016</v>
      </c>
      <c r="P524" s="105">
        <f t="shared" si="85"/>
        <v>24.654933333333332</v>
      </c>
    </row>
    <row r="525" spans="2:16" x14ac:dyDescent="0.25">
      <c r="B525" s="88" t="str">
        <f t="shared" si="72"/>
        <v>Sitio Santa Lúcia</v>
      </c>
      <c r="C525" s="106">
        <f t="shared" si="82"/>
        <v>2020</v>
      </c>
      <c r="D525" s="101">
        <v>44084</v>
      </c>
      <c r="E525" s="102">
        <v>0.375</v>
      </c>
      <c r="F525" s="102">
        <v>0.44444444444444442</v>
      </c>
      <c r="G525" s="102">
        <v>0.41666666666666669</v>
      </c>
      <c r="H525" s="102">
        <v>0.5</v>
      </c>
      <c r="I525" s="90">
        <f t="shared" si="76"/>
        <v>1.6666666666666661</v>
      </c>
      <c r="J525" s="90">
        <f t="shared" si="73"/>
        <v>1.9999999999999996</v>
      </c>
      <c r="K525" s="91">
        <f t="shared" si="80"/>
        <v>0.95833333333333348</v>
      </c>
      <c r="L525" s="91">
        <f t="shared" si="81"/>
        <v>3.9583333333333339</v>
      </c>
      <c r="M525" s="29">
        <f t="shared" si="83"/>
        <v>13</v>
      </c>
      <c r="N525" s="92">
        <f t="shared" si="84"/>
        <v>1.6666666666666661</v>
      </c>
      <c r="O525" s="104">
        <f t="shared" si="78"/>
        <v>1.016</v>
      </c>
      <c r="P525" s="105">
        <f t="shared" si="85"/>
        <v>15.409333333333326</v>
      </c>
    </row>
    <row r="526" spans="2:16" x14ac:dyDescent="0.25">
      <c r="B526" s="88" t="str">
        <f t="shared" si="72"/>
        <v>Sitio Santa Lúcia</v>
      </c>
      <c r="C526" s="106">
        <f t="shared" si="82"/>
        <v>2020</v>
      </c>
      <c r="D526" s="101">
        <v>44085</v>
      </c>
      <c r="E526" s="102">
        <v>0.25</v>
      </c>
      <c r="F526" s="102">
        <v>0.41666666666666669</v>
      </c>
      <c r="G526" s="102">
        <v>0.25</v>
      </c>
      <c r="H526" s="102">
        <v>0.41666666666666669</v>
      </c>
      <c r="I526" s="90">
        <f t="shared" si="76"/>
        <v>4</v>
      </c>
      <c r="J526" s="90">
        <f t="shared" si="73"/>
        <v>4</v>
      </c>
      <c r="K526" s="91">
        <f t="shared" si="80"/>
        <v>0.95833333333333348</v>
      </c>
      <c r="L526" s="91">
        <f t="shared" si="81"/>
        <v>3.9583333333333339</v>
      </c>
      <c r="M526" s="29">
        <f t="shared" si="83"/>
        <v>13</v>
      </c>
      <c r="N526" s="92">
        <f t="shared" si="84"/>
        <v>4</v>
      </c>
      <c r="O526" s="104">
        <f t="shared" si="78"/>
        <v>1.016</v>
      </c>
      <c r="P526" s="105">
        <f t="shared" si="85"/>
        <v>36.982399999999998</v>
      </c>
    </row>
    <row r="527" spans="2:16" x14ac:dyDescent="0.25">
      <c r="B527" s="88" t="str">
        <f t="shared" si="72"/>
        <v>Sitio Santa Lúcia</v>
      </c>
      <c r="C527" s="106">
        <f t="shared" si="82"/>
        <v>2020</v>
      </c>
      <c r="D527" s="101">
        <v>44086</v>
      </c>
      <c r="E527" s="102">
        <v>0.5625</v>
      </c>
      <c r="F527" s="102">
        <v>0.64583333333333337</v>
      </c>
      <c r="G527" s="102">
        <v>0.5625</v>
      </c>
      <c r="H527" s="102">
        <v>0.72916666666666663</v>
      </c>
      <c r="I527" s="90">
        <f t="shared" si="76"/>
        <v>2.0000000000000009</v>
      </c>
      <c r="J527" s="90">
        <f t="shared" si="73"/>
        <v>3.9999999999999991</v>
      </c>
      <c r="K527" s="91">
        <f t="shared" si="80"/>
        <v>0.95833333333333348</v>
      </c>
      <c r="L527" s="91">
        <f t="shared" si="81"/>
        <v>3.9583333333333339</v>
      </c>
      <c r="M527" s="29">
        <f t="shared" si="83"/>
        <v>13</v>
      </c>
      <c r="N527" s="92">
        <f t="shared" si="84"/>
        <v>2.0000000000000009</v>
      </c>
      <c r="O527" s="104">
        <f t="shared" si="78"/>
        <v>1.016</v>
      </c>
      <c r="P527" s="105">
        <f t="shared" si="85"/>
        <v>18.491200000000006</v>
      </c>
    </row>
    <row r="528" spans="2:16" x14ac:dyDescent="0.25">
      <c r="B528" s="88" t="str">
        <f t="shared" si="72"/>
        <v>Sitio Santa Lúcia</v>
      </c>
      <c r="C528" s="106">
        <f t="shared" si="82"/>
        <v>2020</v>
      </c>
      <c r="D528" s="101">
        <v>44087</v>
      </c>
      <c r="E528" s="102">
        <v>0.29166666666666702</v>
      </c>
      <c r="F528" s="102">
        <v>0.3611111111111111</v>
      </c>
      <c r="G528" s="102">
        <v>0.375</v>
      </c>
      <c r="H528" s="102">
        <v>0.45833333333333331</v>
      </c>
      <c r="I528" s="90">
        <f t="shared" si="76"/>
        <v>1.6666666666666581</v>
      </c>
      <c r="J528" s="90">
        <f t="shared" si="73"/>
        <v>1.9999999999999996</v>
      </c>
      <c r="K528" s="91">
        <f t="shared" si="80"/>
        <v>0.95833333333333348</v>
      </c>
      <c r="L528" s="91">
        <f t="shared" si="81"/>
        <v>3.9583333333333339</v>
      </c>
      <c r="M528" s="29">
        <f t="shared" si="83"/>
        <v>13</v>
      </c>
      <c r="N528" s="92">
        <f t="shared" si="84"/>
        <v>1.6666666666666581</v>
      </c>
      <c r="O528" s="104">
        <f t="shared" si="78"/>
        <v>1.016</v>
      </c>
      <c r="P528" s="105">
        <f t="shared" si="85"/>
        <v>15.409333333333251</v>
      </c>
    </row>
    <row r="529" spans="2:16" x14ac:dyDescent="0.25">
      <c r="B529" s="88" t="str">
        <f t="shared" si="72"/>
        <v>Sitio Santa Lúcia</v>
      </c>
      <c r="C529" s="106">
        <f t="shared" si="82"/>
        <v>2020</v>
      </c>
      <c r="D529" s="101">
        <v>44088</v>
      </c>
      <c r="E529" s="102">
        <v>0.25</v>
      </c>
      <c r="F529" s="102">
        <v>0.41666666666666669</v>
      </c>
      <c r="G529" s="102">
        <v>0.29166666666666702</v>
      </c>
      <c r="H529" s="102">
        <v>0.41666666666666669</v>
      </c>
      <c r="I529" s="90">
        <f t="shared" si="76"/>
        <v>4</v>
      </c>
      <c r="J529" s="90">
        <f t="shared" si="73"/>
        <v>2.999999999999992</v>
      </c>
      <c r="K529" s="91">
        <f t="shared" si="80"/>
        <v>0.95833333333333348</v>
      </c>
      <c r="L529" s="91">
        <f t="shared" si="81"/>
        <v>3.9583333333333339</v>
      </c>
      <c r="M529" s="29">
        <f t="shared" si="83"/>
        <v>13</v>
      </c>
      <c r="N529" s="92">
        <f t="shared" si="84"/>
        <v>4</v>
      </c>
      <c r="O529" s="104">
        <f t="shared" si="78"/>
        <v>1.016</v>
      </c>
      <c r="P529" s="105">
        <f t="shared" si="85"/>
        <v>36.982399999999998</v>
      </c>
    </row>
    <row r="530" spans="2:16" x14ac:dyDescent="0.25">
      <c r="B530" s="88" t="str">
        <f t="shared" si="72"/>
        <v>Sitio Santa Lúcia</v>
      </c>
      <c r="C530" s="106">
        <f t="shared" si="82"/>
        <v>2020</v>
      </c>
      <c r="D530" s="101">
        <v>44089</v>
      </c>
      <c r="E530" s="102">
        <v>0.29166666666666702</v>
      </c>
      <c r="F530" s="102">
        <v>0.4375</v>
      </c>
      <c r="G530" s="102">
        <v>0.33333333333333398</v>
      </c>
      <c r="H530" s="102">
        <v>0.47916666666666669</v>
      </c>
      <c r="I530" s="90">
        <f t="shared" si="76"/>
        <v>3.4999999999999916</v>
      </c>
      <c r="J530" s="90">
        <f t="shared" si="73"/>
        <v>3.4999999999999849</v>
      </c>
      <c r="K530" s="91">
        <f t="shared" si="80"/>
        <v>0.95833333333333348</v>
      </c>
      <c r="L530" s="91">
        <f t="shared" si="81"/>
        <v>3.9583333333333339</v>
      </c>
      <c r="M530" s="29">
        <f t="shared" si="83"/>
        <v>13</v>
      </c>
      <c r="N530" s="92">
        <f t="shared" si="84"/>
        <v>3.4999999999999916</v>
      </c>
      <c r="O530" s="104">
        <f t="shared" si="78"/>
        <v>1.016</v>
      </c>
      <c r="P530" s="105">
        <f t="shared" si="85"/>
        <v>32.359599999999922</v>
      </c>
    </row>
    <row r="531" spans="2:16" x14ac:dyDescent="0.25">
      <c r="B531" s="88" t="str">
        <f t="shared" si="72"/>
        <v>Sitio Santa Lúcia</v>
      </c>
      <c r="C531" s="106">
        <f t="shared" si="82"/>
        <v>2020</v>
      </c>
      <c r="D531" s="101">
        <v>44090</v>
      </c>
      <c r="E531" s="102">
        <v>0.375</v>
      </c>
      <c r="F531" s="102">
        <v>0.44791666666666669</v>
      </c>
      <c r="G531" s="102">
        <v>0.25</v>
      </c>
      <c r="H531" s="102">
        <v>0.41666666666666669</v>
      </c>
      <c r="I531" s="90">
        <f t="shared" si="76"/>
        <v>1.7500000000000004</v>
      </c>
      <c r="J531" s="90">
        <f t="shared" si="73"/>
        <v>4</v>
      </c>
      <c r="K531" s="91">
        <f t="shared" si="80"/>
        <v>0.95833333333333348</v>
      </c>
      <c r="L531" s="91">
        <f t="shared" si="81"/>
        <v>3.9583333333333339</v>
      </c>
      <c r="M531" s="29">
        <f t="shared" si="83"/>
        <v>13</v>
      </c>
      <c r="N531" s="92">
        <f t="shared" si="84"/>
        <v>1.7500000000000004</v>
      </c>
      <c r="O531" s="104">
        <f t="shared" si="78"/>
        <v>1.016</v>
      </c>
      <c r="P531" s="105">
        <f t="shared" si="85"/>
        <v>16.179800000000004</v>
      </c>
    </row>
    <row r="532" spans="2:16" x14ac:dyDescent="0.25">
      <c r="B532" s="88" t="str">
        <f t="shared" si="72"/>
        <v>Sitio Santa Lúcia</v>
      </c>
      <c r="C532" s="106">
        <f t="shared" si="82"/>
        <v>2020</v>
      </c>
      <c r="D532" s="101">
        <v>44091</v>
      </c>
      <c r="E532" s="102">
        <v>0.25</v>
      </c>
      <c r="F532" s="102">
        <v>0.33333333333333398</v>
      </c>
      <c r="G532" s="102">
        <v>0.29166666666666702</v>
      </c>
      <c r="H532" s="102">
        <v>0.35416666666666669</v>
      </c>
      <c r="I532" s="90">
        <f t="shared" si="76"/>
        <v>2.0000000000000155</v>
      </c>
      <c r="J532" s="90">
        <f t="shared" si="73"/>
        <v>1.499999999999992</v>
      </c>
      <c r="K532" s="91">
        <f t="shared" si="80"/>
        <v>0.95833333333333348</v>
      </c>
      <c r="L532" s="91">
        <f t="shared" si="81"/>
        <v>3.9583333333333339</v>
      </c>
      <c r="M532" s="29">
        <f t="shared" si="83"/>
        <v>13</v>
      </c>
      <c r="N532" s="92">
        <f t="shared" si="84"/>
        <v>2.0000000000000155</v>
      </c>
      <c r="O532" s="104">
        <f t="shared" si="78"/>
        <v>1.016</v>
      </c>
      <c r="P532" s="105">
        <f t="shared" si="85"/>
        <v>18.491200000000145</v>
      </c>
    </row>
    <row r="533" spans="2:16" x14ac:dyDescent="0.25">
      <c r="B533" s="88" t="str">
        <f t="shared" si="72"/>
        <v>Sitio Santa Lúcia</v>
      </c>
      <c r="C533" s="106">
        <f t="shared" si="82"/>
        <v>2020</v>
      </c>
      <c r="D533" s="101">
        <v>44092</v>
      </c>
      <c r="E533" s="102">
        <v>0.29166666666666702</v>
      </c>
      <c r="F533" s="102">
        <v>0.41666666666666669</v>
      </c>
      <c r="G533" s="102">
        <v>0.375</v>
      </c>
      <c r="H533" s="102">
        <v>0.41666666666666669</v>
      </c>
      <c r="I533" s="90">
        <f t="shared" si="76"/>
        <v>2.999999999999992</v>
      </c>
      <c r="J533" s="90">
        <f t="shared" si="73"/>
        <v>1.0000000000000004</v>
      </c>
      <c r="K533" s="91">
        <f t="shared" si="80"/>
        <v>0.95833333333333348</v>
      </c>
      <c r="L533" s="91">
        <f t="shared" si="81"/>
        <v>3.9583333333333339</v>
      </c>
      <c r="M533" s="29">
        <f t="shared" si="83"/>
        <v>13</v>
      </c>
      <c r="N533" s="92">
        <f t="shared" si="84"/>
        <v>2.999999999999992</v>
      </c>
      <c r="O533" s="104">
        <f t="shared" si="78"/>
        <v>1.016</v>
      </c>
      <c r="P533" s="105">
        <f t="shared" si="85"/>
        <v>27.736799999999924</v>
      </c>
    </row>
    <row r="534" spans="2:16" x14ac:dyDescent="0.25">
      <c r="B534" s="88" t="str">
        <f t="shared" si="72"/>
        <v>Sitio Santa Lúcia</v>
      </c>
      <c r="C534" s="106">
        <f t="shared" si="82"/>
        <v>2020</v>
      </c>
      <c r="D534" s="101">
        <v>44093</v>
      </c>
      <c r="E534" s="102">
        <v>0.375</v>
      </c>
      <c r="F534" s="102">
        <v>0.45833333333333331</v>
      </c>
      <c r="G534" s="102">
        <v>0.29166666666666702</v>
      </c>
      <c r="H534" s="102">
        <v>0.33333333333333398</v>
      </c>
      <c r="I534" s="90">
        <f t="shared" si="76"/>
        <v>1.9999999999999996</v>
      </c>
      <c r="J534" s="90">
        <f t="shared" si="73"/>
        <v>1.0000000000000071</v>
      </c>
      <c r="K534" s="91">
        <f t="shared" si="80"/>
        <v>0.95833333333333348</v>
      </c>
      <c r="L534" s="91">
        <f t="shared" si="81"/>
        <v>3.9583333333333339</v>
      </c>
      <c r="M534" s="29">
        <f t="shared" si="83"/>
        <v>13</v>
      </c>
      <c r="N534" s="92">
        <f t="shared" si="84"/>
        <v>1.9999999999999996</v>
      </c>
      <c r="O534" s="104">
        <f t="shared" si="78"/>
        <v>1.016</v>
      </c>
      <c r="P534" s="105">
        <f t="shared" si="85"/>
        <v>18.491199999999996</v>
      </c>
    </row>
    <row r="535" spans="2:16" x14ac:dyDescent="0.25">
      <c r="B535" s="88" t="str">
        <f t="shared" si="72"/>
        <v>Sitio Santa Lúcia</v>
      </c>
      <c r="C535" s="106">
        <f t="shared" si="82"/>
        <v>2020</v>
      </c>
      <c r="D535" s="101">
        <v>44094</v>
      </c>
      <c r="E535" s="102">
        <v>0.25</v>
      </c>
      <c r="F535" s="102">
        <v>0.29166666666666702</v>
      </c>
      <c r="G535" s="102">
        <v>0.25</v>
      </c>
      <c r="H535" s="102">
        <v>0.33333333333333398</v>
      </c>
      <c r="I535" s="90">
        <f t="shared" si="76"/>
        <v>1.0000000000000084</v>
      </c>
      <c r="J535" s="90">
        <f t="shared" si="73"/>
        <v>2.0000000000000155</v>
      </c>
      <c r="K535" s="91">
        <f t="shared" si="80"/>
        <v>0.95833333333333348</v>
      </c>
      <c r="L535" s="91">
        <f t="shared" si="81"/>
        <v>3.9583333333333339</v>
      </c>
      <c r="M535" s="29">
        <f t="shared" si="83"/>
        <v>13</v>
      </c>
      <c r="N535" s="92">
        <f t="shared" si="84"/>
        <v>1.0000000000000084</v>
      </c>
      <c r="O535" s="104">
        <f t="shared" si="78"/>
        <v>1.016</v>
      </c>
      <c r="P535" s="105">
        <f t="shared" si="85"/>
        <v>9.2456000000000778</v>
      </c>
    </row>
    <row r="536" spans="2:16" x14ac:dyDescent="0.25">
      <c r="B536" s="88" t="str">
        <f t="shared" si="72"/>
        <v>Sitio Santa Lúcia</v>
      </c>
      <c r="C536" s="106">
        <f>YEAR(D536)</f>
        <v>2020</v>
      </c>
      <c r="D536" s="101">
        <v>44095</v>
      </c>
      <c r="E536" s="102">
        <v>0.33333333333333398</v>
      </c>
      <c r="F536" s="102">
        <v>0.41666666666666669</v>
      </c>
      <c r="G536" s="102">
        <v>0.41666666666666669</v>
      </c>
      <c r="H536" s="102">
        <v>0.5</v>
      </c>
      <c r="I536" s="90">
        <f t="shared" si="76"/>
        <v>1.9999999999999849</v>
      </c>
      <c r="J536" s="90">
        <f t="shared" si="73"/>
        <v>1.9999999999999996</v>
      </c>
      <c r="K536" s="91">
        <f t="shared" si="80"/>
        <v>0.95833333333333348</v>
      </c>
      <c r="L536" s="91">
        <f t="shared" si="81"/>
        <v>3.9583333333333339</v>
      </c>
      <c r="M536" s="29">
        <f t="shared" si="83"/>
        <v>13</v>
      </c>
      <c r="N536" s="92">
        <f t="shared" si="84"/>
        <v>1.9999999999999849</v>
      </c>
      <c r="O536" s="104">
        <f t="shared" si="78"/>
        <v>1.016</v>
      </c>
      <c r="P536" s="105">
        <f t="shared" si="85"/>
        <v>18.491199999999861</v>
      </c>
    </row>
    <row r="537" spans="2:16" x14ac:dyDescent="0.25">
      <c r="B537" s="88" t="str">
        <f t="shared" si="72"/>
        <v>Sitio Santa Lúcia</v>
      </c>
      <c r="C537" s="106">
        <f t="shared" ref="C537:C600" si="86">YEAR(D537)</f>
        <v>2020</v>
      </c>
      <c r="D537" s="101">
        <v>44096</v>
      </c>
      <c r="E537" s="102">
        <v>0.25</v>
      </c>
      <c r="F537" s="102">
        <v>0.33333333333333398</v>
      </c>
      <c r="G537" s="102">
        <v>0.25</v>
      </c>
      <c r="H537" s="102">
        <v>0.3263888888888889</v>
      </c>
      <c r="I537" s="90">
        <f t="shared" si="76"/>
        <v>2.0000000000000155</v>
      </c>
      <c r="J537" s="90">
        <f t="shared" si="73"/>
        <v>1.8333333333333335</v>
      </c>
      <c r="K537" s="91">
        <f t="shared" si="80"/>
        <v>0.95833333333333348</v>
      </c>
      <c r="L537" s="91">
        <f t="shared" si="81"/>
        <v>3.9583333333333339</v>
      </c>
      <c r="M537" s="29">
        <f t="shared" si="83"/>
        <v>13</v>
      </c>
      <c r="N537" s="92">
        <f t="shared" si="84"/>
        <v>2.0000000000000155</v>
      </c>
      <c r="O537" s="104">
        <f t="shared" si="78"/>
        <v>1.016</v>
      </c>
      <c r="P537" s="105">
        <f t="shared" si="85"/>
        <v>18.491200000000145</v>
      </c>
    </row>
    <row r="538" spans="2:16" x14ac:dyDescent="0.25">
      <c r="B538" s="88" t="str">
        <f t="shared" si="72"/>
        <v>Sitio Santa Lúcia</v>
      </c>
      <c r="C538" s="106">
        <f t="shared" si="86"/>
        <v>2020</v>
      </c>
      <c r="D538" s="101">
        <v>44097</v>
      </c>
      <c r="E538" s="102">
        <v>0.41666666666666669</v>
      </c>
      <c r="F538" s="102">
        <v>0.5</v>
      </c>
      <c r="G538" s="102">
        <v>0.29166666666666702</v>
      </c>
      <c r="H538" s="102">
        <v>0.41666666666666669</v>
      </c>
      <c r="I538" s="90">
        <f t="shared" si="76"/>
        <v>1.9999999999999996</v>
      </c>
      <c r="J538" s="90">
        <f t="shared" si="73"/>
        <v>2.999999999999992</v>
      </c>
      <c r="K538" s="91">
        <f t="shared" si="80"/>
        <v>0.95833333333333348</v>
      </c>
      <c r="L538" s="91">
        <f t="shared" si="81"/>
        <v>3.9583333333333339</v>
      </c>
      <c r="M538" s="29">
        <f t="shared" si="83"/>
        <v>13</v>
      </c>
      <c r="N538" s="92">
        <f t="shared" si="84"/>
        <v>1.9999999999999996</v>
      </c>
      <c r="O538" s="104">
        <f t="shared" si="78"/>
        <v>1.016</v>
      </c>
      <c r="P538" s="105">
        <f t="shared" si="85"/>
        <v>18.491199999999996</v>
      </c>
    </row>
    <row r="539" spans="2:16" x14ac:dyDescent="0.25">
      <c r="B539" s="88" t="str">
        <f t="shared" si="72"/>
        <v>Sitio Santa Lúcia</v>
      </c>
      <c r="C539" s="106">
        <f t="shared" si="86"/>
        <v>2020</v>
      </c>
      <c r="D539" s="101">
        <v>44098</v>
      </c>
      <c r="E539" s="102">
        <v>0.27083333333333331</v>
      </c>
      <c r="F539" s="102">
        <v>0.31944444444444448</v>
      </c>
      <c r="G539" s="102">
        <v>0.375</v>
      </c>
      <c r="H539" s="102">
        <v>0.45833333333333331</v>
      </c>
      <c r="I539" s="90">
        <f t="shared" si="76"/>
        <v>1.1666666666666679</v>
      </c>
      <c r="J539" s="90">
        <f t="shared" si="73"/>
        <v>1.9999999999999996</v>
      </c>
      <c r="K539" s="91">
        <f t="shared" si="80"/>
        <v>0.95833333333333348</v>
      </c>
      <c r="L539" s="91">
        <f t="shared" si="81"/>
        <v>3.9583333333333339</v>
      </c>
      <c r="M539" s="29">
        <f t="shared" si="83"/>
        <v>13</v>
      </c>
      <c r="N539" s="92">
        <f t="shared" si="84"/>
        <v>1.1666666666666679</v>
      </c>
      <c r="O539" s="104">
        <f t="shared" si="78"/>
        <v>1.016</v>
      </c>
      <c r="P539" s="105">
        <f t="shared" si="85"/>
        <v>10.786533333333344</v>
      </c>
    </row>
    <row r="540" spans="2:16" x14ac:dyDescent="0.25">
      <c r="B540" s="88" t="str">
        <f t="shared" si="72"/>
        <v>Sitio Santa Lúcia</v>
      </c>
      <c r="C540" s="106">
        <f t="shared" si="86"/>
        <v>2020</v>
      </c>
      <c r="D540" s="101">
        <v>44099</v>
      </c>
      <c r="E540" s="102">
        <v>0.375</v>
      </c>
      <c r="F540" s="102">
        <v>0.44444444444444442</v>
      </c>
      <c r="G540" s="102">
        <v>0.27083333333333331</v>
      </c>
      <c r="H540" s="102">
        <v>0.41666666666666669</v>
      </c>
      <c r="I540" s="90">
        <f t="shared" si="76"/>
        <v>1.6666666666666661</v>
      </c>
      <c r="J540" s="90">
        <f t="shared" si="73"/>
        <v>3.5000000000000009</v>
      </c>
      <c r="K540" s="91">
        <f t="shared" si="80"/>
        <v>0.95833333333333348</v>
      </c>
      <c r="L540" s="91">
        <f t="shared" si="81"/>
        <v>3.9583333333333339</v>
      </c>
      <c r="M540" s="29">
        <f t="shared" si="83"/>
        <v>13</v>
      </c>
      <c r="N540" s="92">
        <f t="shared" si="84"/>
        <v>1.6666666666666661</v>
      </c>
      <c r="O540" s="104">
        <f t="shared" si="78"/>
        <v>1.016</v>
      </c>
      <c r="P540" s="105">
        <f t="shared" si="85"/>
        <v>15.409333333333326</v>
      </c>
    </row>
    <row r="541" spans="2:16" x14ac:dyDescent="0.25">
      <c r="B541" s="88" t="str">
        <f t="shared" si="72"/>
        <v>Sitio Santa Lúcia</v>
      </c>
      <c r="C541" s="106">
        <f t="shared" si="86"/>
        <v>2020</v>
      </c>
      <c r="D541" s="101">
        <v>44100</v>
      </c>
      <c r="E541" s="102">
        <v>0.27083333333333331</v>
      </c>
      <c r="F541" s="102">
        <v>0.3263888888888889</v>
      </c>
      <c r="G541" s="102">
        <v>0.41666666666666669</v>
      </c>
      <c r="H541" s="102">
        <v>0.5</v>
      </c>
      <c r="I541" s="90">
        <f t="shared" si="76"/>
        <v>1.3333333333333339</v>
      </c>
      <c r="J541" s="90">
        <f t="shared" si="73"/>
        <v>1.9999999999999996</v>
      </c>
      <c r="K541" s="91">
        <f t="shared" si="80"/>
        <v>0.95833333333333348</v>
      </c>
      <c r="L541" s="91">
        <f t="shared" si="81"/>
        <v>3.9583333333333339</v>
      </c>
      <c r="M541" s="29">
        <f t="shared" si="83"/>
        <v>13</v>
      </c>
      <c r="N541" s="92">
        <f t="shared" si="84"/>
        <v>1.3333333333333339</v>
      </c>
      <c r="O541" s="104">
        <f t="shared" si="78"/>
        <v>1.016</v>
      </c>
      <c r="P541" s="105">
        <f t="shared" si="85"/>
        <v>12.327466666666673</v>
      </c>
    </row>
    <row r="542" spans="2:16" x14ac:dyDescent="0.25">
      <c r="B542" s="88" t="str">
        <f t="shared" si="72"/>
        <v>Sitio Santa Lúcia</v>
      </c>
      <c r="C542" s="106">
        <f t="shared" si="86"/>
        <v>2020</v>
      </c>
      <c r="D542" s="101">
        <v>44101</v>
      </c>
      <c r="E542" s="102">
        <v>0.29166666666666702</v>
      </c>
      <c r="F542" s="102">
        <v>0.375</v>
      </c>
      <c r="G542" s="102">
        <v>0.25</v>
      </c>
      <c r="H542" s="102">
        <v>0.33333333333333398</v>
      </c>
      <c r="I542" s="90">
        <f t="shared" si="76"/>
        <v>1.9999999999999916</v>
      </c>
      <c r="J542" s="90">
        <f t="shared" si="73"/>
        <v>2.0000000000000155</v>
      </c>
      <c r="K542" s="91">
        <f t="shared" si="80"/>
        <v>0.95833333333333348</v>
      </c>
      <c r="L542" s="91">
        <f t="shared" si="81"/>
        <v>3.9583333333333339</v>
      </c>
      <c r="M542" s="29">
        <f t="shared" si="83"/>
        <v>13</v>
      </c>
      <c r="N542" s="92">
        <f t="shared" si="84"/>
        <v>1.9999999999999916</v>
      </c>
      <c r="O542" s="104">
        <f t="shared" si="78"/>
        <v>1.016</v>
      </c>
      <c r="P542" s="105">
        <f t="shared" si="85"/>
        <v>18.491199999999921</v>
      </c>
    </row>
    <row r="543" spans="2:16" x14ac:dyDescent="0.25">
      <c r="B543" s="88" t="str">
        <f t="shared" si="72"/>
        <v>Sitio Santa Lúcia</v>
      </c>
      <c r="C543" s="106">
        <f t="shared" si="86"/>
        <v>2020</v>
      </c>
      <c r="D543" s="101">
        <v>44102</v>
      </c>
      <c r="E543" s="102">
        <v>0.25</v>
      </c>
      <c r="F543" s="102">
        <v>0.39583333333333331</v>
      </c>
      <c r="G543" s="102">
        <v>0.41666666666666669</v>
      </c>
      <c r="H543" s="102">
        <v>0.5</v>
      </c>
      <c r="I543" s="90">
        <f t="shared" si="76"/>
        <v>3.4999999999999996</v>
      </c>
      <c r="J543" s="90">
        <f t="shared" si="73"/>
        <v>1.9999999999999996</v>
      </c>
      <c r="K543" s="91">
        <f t="shared" si="80"/>
        <v>0.95833333333333348</v>
      </c>
      <c r="L543" s="91">
        <f t="shared" si="81"/>
        <v>3.9583333333333339</v>
      </c>
      <c r="M543" s="29">
        <f t="shared" si="83"/>
        <v>13</v>
      </c>
      <c r="N543" s="92">
        <f t="shared" si="84"/>
        <v>3.4999999999999996</v>
      </c>
      <c r="O543" s="104">
        <f t="shared" si="78"/>
        <v>1.016</v>
      </c>
      <c r="P543" s="105">
        <f t="shared" si="85"/>
        <v>32.359599999999993</v>
      </c>
    </row>
    <row r="544" spans="2:16" x14ac:dyDescent="0.25">
      <c r="B544" s="88" t="str">
        <f t="shared" ref="B544:B607" si="87">$B$17</f>
        <v>Sitio Santa Lúcia</v>
      </c>
      <c r="C544" s="106">
        <f t="shared" si="86"/>
        <v>2020</v>
      </c>
      <c r="D544" s="101">
        <v>44103</v>
      </c>
      <c r="E544" s="102">
        <v>0.375</v>
      </c>
      <c r="F544" s="102">
        <v>0.45833333333333331</v>
      </c>
      <c r="G544" s="102">
        <v>0.25</v>
      </c>
      <c r="H544" s="102">
        <v>0.41666666666666669</v>
      </c>
      <c r="I544" s="90">
        <f t="shared" si="76"/>
        <v>1.9999999999999996</v>
      </c>
      <c r="J544" s="90">
        <f t="shared" si="73"/>
        <v>4</v>
      </c>
      <c r="K544" s="91">
        <f t="shared" si="80"/>
        <v>0.95833333333333348</v>
      </c>
      <c r="L544" s="91">
        <f t="shared" si="81"/>
        <v>3.9583333333333339</v>
      </c>
      <c r="M544" s="29">
        <f t="shared" si="83"/>
        <v>13</v>
      </c>
      <c r="N544" s="92">
        <f t="shared" si="84"/>
        <v>1.9999999999999996</v>
      </c>
      <c r="O544" s="104">
        <f t="shared" si="78"/>
        <v>1.016</v>
      </c>
      <c r="P544" s="105">
        <f t="shared" si="85"/>
        <v>18.491199999999996</v>
      </c>
    </row>
    <row r="545" spans="2:16" x14ac:dyDescent="0.25">
      <c r="B545" s="88" t="str">
        <f t="shared" si="87"/>
        <v>Sitio Santa Lúcia</v>
      </c>
      <c r="C545" s="106">
        <f t="shared" si="86"/>
        <v>2020</v>
      </c>
      <c r="D545" s="101">
        <v>44104</v>
      </c>
      <c r="E545" s="102">
        <v>0.41666666666666669</v>
      </c>
      <c r="F545" s="102">
        <v>0.47916666666666669</v>
      </c>
      <c r="G545" s="102">
        <v>0.27083333333333331</v>
      </c>
      <c r="H545" s="102">
        <v>0.40277777777777773</v>
      </c>
      <c r="I545" s="90">
        <f t="shared" si="76"/>
        <v>1.5</v>
      </c>
      <c r="J545" s="90">
        <f t="shared" si="73"/>
        <v>3.1666666666666661</v>
      </c>
      <c r="K545" s="91">
        <f t="shared" si="80"/>
        <v>0.95833333333333348</v>
      </c>
      <c r="L545" s="91">
        <f t="shared" si="81"/>
        <v>3.9583333333333339</v>
      </c>
      <c r="M545" s="29">
        <f t="shared" si="83"/>
        <v>13</v>
      </c>
      <c r="N545" s="92">
        <f t="shared" si="84"/>
        <v>1.5</v>
      </c>
      <c r="O545" s="104">
        <f t="shared" si="78"/>
        <v>1.016</v>
      </c>
      <c r="P545" s="105">
        <f t="shared" si="85"/>
        <v>13.868399999999999</v>
      </c>
    </row>
    <row r="546" spans="2:16" x14ac:dyDescent="0.25">
      <c r="B546" s="88" t="str">
        <f t="shared" si="87"/>
        <v>Sitio Santa Lúcia</v>
      </c>
      <c r="C546" s="106">
        <f t="shared" si="86"/>
        <v>2020</v>
      </c>
      <c r="D546" s="137">
        <v>44105</v>
      </c>
      <c r="E546" s="102">
        <v>0.27083333333333331</v>
      </c>
      <c r="F546" s="102">
        <v>0.41666666666666669</v>
      </c>
      <c r="G546" s="102">
        <v>0.29166666666666702</v>
      </c>
      <c r="H546" s="102">
        <v>0.33333333333333398</v>
      </c>
      <c r="I546" s="90">
        <f t="shared" si="76"/>
        <v>3.5000000000000009</v>
      </c>
      <c r="J546" s="90">
        <f t="shared" si="73"/>
        <v>1.0000000000000071</v>
      </c>
      <c r="K546" s="91">
        <f t="shared" si="80"/>
        <v>0.95833333333333348</v>
      </c>
      <c r="L546" s="91">
        <f t="shared" si="81"/>
        <v>3.9583333333333339</v>
      </c>
      <c r="M546" s="29">
        <f t="shared" si="83"/>
        <v>13</v>
      </c>
      <c r="N546" s="92">
        <f t="shared" si="84"/>
        <v>3.5000000000000009</v>
      </c>
      <c r="O546" s="104">
        <f t="shared" si="78"/>
        <v>1.016</v>
      </c>
      <c r="P546" s="105">
        <f t="shared" si="85"/>
        <v>32.359600000000007</v>
      </c>
    </row>
    <row r="547" spans="2:16" x14ac:dyDescent="0.25">
      <c r="B547" s="88" t="str">
        <f t="shared" si="87"/>
        <v>Sitio Santa Lúcia</v>
      </c>
      <c r="C547" s="106">
        <f t="shared" si="86"/>
        <v>2020</v>
      </c>
      <c r="D547" s="101">
        <v>44106</v>
      </c>
      <c r="E547" s="102">
        <v>0.375</v>
      </c>
      <c r="F547" s="103">
        <v>0.41666666666666669</v>
      </c>
      <c r="G547" s="103">
        <v>0.41666666666666669</v>
      </c>
      <c r="H547" s="103">
        <v>0.47916666666666669</v>
      </c>
      <c r="I547" s="90">
        <f t="shared" si="76"/>
        <v>1.0000000000000004</v>
      </c>
      <c r="J547" s="90">
        <f t="shared" si="73"/>
        <v>1.5</v>
      </c>
      <c r="K547" s="91">
        <f t="shared" si="80"/>
        <v>0.95833333333333348</v>
      </c>
      <c r="L547" s="91">
        <f t="shared" si="81"/>
        <v>3.9583333333333339</v>
      </c>
      <c r="M547" s="29">
        <f t="shared" si="83"/>
        <v>13</v>
      </c>
      <c r="N547" s="92">
        <f t="shared" si="84"/>
        <v>1.0000000000000004</v>
      </c>
      <c r="O547" s="104">
        <f t="shared" si="78"/>
        <v>1.016</v>
      </c>
      <c r="P547" s="105">
        <f t="shared" si="85"/>
        <v>9.2456000000000031</v>
      </c>
    </row>
    <row r="548" spans="2:16" x14ac:dyDescent="0.25">
      <c r="B548" s="88" t="str">
        <f t="shared" si="87"/>
        <v>Sitio Santa Lúcia</v>
      </c>
      <c r="C548" s="106">
        <f t="shared" si="86"/>
        <v>2020</v>
      </c>
      <c r="D548" s="101">
        <v>44107</v>
      </c>
      <c r="E548" s="103">
        <v>0.33333333333333398</v>
      </c>
      <c r="F548" s="103">
        <v>0.40277777777777773</v>
      </c>
      <c r="G548" s="102">
        <v>0.29166666666666702</v>
      </c>
      <c r="H548" s="103">
        <v>0.41666666666666669</v>
      </c>
      <c r="I548" s="90">
        <f t="shared" si="76"/>
        <v>1.6666666666666501</v>
      </c>
      <c r="J548" s="90">
        <f t="shared" si="73"/>
        <v>2.999999999999992</v>
      </c>
      <c r="K548" s="91">
        <f t="shared" si="80"/>
        <v>0.95833333333333348</v>
      </c>
      <c r="L548" s="91">
        <f t="shared" si="81"/>
        <v>3.9583333333333339</v>
      </c>
      <c r="M548" s="29">
        <f t="shared" si="83"/>
        <v>13</v>
      </c>
      <c r="N548" s="92">
        <f t="shared" si="84"/>
        <v>1.6666666666666501</v>
      </c>
      <c r="O548" s="104">
        <f t="shared" si="78"/>
        <v>1.016</v>
      </c>
      <c r="P548" s="105">
        <f t="shared" si="85"/>
        <v>15.40933333333318</v>
      </c>
    </row>
    <row r="549" spans="2:16" x14ac:dyDescent="0.25">
      <c r="B549" s="88" t="str">
        <f t="shared" si="87"/>
        <v>Sitio Santa Lúcia</v>
      </c>
      <c r="C549" s="106">
        <f t="shared" si="86"/>
        <v>2020</v>
      </c>
      <c r="D549" s="101">
        <v>44108</v>
      </c>
      <c r="E549" s="102">
        <v>0.375</v>
      </c>
      <c r="F549" s="103">
        <v>0.45833333333333331</v>
      </c>
      <c r="G549" s="102">
        <v>0.33333333333333398</v>
      </c>
      <c r="H549" s="103">
        <v>0.45833333333333331</v>
      </c>
      <c r="I549" s="90">
        <f t="shared" si="76"/>
        <v>1.9999999999999996</v>
      </c>
      <c r="J549" s="90">
        <f t="shared" si="73"/>
        <v>2.999999999999984</v>
      </c>
      <c r="K549" s="91">
        <f t="shared" si="80"/>
        <v>0.95833333333333348</v>
      </c>
      <c r="L549" s="91">
        <f t="shared" si="81"/>
        <v>3.9583333333333339</v>
      </c>
      <c r="M549" s="29">
        <f t="shared" si="83"/>
        <v>13</v>
      </c>
      <c r="N549" s="92">
        <f t="shared" si="84"/>
        <v>1.9999999999999996</v>
      </c>
      <c r="O549" s="104">
        <f t="shared" si="78"/>
        <v>1.016</v>
      </c>
      <c r="P549" s="105">
        <f t="shared" si="85"/>
        <v>18.491199999999996</v>
      </c>
    </row>
    <row r="550" spans="2:16" x14ac:dyDescent="0.25">
      <c r="B550" s="88" t="str">
        <f t="shared" si="87"/>
        <v>Sitio Santa Lúcia</v>
      </c>
      <c r="C550" s="106">
        <f t="shared" si="86"/>
        <v>2020</v>
      </c>
      <c r="D550" s="101">
        <v>44109</v>
      </c>
      <c r="E550" s="102">
        <v>0.33333333333333398</v>
      </c>
      <c r="F550" s="103">
        <v>0.39583333333333331</v>
      </c>
      <c r="G550" s="103">
        <v>0.29166666666666702</v>
      </c>
      <c r="H550" s="103">
        <v>0.33333333333333398</v>
      </c>
      <c r="I550" s="90">
        <f t="shared" si="76"/>
        <v>1.499999999999984</v>
      </c>
      <c r="J550" s="90">
        <f t="shared" si="73"/>
        <v>1.0000000000000071</v>
      </c>
      <c r="K550" s="91">
        <f t="shared" si="80"/>
        <v>0.95833333333333348</v>
      </c>
      <c r="L550" s="91">
        <f t="shared" si="81"/>
        <v>3.9583333333333339</v>
      </c>
      <c r="M550" s="29">
        <f t="shared" si="83"/>
        <v>13</v>
      </c>
      <c r="N550" s="92">
        <f t="shared" si="84"/>
        <v>1.499999999999984</v>
      </c>
      <c r="O550" s="104">
        <f t="shared" si="78"/>
        <v>1.016</v>
      </c>
      <c r="P550" s="105">
        <f t="shared" si="85"/>
        <v>13.868399999999854</v>
      </c>
    </row>
    <row r="551" spans="2:16" x14ac:dyDescent="0.25">
      <c r="B551" s="88" t="str">
        <f t="shared" si="87"/>
        <v>Sitio Santa Lúcia</v>
      </c>
      <c r="C551" s="106">
        <f t="shared" si="86"/>
        <v>2020</v>
      </c>
      <c r="D551" s="101">
        <v>44110</v>
      </c>
      <c r="E551" s="102">
        <v>0.25</v>
      </c>
      <c r="F551" s="103">
        <v>0.29166666666666702</v>
      </c>
      <c r="G551" s="102">
        <v>0.27083333333333331</v>
      </c>
      <c r="H551" s="103">
        <v>0.375</v>
      </c>
      <c r="I551" s="90">
        <f t="shared" si="76"/>
        <v>1.0000000000000084</v>
      </c>
      <c r="J551" s="90">
        <f t="shared" si="73"/>
        <v>2.5000000000000004</v>
      </c>
      <c r="K551" s="91">
        <f t="shared" si="80"/>
        <v>0.95833333333333348</v>
      </c>
      <c r="L551" s="91">
        <f t="shared" si="81"/>
        <v>3.9583333333333339</v>
      </c>
      <c r="M551" s="29">
        <f t="shared" si="83"/>
        <v>13</v>
      </c>
      <c r="N551" s="92">
        <f t="shared" si="84"/>
        <v>1.0000000000000084</v>
      </c>
      <c r="O551" s="104">
        <f t="shared" si="78"/>
        <v>1.016</v>
      </c>
      <c r="P551" s="105">
        <f t="shared" si="85"/>
        <v>9.2456000000000778</v>
      </c>
    </row>
    <row r="552" spans="2:16" x14ac:dyDescent="0.25">
      <c r="B552" s="88" t="str">
        <f t="shared" si="87"/>
        <v>Sitio Santa Lúcia</v>
      </c>
      <c r="C552" s="106">
        <f t="shared" si="86"/>
        <v>2020</v>
      </c>
      <c r="D552" s="101">
        <v>44111</v>
      </c>
      <c r="E552" s="103">
        <v>0.33333333333333398</v>
      </c>
      <c r="F552" s="103">
        <v>0.39583333333333331</v>
      </c>
      <c r="G552" s="102">
        <v>0.29166666666666702</v>
      </c>
      <c r="H552" s="102">
        <v>0.41666666666666669</v>
      </c>
      <c r="I552" s="90">
        <f t="shared" si="76"/>
        <v>1.499999999999984</v>
      </c>
      <c r="J552" s="90">
        <f t="shared" si="73"/>
        <v>2.999999999999992</v>
      </c>
      <c r="K552" s="91">
        <f t="shared" si="80"/>
        <v>0.95833333333333348</v>
      </c>
      <c r="L552" s="91">
        <f t="shared" si="81"/>
        <v>3.9583333333333339</v>
      </c>
      <c r="M552" s="29">
        <f t="shared" si="83"/>
        <v>13</v>
      </c>
      <c r="N552" s="92">
        <f t="shared" si="84"/>
        <v>1.499999999999984</v>
      </c>
      <c r="O552" s="104">
        <f t="shared" si="78"/>
        <v>1.016</v>
      </c>
      <c r="P552" s="105">
        <f t="shared" si="85"/>
        <v>13.868399999999854</v>
      </c>
    </row>
    <row r="553" spans="2:16" x14ac:dyDescent="0.25">
      <c r="B553" s="88" t="str">
        <f t="shared" si="87"/>
        <v>Sitio Santa Lúcia</v>
      </c>
      <c r="C553" s="106">
        <f t="shared" si="86"/>
        <v>2020</v>
      </c>
      <c r="D553" s="101">
        <v>44112</v>
      </c>
      <c r="E553" s="102">
        <v>0.375</v>
      </c>
      <c r="F553" s="102">
        <v>0.45833333333333331</v>
      </c>
      <c r="G553" s="102">
        <v>0.33333333333333398</v>
      </c>
      <c r="H553" s="103">
        <v>0.41666666666666669</v>
      </c>
      <c r="I553" s="90">
        <f t="shared" si="76"/>
        <v>1.9999999999999996</v>
      </c>
      <c r="J553" s="90">
        <f t="shared" si="73"/>
        <v>1.9999999999999849</v>
      </c>
      <c r="K553" s="91">
        <f t="shared" si="80"/>
        <v>0.95833333333333348</v>
      </c>
      <c r="L553" s="91">
        <f t="shared" si="81"/>
        <v>3.9583333333333339</v>
      </c>
      <c r="M553" s="29">
        <f t="shared" si="83"/>
        <v>13</v>
      </c>
      <c r="N553" s="92">
        <f t="shared" si="84"/>
        <v>1.9999999999999996</v>
      </c>
      <c r="O553" s="104">
        <f t="shared" si="78"/>
        <v>1.016</v>
      </c>
      <c r="P553" s="105">
        <f t="shared" si="85"/>
        <v>18.491199999999996</v>
      </c>
    </row>
    <row r="554" spans="2:16" x14ac:dyDescent="0.25">
      <c r="B554" s="88" t="str">
        <f t="shared" si="87"/>
        <v>Sitio Santa Lúcia</v>
      </c>
      <c r="C554" s="106">
        <f t="shared" si="86"/>
        <v>2020</v>
      </c>
      <c r="D554" s="101">
        <v>44113</v>
      </c>
      <c r="E554" s="103">
        <v>0.25</v>
      </c>
      <c r="F554" s="103">
        <v>0.41666666666666669</v>
      </c>
      <c r="G554" s="102">
        <v>0.29166666666666702</v>
      </c>
      <c r="H554" s="103">
        <v>0.33333333333333398</v>
      </c>
      <c r="I554" s="90">
        <f t="shared" si="76"/>
        <v>4</v>
      </c>
      <c r="J554" s="90">
        <f t="shared" si="73"/>
        <v>1.0000000000000071</v>
      </c>
      <c r="K554" s="91">
        <f t="shared" si="80"/>
        <v>0.95833333333333348</v>
      </c>
      <c r="L554" s="91">
        <f t="shared" si="81"/>
        <v>3.9583333333333339</v>
      </c>
      <c r="M554" s="29">
        <f t="shared" si="83"/>
        <v>13</v>
      </c>
      <c r="N554" s="92">
        <f t="shared" si="84"/>
        <v>4</v>
      </c>
      <c r="O554" s="104">
        <f t="shared" si="78"/>
        <v>1.016</v>
      </c>
      <c r="P554" s="105">
        <f t="shared" si="85"/>
        <v>36.982399999999998</v>
      </c>
    </row>
    <row r="555" spans="2:16" x14ac:dyDescent="0.25">
      <c r="B555" s="88" t="str">
        <f t="shared" si="87"/>
        <v>Sitio Santa Lúcia</v>
      </c>
      <c r="C555" s="106">
        <f t="shared" si="86"/>
        <v>2020</v>
      </c>
      <c r="D555" s="101">
        <v>44114</v>
      </c>
      <c r="E555" s="102">
        <v>0.29166666666666702</v>
      </c>
      <c r="F555" s="103">
        <v>0.39583333333333331</v>
      </c>
      <c r="G555" s="102">
        <v>0.33333333333333398</v>
      </c>
      <c r="H555" s="102">
        <v>0.41666666666666669</v>
      </c>
      <c r="I555" s="90">
        <f t="shared" si="76"/>
        <v>2.4999999999999911</v>
      </c>
      <c r="J555" s="90">
        <f t="shared" si="73"/>
        <v>1.9999999999999849</v>
      </c>
      <c r="K555" s="91">
        <f t="shared" si="80"/>
        <v>0.95833333333333348</v>
      </c>
      <c r="L555" s="91">
        <f t="shared" si="81"/>
        <v>3.9583333333333339</v>
      </c>
      <c r="M555" s="29">
        <f t="shared" si="83"/>
        <v>13</v>
      </c>
      <c r="N555" s="92">
        <f t="shared" si="84"/>
        <v>2.4999999999999911</v>
      </c>
      <c r="O555" s="104">
        <f t="shared" si="78"/>
        <v>1.016</v>
      </c>
      <c r="P555" s="105">
        <f t="shared" si="85"/>
        <v>23.113999999999916</v>
      </c>
    </row>
    <row r="556" spans="2:16" x14ac:dyDescent="0.25">
      <c r="B556" s="88" t="str">
        <f t="shared" si="87"/>
        <v>Sitio Santa Lúcia</v>
      </c>
      <c r="C556" s="106">
        <f t="shared" si="86"/>
        <v>2020</v>
      </c>
      <c r="D556" s="101">
        <v>44115</v>
      </c>
      <c r="E556" s="103">
        <v>0.25</v>
      </c>
      <c r="F556" s="103">
        <v>0.41666666666666669</v>
      </c>
      <c r="G556" s="102">
        <v>0.375</v>
      </c>
      <c r="H556" s="103">
        <v>0.41666666666666669</v>
      </c>
      <c r="I556" s="90">
        <f t="shared" si="76"/>
        <v>4</v>
      </c>
      <c r="J556" s="90">
        <f t="shared" si="73"/>
        <v>1.0000000000000004</v>
      </c>
      <c r="K556" s="91">
        <f t="shared" si="80"/>
        <v>0.95833333333333348</v>
      </c>
      <c r="L556" s="91">
        <f t="shared" si="81"/>
        <v>3.9583333333333339</v>
      </c>
      <c r="M556" s="29">
        <f t="shared" si="83"/>
        <v>13</v>
      </c>
      <c r="N556" s="92">
        <f t="shared" si="84"/>
        <v>4</v>
      </c>
      <c r="O556" s="104">
        <f t="shared" si="78"/>
        <v>1.016</v>
      </c>
      <c r="P556" s="105">
        <f t="shared" si="85"/>
        <v>36.982399999999998</v>
      </c>
    </row>
    <row r="557" spans="2:16" x14ac:dyDescent="0.25">
      <c r="B557" s="88" t="str">
        <f t="shared" si="87"/>
        <v>Sitio Santa Lúcia</v>
      </c>
      <c r="C557" s="106">
        <f t="shared" si="86"/>
        <v>2020</v>
      </c>
      <c r="D557" s="101">
        <v>44116</v>
      </c>
      <c r="E557" s="103">
        <v>0.33333333333333398</v>
      </c>
      <c r="F557" s="103">
        <v>0.41666666666666669</v>
      </c>
      <c r="G557" s="102">
        <v>0.25</v>
      </c>
      <c r="H557" s="103">
        <v>0.375</v>
      </c>
      <c r="I557" s="90">
        <f t="shared" si="76"/>
        <v>1.9999999999999849</v>
      </c>
      <c r="J557" s="90">
        <f t="shared" si="73"/>
        <v>3</v>
      </c>
      <c r="K557" s="91">
        <f t="shared" si="80"/>
        <v>0.95833333333333348</v>
      </c>
      <c r="L557" s="91">
        <f t="shared" si="81"/>
        <v>3.9583333333333339</v>
      </c>
      <c r="M557" s="29">
        <f t="shared" si="83"/>
        <v>13</v>
      </c>
      <c r="N557" s="92">
        <f t="shared" si="84"/>
        <v>1.9999999999999849</v>
      </c>
      <c r="O557" s="104">
        <f t="shared" si="78"/>
        <v>1.016</v>
      </c>
      <c r="P557" s="105">
        <f t="shared" si="85"/>
        <v>18.491199999999861</v>
      </c>
    </row>
    <row r="558" spans="2:16" x14ac:dyDescent="0.25">
      <c r="B558" s="88" t="str">
        <f t="shared" si="87"/>
        <v>Sitio Santa Lúcia</v>
      </c>
      <c r="C558" s="106">
        <f t="shared" si="86"/>
        <v>2020</v>
      </c>
      <c r="D558" s="101">
        <v>44117</v>
      </c>
      <c r="E558" s="103">
        <v>0.3611111111111111</v>
      </c>
      <c r="F558" s="103">
        <v>0.41666666666666669</v>
      </c>
      <c r="G558" s="102">
        <v>0.375</v>
      </c>
      <c r="H558" s="103">
        <v>0.45833333333333331</v>
      </c>
      <c r="I558" s="90">
        <f t="shared" si="76"/>
        <v>1.3333333333333339</v>
      </c>
      <c r="J558" s="90">
        <f t="shared" si="73"/>
        <v>1.9999999999999996</v>
      </c>
      <c r="K558" s="91">
        <f t="shared" si="80"/>
        <v>0.95833333333333348</v>
      </c>
      <c r="L558" s="91">
        <f t="shared" si="81"/>
        <v>3.9583333333333339</v>
      </c>
      <c r="M558" s="29">
        <f t="shared" si="83"/>
        <v>13</v>
      </c>
      <c r="N558" s="92">
        <f t="shared" si="84"/>
        <v>1.3333333333333339</v>
      </c>
      <c r="O558" s="104">
        <f t="shared" si="78"/>
        <v>1.016</v>
      </c>
      <c r="P558" s="105">
        <f t="shared" si="85"/>
        <v>12.327466666666673</v>
      </c>
    </row>
    <row r="559" spans="2:16" x14ac:dyDescent="0.25">
      <c r="B559" s="88" t="str">
        <f t="shared" si="87"/>
        <v>Sitio Santa Lúcia</v>
      </c>
      <c r="C559" s="106">
        <f t="shared" si="86"/>
        <v>2020</v>
      </c>
      <c r="D559" s="101">
        <v>44118</v>
      </c>
      <c r="E559" s="102">
        <v>0.29166666666666702</v>
      </c>
      <c r="F559" s="102">
        <v>0.49305555555555558</v>
      </c>
      <c r="G559" s="103">
        <v>0.29166666666666702</v>
      </c>
      <c r="H559" s="103">
        <v>0.41666666666666669</v>
      </c>
      <c r="I559" s="90">
        <f t="shared" si="76"/>
        <v>4.833333333333325</v>
      </c>
      <c r="J559" s="90">
        <f t="shared" si="73"/>
        <v>2.999999999999992</v>
      </c>
      <c r="K559" s="91">
        <f t="shared" si="80"/>
        <v>0.95833333333333348</v>
      </c>
      <c r="L559" s="91">
        <f t="shared" si="81"/>
        <v>3.9583333333333339</v>
      </c>
      <c r="M559" s="29">
        <f t="shared" si="83"/>
        <v>13</v>
      </c>
      <c r="N559" s="92">
        <f t="shared" si="84"/>
        <v>4.833333333333325</v>
      </c>
      <c r="O559" s="104">
        <f t="shared" si="78"/>
        <v>1.016</v>
      </c>
      <c r="P559" s="105">
        <f t="shared" si="85"/>
        <v>44.687066666666588</v>
      </c>
    </row>
    <row r="560" spans="2:16" x14ac:dyDescent="0.25">
      <c r="B560" s="88" t="str">
        <f t="shared" si="87"/>
        <v>Sitio Santa Lúcia</v>
      </c>
      <c r="C560" s="106">
        <f t="shared" si="86"/>
        <v>2020</v>
      </c>
      <c r="D560" s="101">
        <v>44119</v>
      </c>
      <c r="E560" s="103">
        <v>0.33333333333333398</v>
      </c>
      <c r="F560" s="103">
        <v>0.41666666666666669</v>
      </c>
      <c r="G560" s="103">
        <v>0.25</v>
      </c>
      <c r="H560" s="103">
        <v>0.375</v>
      </c>
      <c r="I560" s="90">
        <f t="shared" si="76"/>
        <v>1.9999999999999849</v>
      </c>
      <c r="J560" s="90">
        <f t="shared" si="73"/>
        <v>3</v>
      </c>
      <c r="K560" s="91">
        <f t="shared" si="80"/>
        <v>0.95833333333333348</v>
      </c>
      <c r="L560" s="91">
        <f t="shared" si="81"/>
        <v>3.9583333333333339</v>
      </c>
      <c r="M560" s="29">
        <f t="shared" si="83"/>
        <v>13</v>
      </c>
      <c r="N560" s="92">
        <f t="shared" si="84"/>
        <v>1.9999999999999849</v>
      </c>
      <c r="O560" s="104">
        <f t="shared" si="78"/>
        <v>1.016</v>
      </c>
      <c r="P560" s="105">
        <f t="shared" si="85"/>
        <v>18.491199999999861</v>
      </c>
    </row>
    <row r="561" spans="2:16" x14ac:dyDescent="0.25">
      <c r="B561" s="88" t="str">
        <f t="shared" si="87"/>
        <v>Sitio Santa Lúcia</v>
      </c>
      <c r="C561" s="106">
        <f t="shared" si="86"/>
        <v>2020</v>
      </c>
      <c r="D561" s="101">
        <v>44120</v>
      </c>
      <c r="E561" s="102">
        <v>0.25</v>
      </c>
      <c r="F561" s="103">
        <v>0.38194444444444442</v>
      </c>
      <c r="G561" s="102">
        <v>0.29166666666666702</v>
      </c>
      <c r="H561" s="103">
        <v>0.45833333333333331</v>
      </c>
      <c r="I561" s="90">
        <f t="shared" si="76"/>
        <v>3.1666666666666661</v>
      </c>
      <c r="J561" s="90">
        <f t="shared" si="73"/>
        <v>3.9999999999999911</v>
      </c>
      <c r="K561" s="91">
        <f t="shared" si="80"/>
        <v>0.95833333333333348</v>
      </c>
      <c r="L561" s="91">
        <f t="shared" si="81"/>
        <v>3.9583333333333339</v>
      </c>
      <c r="M561" s="29">
        <f t="shared" si="83"/>
        <v>13</v>
      </c>
      <c r="N561" s="92">
        <f t="shared" si="84"/>
        <v>3.1666666666666661</v>
      </c>
      <c r="O561" s="104">
        <f t="shared" si="78"/>
        <v>1.016</v>
      </c>
      <c r="P561" s="105">
        <f t="shared" si="85"/>
        <v>29.277733333333327</v>
      </c>
    </row>
    <row r="562" spans="2:16" x14ac:dyDescent="0.25">
      <c r="B562" s="88" t="str">
        <f t="shared" si="87"/>
        <v>Sitio Santa Lúcia</v>
      </c>
      <c r="C562" s="106">
        <f t="shared" si="86"/>
        <v>2020</v>
      </c>
      <c r="D562" s="101">
        <v>44121</v>
      </c>
      <c r="E562" s="102">
        <v>0.29166666666666702</v>
      </c>
      <c r="F562" s="102">
        <v>0.33333333333333398</v>
      </c>
      <c r="G562" s="102">
        <v>0.41666666666666669</v>
      </c>
      <c r="H562" s="102">
        <v>0.45833333333333331</v>
      </c>
      <c r="I562" s="90">
        <f t="shared" si="76"/>
        <v>1.0000000000000071</v>
      </c>
      <c r="J562" s="90">
        <f t="shared" ref="J562:J625" si="88">((H562-G562)-INT($D$20))*24</f>
        <v>0.99999999999999911</v>
      </c>
      <c r="K562" s="91">
        <f t="shared" si="80"/>
        <v>0.95833333333333348</v>
      </c>
      <c r="L562" s="91">
        <f t="shared" si="81"/>
        <v>3.9583333333333339</v>
      </c>
      <c r="M562" s="29">
        <f t="shared" si="83"/>
        <v>13</v>
      </c>
      <c r="N562" s="92">
        <f t="shared" si="84"/>
        <v>1.0000000000000071</v>
      </c>
      <c r="O562" s="104">
        <f t="shared" si="78"/>
        <v>1.016</v>
      </c>
      <c r="P562" s="105">
        <f t="shared" si="85"/>
        <v>9.2456000000000653</v>
      </c>
    </row>
    <row r="563" spans="2:16" x14ac:dyDescent="0.25">
      <c r="B563" s="88" t="str">
        <f t="shared" si="87"/>
        <v>Sitio Santa Lúcia</v>
      </c>
      <c r="C563" s="106">
        <f t="shared" si="86"/>
        <v>2020</v>
      </c>
      <c r="D563" s="101">
        <v>44122</v>
      </c>
      <c r="E563" s="102">
        <v>0.45833333333333331</v>
      </c>
      <c r="F563" s="102">
        <v>0.5</v>
      </c>
      <c r="G563" s="103">
        <v>0.29166666666666702</v>
      </c>
      <c r="H563" s="103">
        <v>0.33333333333333398</v>
      </c>
      <c r="I563" s="90">
        <f t="shared" ref="I563:I626" si="89">((F563-E563)-INT($D$20))*24</f>
        <v>1.0000000000000004</v>
      </c>
      <c r="J563" s="90">
        <f t="shared" si="88"/>
        <v>1.0000000000000071</v>
      </c>
      <c r="K563" s="91">
        <f t="shared" si="80"/>
        <v>0.95833333333333348</v>
      </c>
      <c r="L563" s="91">
        <f t="shared" si="81"/>
        <v>3.9583333333333339</v>
      </c>
      <c r="M563" s="29">
        <f t="shared" si="83"/>
        <v>13</v>
      </c>
      <c r="N563" s="92">
        <f t="shared" si="84"/>
        <v>1.0000000000000004</v>
      </c>
      <c r="O563" s="104">
        <f t="shared" si="78"/>
        <v>1.016</v>
      </c>
      <c r="P563" s="105">
        <f t="shared" si="85"/>
        <v>9.2456000000000031</v>
      </c>
    </row>
    <row r="564" spans="2:16" x14ac:dyDescent="0.25">
      <c r="B564" s="88" t="str">
        <f t="shared" si="87"/>
        <v>Sitio Santa Lúcia</v>
      </c>
      <c r="C564" s="106">
        <f t="shared" si="86"/>
        <v>2020</v>
      </c>
      <c r="D564" s="101">
        <v>44123</v>
      </c>
      <c r="E564" s="102">
        <v>0.29166666666666702</v>
      </c>
      <c r="F564" s="103">
        <v>0.33333333333333398</v>
      </c>
      <c r="G564" s="102">
        <v>0.375</v>
      </c>
      <c r="H564" s="103">
        <v>0.4375</v>
      </c>
      <c r="I564" s="90">
        <f t="shared" si="89"/>
        <v>1.0000000000000071</v>
      </c>
      <c r="J564" s="90">
        <f t="shared" si="88"/>
        <v>1.5</v>
      </c>
      <c r="K564" s="91">
        <f t="shared" si="80"/>
        <v>0.95833333333333348</v>
      </c>
      <c r="L564" s="91">
        <f t="shared" si="81"/>
        <v>3.9583333333333339</v>
      </c>
      <c r="M564" s="29">
        <f t="shared" si="83"/>
        <v>13</v>
      </c>
      <c r="N564" s="92">
        <f t="shared" si="84"/>
        <v>1.0000000000000071</v>
      </c>
      <c r="O564" s="104">
        <f t="shared" si="78"/>
        <v>1.016</v>
      </c>
      <c r="P564" s="105">
        <f t="shared" si="85"/>
        <v>9.2456000000000653</v>
      </c>
    </row>
    <row r="565" spans="2:16" x14ac:dyDescent="0.25">
      <c r="B565" s="88" t="str">
        <f t="shared" si="87"/>
        <v>Sitio Santa Lúcia</v>
      </c>
      <c r="C565" s="106">
        <f t="shared" si="86"/>
        <v>2020</v>
      </c>
      <c r="D565" s="101">
        <v>44124</v>
      </c>
      <c r="E565" s="102">
        <v>0.32291666666666669</v>
      </c>
      <c r="F565" s="103">
        <v>0.3611111111111111</v>
      </c>
      <c r="G565" s="102">
        <v>0.33333333333333398</v>
      </c>
      <c r="H565" s="103">
        <v>0.40972222222222227</v>
      </c>
      <c r="I565" s="90">
        <f t="shared" si="89"/>
        <v>0.91666666666666607</v>
      </c>
      <c r="J565" s="90">
        <f t="shared" si="88"/>
        <v>1.8333333333333188</v>
      </c>
      <c r="K565" s="91">
        <f t="shared" si="80"/>
        <v>0.95833333333333348</v>
      </c>
      <c r="L565" s="91">
        <f t="shared" si="81"/>
        <v>3.9583333333333339</v>
      </c>
      <c r="M565" s="29">
        <f t="shared" si="83"/>
        <v>13</v>
      </c>
      <c r="N565" s="92">
        <f t="shared" si="84"/>
        <v>0.91666666666666607</v>
      </c>
      <c r="O565" s="104">
        <f t="shared" si="78"/>
        <v>1.016</v>
      </c>
      <c r="P565" s="105">
        <f t="shared" si="85"/>
        <v>8.4751333333333267</v>
      </c>
    </row>
    <row r="566" spans="2:16" x14ac:dyDescent="0.25">
      <c r="B566" s="88" t="str">
        <f t="shared" si="87"/>
        <v>Sitio Santa Lúcia</v>
      </c>
      <c r="C566" s="106">
        <f t="shared" si="86"/>
        <v>2020</v>
      </c>
      <c r="D566" s="101">
        <v>44125</v>
      </c>
      <c r="E566" s="103">
        <v>0.27083333333333331</v>
      </c>
      <c r="F566" s="103">
        <v>0.38194444444444442</v>
      </c>
      <c r="G566" s="102">
        <v>0.25</v>
      </c>
      <c r="H566" s="103">
        <v>0.33333333333333398</v>
      </c>
      <c r="I566" s="90">
        <f t="shared" si="89"/>
        <v>2.6666666666666665</v>
      </c>
      <c r="J566" s="90">
        <f t="shared" si="88"/>
        <v>2.0000000000000155</v>
      </c>
      <c r="K566" s="91">
        <f t="shared" si="80"/>
        <v>0.95833333333333348</v>
      </c>
      <c r="L566" s="91">
        <f t="shared" si="81"/>
        <v>3.9583333333333339</v>
      </c>
      <c r="M566" s="29">
        <f t="shared" si="83"/>
        <v>13</v>
      </c>
      <c r="N566" s="92">
        <f t="shared" si="84"/>
        <v>2.6666666666666665</v>
      </c>
      <c r="O566" s="104">
        <f t="shared" si="78"/>
        <v>1.016</v>
      </c>
      <c r="P566" s="105">
        <f t="shared" si="85"/>
        <v>24.654933333333332</v>
      </c>
    </row>
    <row r="567" spans="2:16" x14ac:dyDescent="0.25">
      <c r="B567" s="88" t="str">
        <f t="shared" si="87"/>
        <v>Sitio Santa Lúcia</v>
      </c>
      <c r="C567" s="106">
        <f t="shared" si="86"/>
        <v>2020</v>
      </c>
      <c r="D567" s="101">
        <v>44126</v>
      </c>
      <c r="E567" s="102">
        <v>0.375</v>
      </c>
      <c r="F567" s="102">
        <v>0.45833333333333331</v>
      </c>
      <c r="G567" s="102">
        <v>0.39583333333333331</v>
      </c>
      <c r="H567" s="102">
        <v>0.47916666666666669</v>
      </c>
      <c r="I567" s="90">
        <f t="shared" si="89"/>
        <v>1.9999999999999996</v>
      </c>
      <c r="J567" s="90">
        <f t="shared" si="88"/>
        <v>2.0000000000000009</v>
      </c>
      <c r="K567" s="91">
        <f t="shared" ref="K567:K630" si="90">VLOOKUP(B567,$B$5:$J$17,5,FALSE)</f>
        <v>0.95833333333333348</v>
      </c>
      <c r="L567" s="91">
        <f t="shared" ref="L567:L630" si="91">VLOOKUP(B567,$B$5:$J$17,6,FALSE)</f>
        <v>3.9583333333333339</v>
      </c>
      <c r="M567" s="29">
        <f t="shared" si="83"/>
        <v>13</v>
      </c>
      <c r="N567" s="92">
        <f t="shared" si="84"/>
        <v>1.9999999999999996</v>
      </c>
      <c r="O567" s="104">
        <f t="shared" si="78"/>
        <v>1.016</v>
      </c>
      <c r="P567" s="105">
        <f t="shared" si="85"/>
        <v>18.491199999999996</v>
      </c>
    </row>
    <row r="568" spans="2:16" x14ac:dyDescent="0.25">
      <c r="B568" s="88" t="str">
        <f t="shared" si="87"/>
        <v>Sitio Santa Lúcia</v>
      </c>
      <c r="C568" s="106">
        <f t="shared" si="86"/>
        <v>2020</v>
      </c>
      <c r="D568" s="101">
        <v>44127</v>
      </c>
      <c r="E568" s="102">
        <v>0.27083333333333331</v>
      </c>
      <c r="F568" s="103">
        <v>0.41666666666666669</v>
      </c>
      <c r="G568" s="103">
        <v>0.25</v>
      </c>
      <c r="H568" s="103">
        <v>0.4513888888888889</v>
      </c>
      <c r="I568" s="90">
        <f t="shared" si="89"/>
        <v>3.5000000000000009</v>
      </c>
      <c r="J568" s="90">
        <f t="shared" si="88"/>
        <v>4.8333333333333339</v>
      </c>
      <c r="K568" s="91">
        <f t="shared" si="90"/>
        <v>0.95833333333333348</v>
      </c>
      <c r="L568" s="91">
        <f t="shared" si="91"/>
        <v>3.9583333333333339</v>
      </c>
      <c r="M568" s="29">
        <f t="shared" si="83"/>
        <v>13</v>
      </c>
      <c r="N568" s="92">
        <f t="shared" si="84"/>
        <v>3.5000000000000009</v>
      </c>
      <c r="O568" s="104">
        <f t="shared" si="78"/>
        <v>1.016</v>
      </c>
      <c r="P568" s="105">
        <f t="shared" si="85"/>
        <v>32.359600000000007</v>
      </c>
    </row>
    <row r="569" spans="2:16" x14ac:dyDescent="0.25">
      <c r="B569" s="88" t="str">
        <f t="shared" si="87"/>
        <v>Sitio Santa Lúcia</v>
      </c>
      <c r="C569" s="106">
        <f t="shared" si="86"/>
        <v>2020</v>
      </c>
      <c r="D569" s="101">
        <v>44128</v>
      </c>
      <c r="E569" s="103">
        <v>0.29166666666666702</v>
      </c>
      <c r="F569" s="103">
        <v>0.35416666666666669</v>
      </c>
      <c r="G569" s="102">
        <v>0.41666666666666669</v>
      </c>
      <c r="H569" s="102">
        <v>0.5</v>
      </c>
      <c r="I569" s="90">
        <f t="shared" si="89"/>
        <v>1.499999999999992</v>
      </c>
      <c r="J569" s="90">
        <f t="shared" si="88"/>
        <v>1.9999999999999996</v>
      </c>
      <c r="K569" s="91">
        <f t="shared" si="90"/>
        <v>0.95833333333333348</v>
      </c>
      <c r="L569" s="91">
        <f t="shared" si="91"/>
        <v>3.9583333333333339</v>
      </c>
      <c r="M569" s="29">
        <f t="shared" si="83"/>
        <v>13</v>
      </c>
      <c r="N569" s="92">
        <f t="shared" si="84"/>
        <v>1.499999999999992</v>
      </c>
      <c r="O569" s="104">
        <f t="shared" si="78"/>
        <v>1.016</v>
      </c>
      <c r="P569" s="105">
        <f t="shared" si="85"/>
        <v>13.868399999999925</v>
      </c>
    </row>
    <row r="570" spans="2:16" x14ac:dyDescent="0.25">
      <c r="B570" s="88" t="str">
        <f t="shared" si="87"/>
        <v>Sitio Santa Lúcia</v>
      </c>
      <c r="C570" s="106">
        <f t="shared" si="86"/>
        <v>2020</v>
      </c>
      <c r="D570" s="101">
        <v>44129</v>
      </c>
      <c r="E570" s="102">
        <v>0</v>
      </c>
      <c r="F570" s="102">
        <v>0</v>
      </c>
      <c r="G570" s="102">
        <v>0</v>
      </c>
      <c r="H570" s="102">
        <v>0</v>
      </c>
      <c r="I570" s="90">
        <f t="shared" si="89"/>
        <v>0</v>
      </c>
      <c r="J570" s="90">
        <f t="shared" si="88"/>
        <v>0</v>
      </c>
      <c r="K570" s="91">
        <f t="shared" si="90"/>
        <v>0.95833333333333348</v>
      </c>
      <c r="L570" s="91">
        <f t="shared" si="91"/>
        <v>3.9583333333333339</v>
      </c>
      <c r="M570" s="29">
        <f t="shared" si="83"/>
        <v>13</v>
      </c>
      <c r="N570" s="92">
        <f t="shared" si="84"/>
        <v>0</v>
      </c>
      <c r="O570" s="104">
        <f t="shared" si="78"/>
        <v>1.016</v>
      </c>
      <c r="P570" s="105">
        <f t="shared" si="85"/>
        <v>0</v>
      </c>
    </row>
    <row r="571" spans="2:16" x14ac:dyDescent="0.25">
      <c r="B571" s="88" t="str">
        <f t="shared" si="87"/>
        <v>Sitio Santa Lúcia</v>
      </c>
      <c r="C571" s="106">
        <f t="shared" si="86"/>
        <v>2020</v>
      </c>
      <c r="D571" s="101">
        <v>44130</v>
      </c>
      <c r="E571" s="102">
        <v>0.25</v>
      </c>
      <c r="F571" s="103">
        <v>0.41666666666666669</v>
      </c>
      <c r="G571" s="103">
        <v>0.33333333333333398</v>
      </c>
      <c r="H571" s="103">
        <v>0.45833333333333331</v>
      </c>
      <c r="I571" s="90">
        <f t="shared" si="89"/>
        <v>4</v>
      </c>
      <c r="J571" s="90">
        <f t="shared" si="88"/>
        <v>2.999999999999984</v>
      </c>
      <c r="K571" s="91">
        <f t="shared" si="90"/>
        <v>0.95833333333333348</v>
      </c>
      <c r="L571" s="91">
        <f t="shared" si="91"/>
        <v>3.9583333333333339</v>
      </c>
      <c r="M571" s="29">
        <f t="shared" si="83"/>
        <v>13</v>
      </c>
      <c r="N571" s="92">
        <f t="shared" si="84"/>
        <v>4</v>
      </c>
      <c r="O571" s="104">
        <f t="shared" si="78"/>
        <v>1.016</v>
      </c>
      <c r="P571" s="105">
        <f t="shared" si="85"/>
        <v>36.982399999999998</v>
      </c>
    </row>
    <row r="572" spans="2:16" x14ac:dyDescent="0.25">
      <c r="B572" s="88" t="str">
        <f t="shared" si="87"/>
        <v>Sitio Santa Lúcia</v>
      </c>
      <c r="C572" s="106">
        <f t="shared" si="86"/>
        <v>2020</v>
      </c>
      <c r="D572" s="101">
        <v>44131</v>
      </c>
      <c r="E572" s="102">
        <v>0.375</v>
      </c>
      <c r="F572" s="102">
        <v>0.4375</v>
      </c>
      <c r="G572" s="102">
        <v>0.25</v>
      </c>
      <c r="H572" s="102">
        <v>0.41666666666666669</v>
      </c>
      <c r="I572" s="90">
        <f t="shared" si="89"/>
        <v>1.5</v>
      </c>
      <c r="J572" s="90">
        <f t="shared" si="88"/>
        <v>4</v>
      </c>
      <c r="K572" s="91">
        <f t="shared" si="90"/>
        <v>0.95833333333333348</v>
      </c>
      <c r="L572" s="91">
        <f t="shared" si="91"/>
        <v>3.9583333333333339</v>
      </c>
      <c r="M572" s="29">
        <f t="shared" si="83"/>
        <v>13</v>
      </c>
      <c r="N572" s="92">
        <f t="shared" si="84"/>
        <v>1.5</v>
      </c>
      <c r="O572" s="104">
        <f t="shared" si="78"/>
        <v>1.016</v>
      </c>
      <c r="P572" s="105">
        <f t="shared" si="85"/>
        <v>13.868399999999999</v>
      </c>
    </row>
    <row r="573" spans="2:16" x14ac:dyDescent="0.25">
      <c r="B573" s="88" t="str">
        <f t="shared" si="87"/>
        <v>Sitio Santa Lúcia</v>
      </c>
      <c r="C573" s="106">
        <f t="shared" si="86"/>
        <v>2020</v>
      </c>
      <c r="D573" s="101">
        <v>44132</v>
      </c>
      <c r="E573" s="103">
        <v>0.25</v>
      </c>
      <c r="F573" s="103">
        <v>0.33333333333333398</v>
      </c>
      <c r="G573" s="102">
        <v>0.35416666666666669</v>
      </c>
      <c r="H573" s="103">
        <v>0.40972222222222227</v>
      </c>
      <c r="I573" s="90">
        <f t="shared" si="89"/>
        <v>2.0000000000000155</v>
      </c>
      <c r="J573" s="90">
        <f t="shared" si="88"/>
        <v>1.3333333333333339</v>
      </c>
      <c r="K573" s="91">
        <f t="shared" si="90"/>
        <v>0.95833333333333348</v>
      </c>
      <c r="L573" s="91">
        <f t="shared" si="91"/>
        <v>3.9583333333333339</v>
      </c>
      <c r="M573" s="29">
        <f t="shared" si="83"/>
        <v>13</v>
      </c>
      <c r="N573" s="92">
        <f t="shared" si="84"/>
        <v>2.0000000000000155</v>
      </c>
      <c r="O573" s="104">
        <f t="shared" si="78"/>
        <v>1.016</v>
      </c>
      <c r="P573" s="105">
        <f t="shared" si="85"/>
        <v>18.491200000000145</v>
      </c>
    </row>
    <row r="574" spans="2:16" x14ac:dyDescent="0.25">
      <c r="B574" s="88" t="str">
        <f t="shared" si="87"/>
        <v>Sitio Santa Lúcia</v>
      </c>
      <c r="C574" s="106">
        <f t="shared" si="86"/>
        <v>2020</v>
      </c>
      <c r="D574" s="101">
        <v>44133</v>
      </c>
      <c r="E574" s="102">
        <v>0.41666666666666669</v>
      </c>
      <c r="F574" s="102">
        <v>0.5</v>
      </c>
      <c r="G574" s="103">
        <v>0.29166666666666702</v>
      </c>
      <c r="H574" s="103">
        <v>0.36805555555555558</v>
      </c>
      <c r="I574" s="90">
        <f t="shared" si="89"/>
        <v>1.9999999999999996</v>
      </c>
      <c r="J574" s="90">
        <f t="shared" si="88"/>
        <v>1.8333333333333255</v>
      </c>
      <c r="K574" s="91">
        <f t="shared" si="90"/>
        <v>0.95833333333333348</v>
      </c>
      <c r="L574" s="91">
        <f t="shared" si="91"/>
        <v>3.9583333333333339</v>
      </c>
      <c r="M574" s="29">
        <f t="shared" si="83"/>
        <v>13</v>
      </c>
      <c r="N574" s="92">
        <f t="shared" si="84"/>
        <v>1.9999999999999996</v>
      </c>
      <c r="O574" s="104">
        <f t="shared" si="78"/>
        <v>1.016</v>
      </c>
      <c r="P574" s="105">
        <f t="shared" si="85"/>
        <v>18.491199999999996</v>
      </c>
    </row>
    <row r="575" spans="2:16" x14ac:dyDescent="0.25">
      <c r="B575" s="88" t="str">
        <f t="shared" si="87"/>
        <v>Sitio Santa Lúcia</v>
      </c>
      <c r="C575" s="106">
        <f t="shared" si="86"/>
        <v>2020</v>
      </c>
      <c r="D575" s="101">
        <v>44134</v>
      </c>
      <c r="E575" s="103">
        <v>0.41666666666666669</v>
      </c>
      <c r="F575" s="103">
        <v>0.45833333333333331</v>
      </c>
      <c r="G575" s="102">
        <v>0.3125</v>
      </c>
      <c r="H575" s="103">
        <v>0.41666666666666669</v>
      </c>
      <c r="I575" s="90">
        <f t="shared" si="89"/>
        <v>0.99999999999999911</v>
      </c>
      <c r="J575" s="90">
        <f t="shared" si="88"/>
        <v>2.5000000000000004</v>
      </c>
      <c r="K575" s="91">
        <f t="shared" si="90"/>
        <v>0.95833333333333348</v>
      </c>
      <c r="L575" s="91">
        <f t="shared" si="91"/>
        <v>3.9583333333333339</v>
      </c>
      <c r="M575" s="29">
        <f t="shared" si="83"/>
        <v>13</v>
      </c>
      <c r="N575" s="92">
        <f t="shared" si="84"/>
        <v>0.99999999999999911</v>
      </c>
      <c r="O575" s="104">
        <f t="shared" si="78"/>
        <v>1.016</v>
      </c>
      <c r="P575" s="105">
        <f t="shared" si="85"/>
        <v>9.2455999999999925</v>
      </c>
    </row>
    <row r="576" spans="2:16" x14ac:dyDescent="0.25">
      <c r="B576" s="88" t="str">
        <f t="shared" si="87"/>
        <v>Sitio Santa Lúcia</v>
      </c>
      <c r="C576" s="106">
        <f t="shared" si="86"/>
        <v>2020</v>
      </c>
      <c r="D576" s="101">
        <v>44135</v>
      </c>
      <c r="E576" s="102">
        <v>0.29166666666666702</v>
      </c>
      <c r="F576" s="102">
        <v>0.34722222222222227</v>
      </c>
      <c r="G576" s="103">
        <v>0.36805555555555558</v>
      </c>
      <c r="H576" s="103">
        <v>0.41666666666666669</v>
      </c>
      <c r="I576" s="90">
        <f t="shared" si="89"/>
        <v>1.3333333333333259</v>
      </c>
      <c r="J576" s="90">
        <f t="shared" si="88"/>
        <v>1.1666666666666665</v>
      </c>
      <c r="K576" s="91">
        <f t="shared" si="90"/>
        <v>0.95833333333333348</v>
      </c>
      <c r="L576" s="91">
        <f t="shared" si="91"/>
        <v>3.9583333333333339</v>
      </c>
      <c r="M576" s="29">
        <f t="shared" ref="M576:M637" si="92">VLOOKUP(B576,$I$5:$J$17,2,FALSE)</f>
        <v>13</v>
      </c>
      <c r="N576" s="92">
        <f t="shared" ref="N576:N637" si="93">I576</f>
        <v>1.3333333333333259</v>
      </c>
      <c r="O576" s="104">
        <f t="shared" si="78"/>
        <v>1.016</v>
      </c>
      <c r="P576" s="105">
        <f t="shared" ref="P576:P637" si="94">M576*N576*O576*0.7</f>
        <v>12.327466666666597</v>
      </c>
    </row>
    <row r="577" spans="2:16" x14ac:dyDescent="0.25">
      <c r="B577" s="88" t="str">
        <f t="shared" si="87"/>
        <v>Sitio Santa Lúcia</v>
      </c>
      <c r="C577" s="106">
        <f t="shared" si="86"/>
        <v>2020</v>
      </c>
      <c r="D577" s="101">
        <v>44136</v>
      </c>
      <c r="E577" s="102">
        <v>0.29166666666666702</v>
      </c>
      <c r="F577" s="103">
        <v>0.375</v>
      </c>
      <c r="G577" s="102">
        <v>0.41666666666666669</v>
      </c>
      <c r="H577" s="102">
        <v>0.5</v>
      </c>
      <c r="I577" s="90">
        <f t="shared" si="89"/>
        <v>1.9999999999999916</v>
      </c>
      <c r="J577" s="90">
        <f t="shared" si="88"/>
        <v>1.9999999999999996</v>
      </c>
      <c r="K577" s="91">
        <f t="shared" si="90"/>
        <v>0.95833333333333348</v>
      </c>
      <c r="L577" s="91">
        <f t="shared" si="91"/>
        <v>3.9583333333333339</v>
      </c>
      <c r="M577" s="29">
        <f t="shared" si="92"/>
        <v>13</v>
      </c>
      <c r="N577" s="92">
        <f t="shared" si="93"/>
        <v>1.9999999999999916</v>
      </c>
      <c r="O577" s="104">
        <f t="shared" si="78"/>
        <v>1.016</v>
      </c>
      <c r="P577" s="105">
        <f t="shared" si="94"/>
        <v>18.491199999999921</v>
      </c>
    </row>
    <row r="578" spans="2:16" x14ac:dyDescent="0.25">
      <c r="B578" s="88" t="str">
        <f t="shared" si="87"/>
        <v>Sitio Santa Lúcia</v>
      </c>
      <c r="C578" s="106">
        <f t="shared" si="86"/>
        <v>2020</v>
      </c>
      <c r="D578" s="101">
        <v>44137</v>
      </c>
      <c r="E578" s="102">
        <v>0.27083333333333331</v>
      </c>
      <c r="F578" s="103">
        <v>0.45833333333333331</v>
      </c>
      <c r="G578" s="103">
        <v>0.29166666666666702</v>
      </c>
      <c r="H578" s="103">
        <v>0.33333333333333398</v>
      </c>
      <c r="I578" s="90">
        <f t="shared" si="89"/>
        <v>4.5</v>
      </c>
      <c r="J578" s="90">
        <f t="shared" si="88"/>
        <v>1.0000000000000071</v>
      </c>
      <c r="K578" s="91">
        <f t="shared" si="90"/>
        <v>0.95833333333333348</v>
      </c>
      <c r="L578" s="91">
        <f t="shared" si="91"/>
        <v>3.9583333333333339</v>
      </c>
      <c r="M578" s="29">
        <f t="shared" si="92"/>
        <v>13</v>
      </c>
      <c r="N578" s="92">
        <f t="shared" si="93"/>
        <v>4.5</v>
      </c>
      <c r="O578" s="104">
        <f t="shared" si="78"/>
        <v>1.016</v>
      </c>
      <c r="P578" s="105">
        <f t="shared" si="94"/>
        <v>41.605199999999996</v>
      </c>
    </row>
    <row r="579" spans="2:16" x14ac:dyDescent="0.25">
      <c r="B579" s="88" t="str">
        <f t="shared" si="87"/>
        <v>Sitio Santa Lúcia</v>
      </c>
      <c r="C579" s="106">
        <f t="shared" si="86"/>
        <v>2020</v>
      </c>
      <c r="D579" s="101">
        <v>44138</v>
      </c>
      <c r="E579" s="103">
        <v>0.33333333333333398</v>
      </c>
      <c r="F579" s="103">
        <v>0.41666666666666669</v>
      </c>
      <c r="G579" s="102">
        <v>0.35416666666666669</v>
      </c>
      <c r="H579" s="103">
        <v>0.4375</v>
      </c>
      <c r="I579" s="90">
        <f t="shared" si="89"/>
        <v>1.9999999999999849</v>
      </c>
      <c r="J579" s="90">
        <f t="shared" si="88"/>
        <v>1.9999999999999996</v>
      </c>
      <c r="K579" s="91">
        <f t="shared" si="90"/>
        <v>0.95833333333333348</v>
      </c>
      <c r="L579" s="91">
        <f t="shared" si="91"/>
        <v>3.9583333333333339</v>
      </c>
      <c r="M579" s="29">
        <f t="shared" si="92"/>
        <v>13</v>
      </c>
      <c r="N579" s="92">
        <f t="shared" si="93"/>
        <v>1.9999999999999849</v>
      </c>
      <c r="O579" s="104">
        <f t="shared" si="78"/>
        <v>1.016</v>
      </c>
      <c r="P579" s="105">
        <f t="shared" si="94"/>
        <v>18.491199999999861</v>
      </c>
    </row>
    <row r="580" spans="2:16" x14ac:dyDescent="0.25">
      <c r="B580" s="88" t="str">
        <f t="shared" si="87"/>
        <v>Sitio Santa Lúcia</v>
      </c>
      <c r="C580" s="106">
        <f t="shared" si="86"/>
        <v>2020</v>
      </c>
      <c r="D580" s="101">
        <v>44139</v>
      </c>
      <c r="E580" s="103">
        <v>0.375</v>
      </c>
      <c r="F580" s="103">
        <v>0.4513888888888889</v>
      </c>
      <c r="G580" s="102">
        <v>0.27083333333333331</v>
      </c>
      <c r="H580" s="103">
        <v>0.4513888888888889</v>
      </c>
      <c r="I580" s="90">
        <f t="shared" si="89"/>
        <v>1.8333333333333335</v>
      </c>
      <c r="J580" s="90">
        <f t="shared" si="88"/>
        <v>4.3333333333333339</v>
      </c>
      <c r="K580" s="91">
        <f t="shared" si="90"/>
        <v>0.95833333333333348</v>
      </c>
      <c r="L580" s="91">
        <f t="shared" si="91"/>
        <v>3.9583333333333339</v>
      </c>
      <c r="M580" s="29">
        <f t="shared" si="92"/>
        <v>13</v>
      </c>
      <c r="N580" s="92">
        <f t="shared" si="93"/>
        <v>1.8333333333333335</v>
      </c>
      <c r="O580" s="104">
        <f t="shared" si="78"/>
        <v>1.016</v>
      </c>
      <c r="P580" s="105">
        <f t="shared" si="94"/>
        <v>16.950266666666668</v>
      </c>
    </row>
    <row r="581" spans="2:16" x14ac:dyDescent="0.25">
      <c r="B581" s="88" t="str">
        <f t="shared" si="87"/>
        <v>Sitio Santa Lúcia</v>
      </c>
      <c r="C581" s="106">
        <f t="shared" si="86"/>
        <v>2020</v>
      </c>
      <c r="D581" s="101">
        <v>44140</v>
      </c>
      <c r="E581" s="103">
        <v>0.41666666666666669</v>
      </c>
      <c r="F581" s="103">
        <v>0.5</v>
      </c>
      <c r="G581" s="102">
        <v>0.29166666666666702</v>
      </c>
      <c r="H581" s="102">
        <v>0.39583333333333331</v>
      </c>
      <c r="I581" s="90">
        <f t="shared" si="89"/>
        <v>1.9999999999999996</v>
      </c>
      <c r="J581" s="90">
        <f t="shared" si="88"/>
        <v>2.4999999999999911</v>
      </c>
      <c r="K581" s="91">
        <f t="shared" si="90"/>
        <v>0.95833333333333348</v>
      </c>
      <c r="L581" s="91">
        <f t="shared" si="91"/>
        <v>3.9583333333333339</v>
      </c>
      <c r="M581" s="29">
        <f t="shared" si="92"/>
        <v>13</v>
      </c>
      <c r="N581" s="92">
        <f t="shared" si="93"/>
        <v>1.9999999999999996</v>
      </c>
      <c r="O581" s="104">
        <f t="shared" si="78"/>
        <v>1.016</v>
      </c>
      <c r="P581" s="105">
        <f t="shared" si="94"/>
        <v>18.491199999999996</v>
      </c>
    </row>
    <row r="582" spans="2:16" x14ac:dyDescent="0.25">
      <c r="B582" s="88" t="str">
        <f t="shared" si="87"/>
        <v>Sitio Santa Lúcia</v>
      </c>
      <c r="C582" s="106">
        <f t="shared" si="86"/>
        <v>2020</v>
      </c>
      <c r="D582" s="101">
        <v>44141</v>
      </c>
      <c r="E582" s="103">
        <v>0.39583333333333331</v>
      </c>
      <c r="F582" s="103">
        <v>0.45833333333333331</v>
      </c>
      <c r="G582" s="103">
        <v>0.25</v>
      </c>
      <c r="H582" s="103">
        <v>0.33333333333333398</v>
      </c>
      <c r="I582" s="90">
        <f t="shared" si="89"/>
        <v>1.5</v>
      </c>
      <c r="J582" s="90">
        <f t="shared" si="88"/>
        <v>2.0000000000000155</v>
      </c>
      <c r="K582" s="91">
        <f t="shared" si="90"/>
        <v>0.95833333333333348</v>
      </c>
      <c r="L582" s="91">
        <f t="shared" si="91"/>
        <v>3.9583333333333339</v>
      </c>
      <c r="M582" s="29">
        <f t="shared" si="92"/>
        <v>13</v>
      </c>
      <c r="N582" s="92">
        <f t="shared" si="93"/>
        <v>1.5</v>
      </c>
      <c r="O582" s="104">
        <f t="shared" si="78"/>
        <v>1.016</v>
      </c>
      <c r="P582" s="105">
        <f t="shared" si="94"/>
        <v>13.868399999999999</v>
      </c>
    </row>
    <row r="583" spans="2:16" x14ac:dyDescent="0.25">
      <c r="B583" s="88" t="str">
        <f t="shared" si="87"/>
        <v>Sitio Santa Lúcia</v>
      </c>
      <c r="C583" s="106">
        <f t="shared" si="86"/>
        <v>2020</v>
      </c>
      <c r="D583" s="101">
        <v>44142</v>
      </c>
      <c r="E583" s="102">
        <v>0.3125</v>
      </c>
      <c r="F583" s="103">
        <v>0.48958333333333331</v>
      </c>
      <c r="G583" s="102">
        <v>0.41666666666666669</v>
      </c>
      <c r="H583" s="103">
        <v>0.5</v>
      </c>
      <c r="I583" s="90">
        <f t="shared" si="89"/>
        <v>4.25</v>
      </c>
      <c r="J583" s="90">
        <f t="shared" si="88"/>
        <v>1.9999999999999996</v>
      </c>
      <c r="K583" s="91">
        <f t="shared" si="90"/>
        <v>0.95833333333333348</v>
      </c>
      <c r="L583" s="91">
        <f t="shared" si="91"/>
        <v>3.9583333333333339</v>
      </c>
      <c r="M583" s="29">
        <f t="shared" si="92"/>
        <v>13</v>
      </c>
      <c r="N583" s="92">
        <f t="shared" si="93"/>
        <v>4.25</v>
      </c>
      <c r="O583" s="104">
        <f t="shared" si="78"/>
        <v>1.016</v>
      </c>
      <c r="P583" s="105">
        <f t="shared" si="94"/>
        <v>39.293799999999997</v>
      </c>
    </row>
    <row r="584" spans="2:16" x14ac:dyDescent="0.25">
      <c r="B584" s="88" t="str">
        <f t="shared" si="87"/>
        <v>Sitio Santa Lúcia</v>
      </c>
      <c r="C584" s="106">
        <f t="shared" si="86"/>
        <v>2020</v>
      </c>
      <c r="D584" s="101">
        <v>44143</v>
      </c>
      <c r="E584" s="103">
        <v>0.25</v>
      </c>
      <c r="F584" s="103">
        <v>0.33333333333333398</v>
      </c>
      <c r="G584" s="102">
        <v>0.375</v>
      </c>
      <c r="H584" s="103">
        <v>0.4375</v>
      </c>
      <c r="I584" s="90">
        <f t="shared" si="89"/>
        <v>2.0000000000000155</v>
      </c>
      <c r="J584" s="90">
        <f t="shared" si="88"/>
        <v>1.5</v>
      </c>
      <c r="K584" s="91">
        <f t="shared" si="90"/>
        <v>0.95833333333333348</v>
      </c>
      <c r="L584" s="91">
        <f t="shared" si="91"/>
        <v>3.9583333333333339</v>
      </c>
      <c r="M584" s="29">
        <f t="shared" si="92"/>
        <v>13</v>
      </c>
      <c r="N584" s="92">
        <f t="shared" si="93"/>
        <v>2.0000000000000155</v>
      </c>
      <c r="O584" s="104">
        <f t="shared" si="78"/>
        <v>1.016</v>
      </c>
      <c r="P584" s="105">
        <f t="shared" si="94"/>
        <v>18.491200000000145</v>
      </c>
    </row>
    <row r="585" spans="2:16" x14ac:dyDescent="0.25">
      <c r="B585" s="88" t="str">
        <f t="shared" si="87"/>
        <v>Sitio Santa Lúcia</v>
      </c>
      <c r="C585" s="106">
        <f t="shared" si="86"/>
        <v>2020</v>
      </c>
      <c r="D585" s="101">
        <v>44144</v>
      </c>
      <c r="E585" s="102">
        <v>0.35416666666666669</v>
      </c>
      <c r="F585" s="103">
        <v>0.40277777777777773</v>
      </c>
      <c r="G585" s="102">
        <v>0.39583333333333331</v>
      </c>
      <c r="H585" s="102">
        <v>0.45833333333333331</v>
      </c>
      <c r="I585" s="90">
        <f t="shared" si="89"/>
        <v>1.1666666666666652</v>
      </c>
      <c r="J585" s="90">
        <f t="shared" si="88"/>
        <v>1.5</v>
      </c>
      <c r="K585" s="91">
        <f t="shared" si="90"/>
        <v>0.95833333333333348</v>
      </c>
      <c r="L585" s="91">
        <f t="shared" si="91"/>
        <v>3.9583333333333339</v>
      </c>
      <c r="M585" s="29">
        <f t="shared" si="92"/>
        <v>13</v>
      </c>
      <c r="N585" s="92">
        <f t="shared" si="93"/>
        <v>1.1666666666666652</v>
      </c>
      <c r="O585" s="104">
        <f t="shared" si="78"/>
        <v>1.016</v>
      </c>
      <c r="P585" s="105">
        <f t="shared" si="94"/>
        <v>10.786533333333319</v>
      </c>
    </row>
    <row r="586" spans="2:16" x14ac:dyDescent="0.25">
      <c r="B586" s="88" t="str">
        <f t="shared" si="87"/>
        <v>Sitio Santa Lúcia</v>
      </c>
      <c r="C586" s="106">
        <f t="shared" si="86"/>
        <v>2020</v>
      </c>
      <c r="D586" s="101">
        <v>44145</v>
      </c>
      <c r="E586" s="103">
        <v>0.29166666666666702</v>
      </c>
      <c r="F586" s="103">
        <v>0.41666666666666669</v>
      </c>
      <c r="G586" s="103">
        <v>0.3125</v>
      </c>
      <c r="H586" s="103">
        <v>0.44444444444444442</v>
      </c>
      <c r="I586" s="90">
        <f t="shared" si="89"/>
        <v>2.999999999999992</v>
      </c>
      <c r="J586" s="90">
        <f t="shared" si="88"/>
        <v>3.1666666666666661</v>
      </c>
      <c r="K586" s="91">
        <f t="shared" si="90"/>
        <v>0.95833333333333348</v>
      </c>
      <c r="L586" s="91">
        <f t="shared" si="91"/>
        <v>3.9583333333333339</v>
      </c>
      <c r="M586" s="29">
        <f t="shared" si="92"/>
        <v>13</v>
      </c>
      <c r="N586" s="92">
        <f t="shared" si="93"/>
        <v>2.999999999999992</v>
      </c>
      <c r="O586" s="104">
        <f t="shared" si="78"/>
        <v>1.016</v>
      </c>
      <c r="P586" s="105">
        <f t="shared" si="94"/>
        <v>27.736799999999924</v>
      </c>
    </row>
    <row r="587" spans="2:16" x14ac:dyDescent="0.25">
      <c r="B587" s="88" t="str">
        <f t="shared" si="87"/>
        <v>Sitio Santa Lúcia</v>
      </c>
      <c r="C587" s="106">
        <f t="shared" si="86"/>
        <v>2020</v>
      </c>
      <c r="D587" s="101">
        <v>44146</v>
      </c>
      <c r="E587" s="102">
        <v>0.375</v>
      </c>
      <c r="F587" s="103">
        <v>0.45833333333333331</v>
      </c>
      <c r="G587" s="103">
        <v>0.27083333333333331</v>
      </c>
      <c r="H587" s="103">
        <v>0.33333333333333398</v>
      </c>
      <c r="I587" s="90">
        <f t="shared" si="89"/>
        <v>1.9999999999999996</v>
      </c>
      <c r="J587" s="90">
        <f t="shared" si="88"/>
        <v>1.500000000000016</v>
      </c>
      <c r="K587" s="91">
        <f t="shared" si="90"/>
        <v>0.95833333333333348</v>
      </c>
      <c r="L587" s="91">
        <f t="shared" si="91"/>
        <v>3.9583333333333339</v>
      </c>
      <c r="M587" s="29">
        <f t="shared" si="92"/>
        <v>13</v>
      </c>
      <c r="N587" s="92">
        <f t="shared" si="93"/>
        <v>1.9999999999999996</v>
      </c>
      <c r="O587" s="104">
        <f t="shared" si="78"/>
        <v>1.016</v>
      </c>
      <c r="P587" s="105">
        <f t="shared" si="94"/>
        <v>18.491199999999996</v>
      </c>
    </row>
    <row r="588" spans="2:16" x14ac:dyDescent="0.25">
      <c r="B588" s="88" t="str">
        <f t="shared" si="87"/>
        <v>Sitio Santa Lúcia</v>
      </c>
      <c r="C588" s="106">
        <f t="shared" si="86"/>
        <v>2020</v>
      </c>
      <c r="D588" s="101">
        <v>44147</v>
      </c>
      <c r="E588" s="103">
        <v>0.29166666666666702</v>
      </c>
      <c r="F588" s="103">
        <v>0.375</v>
      </c>
      <c r="G588" s="102">
        <v>0.25</v>
      </c>
      <c r="H588" s="103">
        <v>0.41666666666666669</v>
      </c>
      <c r="I588" s="90">
        <f t="shared" si="89"/>
        <v>1.9999999999999916</v>
      </c>
      <c r="J588" s="90">
        <f t="shared" si="88"/>
        <v>4</v>
      </c>
      <c r="K588" s="91">
        <f t="shared" si="90"/>
        <v>0.95833333333333348</v>
      </c>
      <c r="L588" s="91">
        <f t="shared" si="91"/>
        <v>3.9583333333333339</v>
      </c>
      <c r="M588" s="29">
        <f t="shared" si="92"/>
        <v>13</v>
      </c>
      <c r="N588" s="92">
        <f t="shared" si="93"/>
        <v>1.9999999999999916</v>
      </c>
      <c r="O588" s="104">
        <f t="shared" si="78"/>
        <v>1.016</v>
      </c>
      <c r="P588" s="105">
        <f t="shared" si="94"/>
        <v>18.491199999999921</v>
      </c>
    </row>
    <row r="589" spans="2:16" x14ac:dyDescent="0.25">
      <c r="B589" s="88" t="str">
        <f t="shared" si="87"/>
        <v>Sitio Santa Lúcia</v>
      </c>
      <c r="C589" s="106">
        <f t="shared" si="86"/>
        <v>2020</v>
      </c>
      <c r="D589" s="101">
        <v>44148</v>
      </c>
      <c r="E589" s="103">
        <v>0.33333333333333398</v>
      </c>
      <c r="F589" s="103">
        <v>0.4375</v>
      </c>
      <c r="G589" s="102">
        <v>0.35416666666666669</v>
      </c>
      <c r="H589" s="102">
        <v>0.40972222222222227</v>
      </c>
      <c r="I589" s="90">
        <f t="shared" si="89"/>
        <v>2.4999999999999845</v>
      </c>
      <c r="J589" s="90">
        <f t="shared" si="88"/>
        <v>1.3333333333333339</v>
      </c>
      <c r="K589" s="91">
        <f t="shared" si="90"/>
        <v>0.95833333333333348</v>
      </c>
      <c r="L589" s="91">
        <f t="shared" si="91"/>
        <v>3.9583333333333339</v>
      </c>
      <c r="M589" s="29">
        <f t="shared" si="92"/>
        <v>13</v>
      </c>
      <c r="N589" s="92">
        <f t="shared" si="93"/>
        <v>2.4999999999999845</v>
      </c>
      <c r="O589" s="104">
        <f t="shared" si="78"/>
        <v>1.016</v>
      </c>
      <c r="P589" s="105">
        <f t="shared" si="94"/>
        <v>23.113999999999855</v>
      </c>
    </row>
    <row r="590" spans="2:16" x14ac:dyDescent="0.25">
      <c r="B590" s="88" t="str">
        <f t="shared" si="87"/>
        <v>Sitio Santa Lúcia</v>
      </c>
      <c r="C590" s="106">
        <f t="shared" si="86"/>
        <v>2020</v>
      </c>
      <c r="D590" s="101">
        <v>44149</v>
      </c>
      <c r="E590" s="102">
        <v>0.3263888888888889</v>
      </c>
      <c r="F590" s="103">
        <v>0.36805555555555602</v>
      </c>
      <c r="G590" s="102">
        <v>0.25</v>
      </c>
      <c r="H590" s="103">
        <v>0.3263888888888889</v>
      </c>
      <c r="I590" s="90">
        <f t="shared" si="89"/>
        <v>1.0000000000000111</v>
      </c>
      <c r="J590" s="90">
        <f t="shared" si="88"/>
        <v>1.8333333333333335</v>
      </c>
      <c r="K590" s="91">
        <f t="shared" si="90"/>
        <v>0.95833333333333348</v>
      </c>
      <c r="L590" s="91">
        <f t="shared" si="91"/>
        <v>3.9583333333333339</v>
      </c>
      <c r="M590" s="29">
        <f t="shared" si="92"/>
        <v>13</v>
      </c>
      <c r="N590" s="92">
        <f t="shared" si="93"/>
        <v>1.0000000000000111</v>
      </c>
      <c r="O590" s="104">
        <f t="shared" si="78"/>
        <v>1.016</v>
      </c>
      <c r="P590" s="105">
        <f t="shared" si="94"/>
        <v>9.2456000000001008</v>
      </c>
    </row>
    <row r="591" spans="2:16" x14ac:dyDescent="0.25">
      <c r="B591" s="88" t="str">
        <f t="shared" si="87"/>
        <v>Sitio Santa Lúcia</v>
      </c>
      <c r="C591" s="106">
        <f t="shared" si="86"/>
        <v>2020</v>
      </c>
      <c r="D591" s="101">
        <v>44150</v>
      </c>
      <c r="E591" s="103">
        <v>0.375</v>
      </c>
      <c r="F591" s="103">
        <v>0.45833333333333331</v>
      </c>
      <c r="G591" s="103">
        <v>0.29166666666666702</v>
      </c>
      <c r="H591" s="103">
        <v>0.41666666666666669</v>
      </c>
      <c r="I591" s="90">
        <f t="shared" si="89"/>
        <v>1.9999999999999996</v>
      </c>
      <c r="J591" s="90">
        <f t="shared" si="88"/>
        <v>2.999999999999992</v>
      </c>
      <c r="K591" s="91">
        <f t="shared" si="90"/>
        <v>0.95833333333333348</v>
      </c>
      <c r="L591" s="91">
        <f t="shared" si="91"/>
        <v>3.9583333333333339</v>
      </c>
      <c r="M591" s="29">
        <f t="shared" si="92"/>
        <v>13</v>
      </c>
      <c r="N591" s="92">
        <f t="shared" si="93"/>
        <v>1.9999999999999996</v>
      </c>
      <c r="O591" s="104">
        <f t="shared" si="78"/>
        <v>1.016</v>
      </c>
      <c r="P591" s="105">
        <f t="shared" si="94"/>
        <v>18.491199999999996</v>
      </c>
    </row>
    <row r="592" spans="2:16" x14ac:dyDescent="0.25">
      <c r="B592" s="88" t="str">
        <f t="shared" si="87"/>
        <v>Sitio Santa Lúcia</v>
      </c>
      <c r="C592" s="106">
        <f t="shared" si="86"/>
        <v>2020</v>
      </c>
      <c r="D592" s="101">
        <v>44151</v>
      </c>
      <c r="E592" s="102">
        <v>0.27083333333333331</v>
      </c>
      <c r="F592" s="103">
        <v>0.35416666666666669</v>
      </c>
      <c r="G592" s="103">
        <v>0.375</v>
      </c>
      <c r="H592" s="103">
        <v>0.45833333333333331</v>
      </c>
      <c r="I592" s="90">
        <f t="shared" si="89"/>
        <v>2.0000000000000009</v>
      </c>
      <c r="J592" s="90">
        <f t="shared" si="88"/>
        <v>1.9999999999999996</v>
      </c>
      <c r="K592" s="91">
        <f t="shared" si="90"/>
        <v>0.95833333333333348</v>
      </c>
      <c r="L592" s="91">
        <f t="shared" si="91"/>
        <v>3.9583333333333339</v>
      </c>
      <c r="M592" s="29">
        <f t="shared" si="92"/>
        <v>13</v>
      </c>
      <c r="N592" s="92">
        <f t="shared" si="93"/>
        <v>2.0000000000000009</v>
      </c>
      <c r="O592" s="104">
        <f t="shared" si="78"/>
        <v>1.016</v>
      </c>
      <c r="P592" s="105">
        <f t="shared" si="94"/>
        <v>18.491200000000006</v>
      </c>
    </row>
    <row r="593" spans="2:16" x14ac:dyDescent="0.25">
      <c r="B593" s="88" t="str">
        <f t="shared" si="87"/>
        <v>Sitio Santa Lúcia</v>
      </c>
      <c r="C593" s="106">
        <f t="shared" si="86"/>
        <v>2020</v>
      </c>
      <c r="D593" s="101">
        <v>44152</v>
      </c>
      <c r="E593" s="103">
        <v>0.29166666666666702</v>
      </c>
      <c r="F593" s="103">
        <v>0.41666666666666669</v>
      </c>
      <c r="G593" s="103">
        <v>0.3611111111111111</v>
      </c>
      <c r="H593" s="103">
        <v>0.4513888888888889</v>
      </c>
      <c r="I593" s="90">
        <f t="shared" si="89"/>
        <v>2.999999999999992</v>
      </c>
      <c r="J593" s="90">
        <f t="shared" si="88"/>
        <v>2.166666666666667</v>
      </c>
      <c r="K593" s="91">
        <f t="shared" si="90"/>
        <v>0.95833333333333348</v>
      </c>
      <c r="L593" s="91">
        <f t="shared" si="91"/>
        <v>3.9583333333333339</v>
      </c>
      <c r="M593" s="29">
        <f t="shared" si="92"/>
        <v>13</v>
      </c>
      <c r="N593" s="92">
        <f t="shared" si="93"/>
        <v>2.999999999999992</v>
      </c>
      <c r="O593" s="104">
        <f t="shared" si="78"/>
        <v>1.016</v>
      </c>
      <c r="P593" s="105">
        <f t="shared" si="94"/>
        <v>27.736799999999924</v>
      </c>
    </row>
    <row r="594" spans="2:16" x14ac:dyDescent="0.25">
      <c r="B594" s="88" t="str">
        <f t="shared" si="87"/>
        <v>Sitio Santa Lúcia</v>
      </c>
      <c r="C594" s="106">
        <f t="shared" si="86"/>
        <v>2020</v>
      </c>
      <c r="D594" s="101">
        <v>44153</v>
      </c>
      <c r="E594" s="102">
        <v>0</v>
      </c>
      <c r="F594" s="103">
        <v>0</v>
      </c>
      <c r="G594" s="102">
        <v>0</v>
      </c>
      <c r="H594" s="103">
        <v>0</v>
      </c>
      <c r="I594" s="90">
        <f t="shared" si="89"/>
        <v>0</v>
      </c>
      <c r="J594" s="90">
        <f t="shared" si="88"/>
        <v>0</v>
      </c>
      <c r="K594" s="91">
        <f t="shared" si="90"/>
        <v>0.95833333333333348</v>
      </c>
      <c r="L594" s="91">
        <f t="shared" si="91"/>
        <v>3.9583333333333339</v>
      </c>
      <c r="M594" s="29">
        <f t="shared" si="92"/>
        <v>13</v>
      </c>
      <c r="N594" s="92">
        <f t="shared" si="93"/>
        <v>0</v>
      </c>
      <c r="O594" s="104">
        <f t="shared" si="78"/>
        <v>1.016</v>
      </c>
      <c r="P594" s="105">
        <f t="shared" si="94"/>
        <v>0</v>
      </c>
    </row>
    <row r="595" spans="2:16" x14ac:dyDescent="0.25">
      <c r="B595" s="88" t="str">
        <f t="shared" si="87"/>
        <v>Sitio Santa Lúcia</v>
      </c>
      <c r="C595" s="106">
        <f t="shared" si="86"/>
        <v>2020</v>
      </c>
      <c r="D595" s="101">
        <v>44154</v>
      </c>
      <c r="E595" s="102">
        <v>0.3263888888888889</v>
      </c>
      <c r="F595" s="103">
        <v>0.4375</v>
      </c>
      <c r="G595" s="103">
        <v>0.27083333333333331</v>
      </c>
      <c r="H595" s="103">
        <v>0.3263888888888889</v>
      </c>
      <c r="I595" s="90">
        <f t="shared" si="89"/>
        <v>2.6666666666666665</v>
      </c>
      <c r="J595" s="90">
        <f t="shared" si="88"/>
        <v>1.3333333333333339</v>
      </c>
      <c r="K595" s="91">
        <f t="shared" si="90"/>
        <v>0.95833333333333348</v>
      </c>
      <c r="L595" s="91">
        <f t="shared" si="91"/>
        <v>3.9583333333333339</v>
      </c>
      <c r="M595" s="29">
        <f t="shared" si="92"/>
        <v>13</v>
      </c>
      <c r="N595" s="92">
        <f t="shared" si="93"/>
        <v>2.6666666666666665</v>
      </c>
      <c r="O595" s="104">
        <f t="shared" si="78"/>
        <v>1.016</v>
      </c>
      <c r="P595" s="105">
        <f t="shared" si="94"/>
        <v>24.654933333333332</v>
      </c>
    </row>
    <row r="596" spans="2:16" x14ac:dyDescent="0.25">
      <c r="B596" s="88" t="str">
        <f t="shared" si="87"/>
        <v>Sitio Santa Lúcia</v>
      </c>
      <c r="C596" s="106">
        <f t="shared" si="86"/>
        <v>2020</v>
      </c>
      <c r="D596" s="101">
        <v>44155</v>
      </c>
      <c r="E596" s="103">
        <v>0.39583333333333331</v>
      </c>
      <c r="F596" s="103">
        <v>0.44444444444444442</v>
      </c>
      <c r="G596" s="102">
        <v>0.25</v>
      </c>
      <c r="H596" s="103">
        <v>0.3263888888888889</v>
      </c>
      <c r="I596" s="90">
        <f t="shared" si="89"/>
        <v>1.1666666666666665</v>
      </c>
      <c r="J596" s="90">
        <f t="shared" si="88"/>
        <v>1.8333333333333335</v>
      </c>
      <c r="K596" s="91">
        <f t="shared" si="90"/>
        <v>0.95833333333333348</v>
      </c>
      <c r="L596" s="91">
        <f t="shared" si="91"/>
        <v>3.9583333333333339</v>
      </c>
      <c r="M596" s="29">
        <f t="shared" si="92"/>
        <v>13</v>
      </c>
      <c r="N596" s="92">
        <f t="shared" si="93"/>
        <v>1.1666666666666665</v>
      </c>
      <c r="O596" s="104">
        <f t="shared" si="78"/>
        <v>1.016</v>
      </c>
      <c r="P596" s="105">
        <f t="shared" si="94"/>
        <v>10.786533333333331</v>
      </c>
    </row>
    <row r="597" spans="2:16" x14ac:dyDescent="0.25">
      <c r="B597" s="88" t="str">
        <f t="shared" si="87"/>
        <v>Sitio Santa Lúcia</v>
      </c>
      <c r="C597" s="106">
        <f t="shared" si="86"/>
        <v>2020</v>
      </c>
      <c r="D597" s="101">
        <v>44156</v>
      </c>
      <c r="E597" s="102">
        <v>0.33333333333333398</v>
      </c>
      <c r="F597" s="102">
        <v>0.41666666666666669</v>
      </c>
      <c r="G597" s="103">
        <v>0.28472222222222221</v>
      </c>
      <c r="H597" s="103">
        <v>0.39583333333333331</v>
      </c>
      <c r="I597" s="90">
        <f t="shared" si="89"/>
        <v>1.9999999999999849</v>
      </c>
      <c r="J597" s="90">
        <f t="shared" si="88"/>
        <v>2.6666666666666665</v>
      </c>
      <c r="K597" s="91">
        <f t="shared" si="90"/>
        <v>0.95833333333333348</v>
      </c>
      <c r="L597" s="91">
        <f t="shared" si="91"/>
        <v>3.9583333333333339</v>
      </c>
      <c r="M597" s="29">
        <f t="shared" si="92"/>
        <v>13</v>
      </c>
      <c r="N597" s="92">
        <f t="shared" si="93"/>
        <v>1.9999999999999849</v>
      </c>
      <c r="O597" s="104">
        <f t="shared" si="78"/>
        <v>1.016</v>
      </c>
      <c r="P597" s="105">
        <f t="shared" si="94"/>
        <v>18.491199999999861</v>
      </c>
    </row>
    <row r="598" spans="2:16" x14ac:dyDescent="0.25">
      <c r="B598" s="88" t="str">
        <f t="shared" si="87"/>
        <v>Sitio Santa Lúcia</v>
      </c>
      <c r="C598" s="106">
        <f t="shared" si="86"/>
        <v>2020</v>
      </c>
      <c r="D598" s="101">
        <v>44157</v>
      </c>
      <c r="E598" s="103">
        <v>0.25</v>
      </c>
      <c r="F598" s="103">
        <v>0.3125</v>
      </c>
      <c r="G598" s="102">
        <v>0.3611111111111111</v>
      </c>
      <c r="H598" s="102">
        <v>0.41666666666666669</v>
      </c>
      <c r="I598" s="90">
        <f t="shared" si="89"/>
        <v>1.5</v>
      </c>
      <c r="J598" s="90">
        <f t="shared" si="88"/>
        <v>1.3333333333333339</v>
      </c>
      <c r="K598" s="91">
        <f t="shared" si="90"/>
        <v>0.95833333333333348</v>
      </c>
      <c r="L598" s="91">
        <f t="shared" si="91"/>
        <v>3.9583333333333339</v>
      </c>
      <c r="M598" s="29">
        <f t="shared" si="92"/>
        <v>13</v>
      </c>
      <c r="N598" s="92">
        <f t="shared" si="93"/>
        <v>1.5</v>
      </c>
      <c r="O598" s="104">
        <f t="shared" si="78"/>
        <v>1.016</v>
      </c>
      <c r="P598" s="105">
        <f t="shared" si="94"/>
        <v>13.868399999999999</v>
      </c>
    </row>
    <row r="599" spans="2:16" x14ac:dyDescent="0.25">
      <c r="B599" s="88" t="str">
        <f t="shared" si="87"/>
        <v>Sitio Santa Lúcia</v>
      </c>
      <c r="C599" s="106">
        <f t="shared" si="86"/>
        <v>2020</v>
      </c>
      <c r="D599" s="101">
        <v>44158</v>
      </c>
      <c r="E599" s="102">
        <v>0.41666666666666669</v>
      </c>
      <c r="F599" s="102">
        <v>0.5</v>
      </c>
      <c r="G599" s="103">
        <v>0.25</v>
      </c>
      <c r="H599" s="103">
        <v>0.375</v>
      </c>
      <c r="I599" s="90">
        <f t="shared" si="89"/>
        <v>1.9999999999999996</v>
      </c>
      <c r="J599" s="90">
        <f t="shared" si="88"/>
        <v>3</v>
      </c>
      <c r="K599" s="91">
        <f t="shared" si="90"/>
        <v>0.95833333333333348</v>
      </c>
      <c r="L599" s="91">
        <f t="shared" si="91"/>
        <v>3.9583333333333339</v>
      </c>
      <c r="M599" s="29">
        <f t="shared" si="92"/>
        <v>13</v>
      </c>
      <c r="N599" s="92">
        <f t="shared" si="93"/>
        <v>1.9999999999999996</v>
      </c>
      <c r="O599" s="104">
        <f t="shared" si="78"/>
        <v>1.016</v>
      </c>
      <c r="P599" s="105">
        <f t="shared" si="94"/>
        <v>18.491199999999996</v>
      </c>
    </row>
    <row r="600" spans="2:16" x14ac:dyDescent="0.25">
      <c r="B600" s="88" t="str">
        <f t="shared" si="87"/>
        <v>Sitio Santa Lúcia</v>
      </c>
      <c r="C600" s="106">
        <f t="shared" si="86"/>
        <v>2020</v>
      </c>
      <c r="D600" s="101">
        <v>44159</v>
      </c>
      <c r="E600" s="102">
        <v>0.27083333333333331</v>
      </c>
      <c r="F600" s="102">
        <v>0.3611111111111111</v>
      </c>
      <c r="G600" s="102">
        <v>0.29166666666666702</v>
      </c>
      <c r="H600" s="103">
        <v>0.4375</v>
      </c>
      <c r="I600" s="90">
        <f t="shared" si="89"/>
        <v>2.166666666666667</v>
      </c>
      <c r="J600" s="90">
        <f t="shared" si="88"/>
        <v>3.4999999999999916</v>
      </c>
      <c r="K600" s="91">
        <f t="shared" si="90"/>
        <v>0.95833333333333348</v>
      </c>
      <c r="L600" s="91">
        <f t="shared" si="91"/>
        <v>3.9583333333333339</v>
      </c>
      <c r="M600" s="29">
        <f t="shared" si="92"/>
        <v>13</v>
      </c>
      <c r="N600" s="92">
        <f t="shared" si="93"/>
        <v>2.166666666666667</v>
      </c>
      <c r="O600" s="104">
        <f t="shared" si="78"/>
        <v>1.016</v>
      </c>
      <c r="P600" s="105">
        <f t="shared" si="94"/>
        <v>20.032133333333334</v>
      </c>
    </row>
    <row r="601" spans="2:16" x14ac:dyDescent="0.25">
      <c r="B601" s="88" t="str">
        <f t="shared" si="87"/>
        <v>Sitio Santa Lúcia</v>
      </c>
      <c r="C601" s="106">
        <f t="shared" ref="C601:C637" si="95">YEAR(D601)</f>
        <v>2020</v>
      </c>
      <c r="D601" s="101">
        <v>44160</v>
      </c>
      <c r="E601" s="103">
        <v>0.3125</v>
      </c>
      <c r="F601" s="103">
        <v>0.375</v>
      </c>
      <c r="G601" s="103">
        <v>0.41666666666666669</v>
      </c>
      <c r="H601" s="102">
        <v>0.5</v>
      </c>
      <c r="I601" s="90">
        <f t="shared" si="89"/>
        <v>1.5</v>
      </c>
      <c r="J601" s="90">
        <f t="shared" si="88"/>
        <v>1.9999999999999996</v>
      </c>
      <c r="K601" s="91">
        <f t="shared" si="90"/>
        <v>0.95833333333333348</v>
      </c>
      <c r="L601" s="91">
        <f t="shared" si="91"/>
        <v>3.9583333333333339</v>
      </c>
      <c r="M601" s="29">
        <f t="shared" si="92"/>
        <v>13</v>
      </c>
      <c r="N601" s="92">
        <f t="shared" si="93"/>
        <v>1.5</v>
      </c>
      <c r="O601" s="104">
        <f t="shared" si="78"/>
        <v>1.016</v>
      </c>
      <c r="P601" s="105">
        <f t="shared" si="94"/>
        <v>13.868399999999999</v>
      </c>
    </row>
    <row r="602" spans="2:16" x14ac:dyDescent="0.25">
      <c r="B602" s="88" t="str">
        <f t="shared" si="87"/>
        <v>Sitio Santa Lúcia</v>
      </c>
      <c r="C602" s="106">
        <f t="shared" si="95"/>
        <v>2020</v>
      </c>
      <c r="D602" s="101">
        <v>44161</v>
      </c>
      <c r="E602" s="103">
        <v>0.25</v>
      </c>
      <c r="F602" s="103">
        <v>0.3263888888888889</v>
      </c>
      <c r="G602" s="103">
        <v>0.33333333333333398</v>
      </c>
      <c r="H602" s="103">
        <v>0.39583333333333331</v>
      </c>
      <c r="I602" s="90">
        <f t="shared" si="89"/>
        <v>1.8333333333333335</v>
      </c>
      <c r="J602" s="90">
        <f t="shared" si="88"/>
        <v>1.499999999999984</v>
      </c>
      <c r="K602" s="91">
        <f t="shared" si="90"/>
        <v>0.95833333333333348</v>
      </c>
      <c r="L602" s="91">
        <f t="shared" si="91"/>
        <v>3.9583333333333339</v>
      </c>
      <c r="M602" s="29">
        <f t="shared" si="92"/>
        <v>13</v>
      </c>
      <c r="N602" s="92">
        <f t="shared" si="93"/>
        <v>1.8333333333333335</v>
      </c>
      <c r="O602" s="104">
        <f t="shared" si="78"/>
        <v>1.016</v>
      </c>
      <c r="P602" s="105">
        <f t="shared" si="94"/>
        <v>16.950266666666668</v>
      </c>
    </row>
    <row r="603" spans="2:16" x14ac:dyDescent="0.25">
      <c r="B603" s="88" t="str">
        <f t="shared" si="87"/>
        <v>Sitio Santa Lúcia</v>
      </c>
      <c r="C603" s="106">
        <f t="shared" si="95"/>
        <v>2020</v>
      </c>
      <c r="D603" s="101">
        <v>44162</v>
      </c>
      <c r="E603" s="103">
        <v>0.33333333333333398</v>
      </c>
      <c r="F603" s="103">
        <v>0.41666666666666669</v>
      </c>
      <c r="G603" s="103">
        <v>0.29166666666666702</v>
      </c>
      <c r="H603" s="103">
        <v>0.45833333333333331</v>
      </c>
      <c r="I603" s="90">
        <f t="shared" si="89"/>
        <v>1.9999999999999849</v>
      </c>
      <c r="J603" s="90">
        <f t="shared" si="88"/>
        <v>3.9999999999999911</v>
      </c>
      <c r="K603" s="91">
        <f t="shared" si="90"/>
        <v>0.95833333333333348</v>
      </c>
      <c r="L603" s="91">
        <f t="shared" si="91"/>
        <v>3.9583333333333339</v>
      </c>
      <c r="M603" s="29">
        <f t="shared" si="92"/>
        <v>13</v>
      </c>
      <c r="N603" s="92">
        <f t="shared" si="93"/>
        <v>1.9999999999999849</v>
      </c>
      <c r="O603" s="104">
        <f t="shared" si="78"/>
        <v>1.016</v>
      </c>
      <c r="P603" s="105">
        <f t="shared" si="94"/>
        <v>18.491199999999861</v>
      </c>
    </row>
    <row r="604" spans="2:16" x14ac:dyDescent="0.25">
      <c r="B604" s="88" t="str">
        <f t="shared" si="87"/>
        <v>Sitio Santa Lúcia</v>
      </c>
      <c r="C604" s="106">
        <f t="shared" si="95"/>
        <v>2020</v>
      </c>
      <c r="D604" s="101">
        <v>44163</v>
      </c>
      <c r="E604" s="102">
        <v>0.25</v>
      </c>
      <c r="F604" s="102">
        <v>0.41666666666666669</v>
      </c>
      <c r="G604" s="103">
        <v>0.33333333333333398</v>
      </c>
      <c r="H604" s="103">
        <v>0.41666666666666669</v>
      </c>
      <c r="I604" s="90">
        <f t="shared" si="89"/>
        <v>4</v>
      </c>
      <c r="J604" s="90">
        <f t="shared" si="88"/>
        <v>1.9999999999999849</v>
      </c>
      <c r="K604" s="91">
        <f t="shared" si="90"/>
        <v>0.95833333333333348</v>
      </c>
      <c r="L604" s="91">
        <f t="shared" si="91"/>
        <v>3.9583333333333339</v>
      </c>
      <c r="M604" s="29">
        <f t="shared" si="92"/>
        <v>13</v>
      </c>
      <c r="N604" s="92">
        <f t="shared" si="93"/>
        <v>4</v>
      </c>
      <c r="O604" s="104">
        <f t="shared" si="78"/>
        <v>1.016</v>
      </c>
      <c r="P604" s="105">
        <f t="shared" si="94"/>
        <v>36.982399999999998</v>
      </c>
    </row>
    <row r="605" spans="2:16" x14ac:dyDescent="0.25">
      <c r="B605" s="88" t="str">
        <f t="shared" si="87"/>
        <v>Sitio Santa Lúcia</v>
      </c>
      <c r="C605" s="106">
        <f t="shared" si="95"/>
        <v>2020</v>
      </c>
      <c r="D605" s="101">
        <v>44164</v>
      </c>
      <c r="E605" s="102">
        <v>0.375</v>
      </c>
      <c r="F605" s="102">
        <v>0.45833333333333331</v>
      </c>
      <c r="G605" s="102">
        <v>0.25</v>
      </c>
      <c r="H605" s="102">
        <v>0.29166666666666702</v>
      </c>
      <c r="I605" s="90">
        <f t="shared" si="89"/>
        <v>1.9999999999999996</v>
      </c>
      <c r="J605" s="90">
        <f t="shared" si="88"/>
        <v>1.0000000000000084</v>
      </c>
      <c r="K605" s="91">
        <f t="shared" si="90"/>
        <v>0.95833333333333348</v>
      </c>
      <c r="L605" s="91">
        <f t="shared" si="91"/>
        <v>3.9583333333333339</v>
      </c>
      <c r="M605" s="29">
        <f t="shared" si="92"/>
        <v>13</v>
      </c>
      <c r="N605" s="92">
        <f t="shared" si="93"/>
        <v>1.9999999999999996</v>
      </c>
      <c r="O605" s="104">
        <f t="shared" si="78"/>
        <v>1.016</v>
      </c>
      <c r="P605" s="105">
        <f t="shared" si="94"/>
        <v>18.491199999999996</v>
      </c>
    </row>
    <row r="606" spans="2:16" x14ac:dyDescent="0.25">
      <c r="B606" s="88" t="str">
        <f t="shared" si="87"/>
        <v>Sitio Santa Lúcia</v>
      </c>
      <c r="C606" s="106">
        <f t="shared" si="95"/>
        <v>2020</v>
      </c>
      <c r="D606" s="101">
        <v>44165</v>
      </c>
      <c r="E606" s="103">
        <v>0.29166666666666702</v>
      </c>
      <c r="F606" s="103">
        <v>0.375</v>
      </c>
      <c r="G606" s="102">
        <v>0.33333333333333398</v>
      </c>
      <c r="H606" s="103">
        <v>0.45833333333333331</v>
      </c>
      <c r="I606" s="90">
        <f t="shared" si="89"/>
        <v>1.9999999999999916</v>
      </c>
      <c r="J606" s="90">
        <f t="shared" si="88"/>
        <v>2.999999999999984</v>
      </c>
      <c r="K606" s="91">
        <f t="shared" si="90"/>
        <v>0.95833333333333348</v>
      </c>
      <c r="L606" s="91">
        <f t="shared" si="91"/>
        <v>3.9583333333333339</v>
      </c>
      <c r="M606" s="29">
        <f t="shared" si="92"/>
        <v>13</v>
      </c>
      <c r="N606" s="92">
        <f t="shared" si="93"/>
        <v>1.9999999999999916</v>
      </c>
      <c r="O606" s="104">
        <f t="shared" si="78"/>
        <v>1.016</v>
      </c>
      <c r="P606" s="105">
        <f t="shared" si="94"/>
        <v>18.491199999999921</v>
      </c>
    </row>
    <row r="607" spans="2:16" x14ac:dyDescent="0.25">
      <c r="B607" s="88" t="str">
        <f t="shared" si="87"/>
        <v>Sitio Santa Lúcia</v>
      </c>
      <c r="C607" s="106">
        <f t="shared" si="95"/>
        <v>2020</v>
      </c>
      <c r="D607" s="101">
        <v>44166</v>
      </c>
      <c r="E607" s="103">
        <v>0.27083333333333331</v>
      </c>
      <c r="F607" s="103">
        <v>0.35416666666666702</v>
      </c>
      <c r="G607" s="103">
        <v>0.375</v>
      </c>
      <c r="H607" s="103">
        <v>0.45833333333333331</v>
      </c>
      <c r="I607" s="90">
        <f t="shared" si="89"/>
        <v>2.0000000000000089</v>
      </c>
      <c r="J607" s="90">
        <f t="shared" si="88"/>
        <v>1.9999999999999996</v>
      </c>
      <c r="K607" s="91">
        <f t="shared" si="90"/>
        <v>0.95833333333333348</v>
      </c>
      <c r="L607" s="91">
        <f t="shared" si="91"/>
        <v>3.9583333333333339</v>
      </c>
      <c r="M607" s="29">
        <f t="shared" si="92"/>
        <v>13</v>
      </c>
      <c r="N607" s="92">
        <f t="shared" si="93"/>
        <v>2.0000000000000089</v>
      </c>
      <c r="O607" s="104">
        <f t="shared" si="78"/>
        <v>1.016</v>
      </c>
      <c r="P607" s="105">
        <f t="shared" si="94"/>
        <v>18.491200000000081</v>
      </c>
    </row>
    <row r="608" spans="2:16" x14ac:dyDescent="0.25">
      <c r="B608" s="88" t="str">
        <f t="shared" ref="B608:B637" si="96">$B$17</f>
        <v>Sitio Santa Lúcia</v>
      </c>
      <c r="C608" s="106">
        <f t="shared" si="95"/>
        <v>2020</v>
      </c>
      <c r="D608" s="101">
        <v>44167</v>
      </c>
      <c r="E608" s="103">
        <v>0.29166666666666702</v>
      </c>
      <c r="F608" s="102">
        <v>0.375</v>
      </c>
      <c r="G608" s="102">
        <v>0.45833333333333331</v>
      </c>
      <c r="H608" s="103">
        <v>0.5</v>
      </c>
      <c r="I608" s="90">
        <f t="shared" si="89"/>
        <v>1.9999999999999916</v>
      </c>
      <c r="J608" s="90">
        <f t="shared" si="88"/>
        <v>1.0000000000000004</v>
      </c>
      <c r="K608" s="91">
        <f t="shared" si="90"/>
        <v>0.95833333333333348</v>
      </c>
      <c r="L608" s="91">
        <f t="shared" si="91"/>
        <v>3.9583333333333339</v>
      </c>
      <c r="M608" s="29">
        <f t="shared" si="92"/>
        <v>13</v>
      </c>
      <c r="N608" s="92">
        <f t="shared" si="93"/>
        <v>1.9999999999999916</v>
      </c>
      <c r="O608" s="104">
        <f t="shared" si="78"/>
        <v>1.016</v>
      </c>
      <c r="P608" s="105">
        <f t="shared" si="94"/>
        <v>18.491199999999921</v>
      </c>
    </row>
    <row r="609" spans="2:16" x14ac:dyDescent="0.25">
      <c r="B609" s="88" t="str">
        <f t="shared" si="96"/>
        <v>Sitio Santa Lúcia</v>
      </c>
      <c r="C609" s="106">
        <f t="shared" si="95"/>
        <v>2020</v>
      </c>
      <c r="D609" s="101">
        <v>44168</v>
      </c>
      <c r="E609" s="103">
        <v>0.375</v>
      </c>
      <c r="F609" s="103">
        <v>0.41666666666666669</v>
      </c>
      <c r="G609" s="102">
        <v>0.375</v>
      </c>
      <c r="H609" s="103">
        <v>0.45833333333333331</v>
      </c>
      <c r="I609" s="90">
        <f t="shared" si="89"/>
        <v>1.0000000000000004</v>
      </c>
      <c r="J609" s="90">
        <f t="shared" si="88"/>
        <v>1.9999999999999996</v>
      </c>
      <c r="K609" s="91">
        <f t="shared" si="90"/>
        <v>0.95833333333333348</v>
      </c>
      <c r="L609" s="91">
        <f t="shared" si="91"/>
        <v>3.9583333333333339</v>
      </c>
      <c r="M609" s="29">
        <f t="shared" si="92"/>
        <v>13</v>
      </c>
      <c r="N609" s="92">
        <f t="shared" si="93"/>
        <v>1.0000000000000004</v>
      </c>
      <c r="O609" s="104">
        <f t="shared" si="78"/>
        <v>1.016</v>
      </c>
      <c r="P609" s="105">
        <f t="shared" si="94"/>
        <v>9.2456000000000031</v>
      </c>
    </row>
    <row r="610" spans="2:16" x14ac:dyDescent="0.25">
      <c r="B610" s="88" t="str">
        <f t="shared" si="96"/>
        <v>Sitio Santa Lúcia</v>
      </c>
      <c r="C610" s="106">
        <f t="shared" si="95"/>
        <v>2020</v>
      </c>
      <c r="D610" s="101">
        <v>44169</v>
      </c>
      <c r="E610" s="103">
        <v>0.33333333333333398</v>
      </c>
      <c r="F610" s="103">
        <v>0.41666666666666669</v>
      </c>
      <c r="G610" s="102">
        <v>0.27083333333333331</v>
      </c>
      <c r="H610" s="103">
        <v>0.375</v>
      </c>
      <c r="I610" s="90">
        <f t="shared" si="89"/>
        <v>1.9999999999999849</v>
      </c>
      <c r="J610" s="90">
        <f t="shared" si="88"/>
        <v>2.5000000000000004</v>
      </c>
      <c r="K610" s="91">
        <f t="shared" si="90"/>
        <v>0.95833333333333348</v>
      </c>
      <c r="L610" s="91">
        <f t="shared" si="91"/>
        <v>3.9583333333333339</v>
      </c>
      <c r="M610" s="29">
        <f t="shared" si="92"/>
        <v>13</v>
      </c>
      <c r="N610" s="92">
        <f t="shared" si="93"/>
        <v>1.9999999999999849</v>
      </c>
      <c r="O610" s="104">
        <f t="shared" si="78"/>
        <v>1.016</v>
      </c>
      <c r="P610" s="105">
        <f t="shared" si="94"/>
        <v>18.491199999999861</v>
      </c>
    </row>
    <row r="611" spans="2:16" x14ac:dyDescent="0.25">
      <c r="B611" s="88" t="str">
        <f t="shared" si="96"/>
        <v>Sitio Santa Lúcia</v>
      </c>
      <c r="C611" s="106">
        <f t="shared" si="95"/>
        <v>2020</v>
      </c>
      <c r="D611" s="101">
        <v>44170</v>
      </c>
      <c r="E611" s="102">
        <v>0.41666666666666669</v>
      </c>
      <c r="F611" s="102">
        <v>0.49305555555555558</v>
      </c>
      <c r="G611" s="102">
        <v>0.29166666666666702</v>
      </c>
      <c r="H611" s="103">
        <v>0.375</v>
      </c>
      <c r="I611" s="90">
        <f t="shared" si="89"/>
        <v>1.8333333333333335</v>
      </c>
      <c r="J611" s="90">
        <f t="shared" si="88"/>
        <v>1.9999999999999916</v>
      </c>
      <c r="K611" s="91">
        <f t="shared" si="90"/>
        <v>0.95833333333333348</v>
      </c>
      <c r="L611" s="91">
        <f t="shared" si="91"/>
        <v>3.9583333333333339</v>
      </c>
      <c r="M611" s="29">
        <f t="shared" si="92"/>
        <v>13</v>
      </c>
      <c r="N611" s="92">
        <f t="shared" si="93"/>
        <v>1.8333333333333335</v>
      </c>
      <c r="O611" s="104">
        <f t="shared" si="78"/>
        <v>1.016</v>
      </c>
      <c r="P611" s="105">
        <f t="shared" si="94"/>
        <v>16.950266666666668</v>
      </c>
    </row>
    <row r="612" spans="2:16" x14ac:dyDescent="0.25">
      <c r="B612" s="88" t="str">
        <f t="shared" si="96"/>
        <v>Sitio Santa Lúcia</v>
      </c>
      <c r="C612" s="106">
        <f t="shared" si="95"/>
        <v>2020</v>
      </c>
      <c r="D612" s="101">
        <v>44171</v>
      </c>
      <c r="E612" s="102">
        <v>0.33333333333333398</v>
      </c>
      <c r="F612" s="103">
        <v>0.45833333333333331</v>
      </c>
      <c r="G612" s="103">
        <v>0.375</v>
      </c>
      <c r="H612" s="103">
        <v>0.45833333333333331</v>
      </c>
      <c r="I612" s="90">
        <f t="shared" si="89"/>
        <v>2.999999999999984</v>
      </c>
      <c r="J612" s="90">
        <f t="shared" si="88"/>
        <v>1.9999999999999996</v>
      </c>
      <c r="K612" s="91">
        <f t="shared" si="90"/>
        <v>0.95833333333333348</v>
      </c>
      <c r="L612" s="91">
        <f t="shared" si="91"/>
        <v>3.9583333333333339</v>
      </c>
      <c r="M612" s="29">
        <f t="shared" si="92"/>
        <v>13</v>
      </c>
      <c r="N612" s="92">
        <f t="shared" si="93"/>
        <v>2.999999999999984</v>
      </c>
      <c r="O612" s="104">
        <f t="shared" si="78"/>
        <v>1.016</v>
      </c>
      <c r="P612" s="105">
        <f t="shared" si="94"/>
        <v>27.73679999999985</v>
      </c>
    </row>
    <row r="613" spans="2:16" x14ac:dyDescent="0.25">
      <c r="B613" s="88" t="str">
        <f t="shared" si="96"/>
        <v>Sitio Santa Lúcia</v>
      </c>
      <c r="C613" s="106">
        <f t="shared" si="95"/>
        <v>2020</v>
      </c>
      <c r="D613" s="101">
        <v>44172</v>
      </c>
      <c r="E613" s="103">
        <v>0.25</v>
      </c>
      <c r="F613" s="103">
        <v>0.3263888888888889</v>
      </c>
      <c r="G613" s="102">
        <v>0.33333333333333398</v>
      </c>
      <c r="H613" s="102">
        <v>0.41666666666666669</v>
      </c>
      <c r="I613" s="90">
        <f t="shared" si="89"/>
        <v>1.8333333333333335</v>
      </c>
      <c r="J613" s="90">
        <f t="shared" si="88"/>
        <v>1.9999999999999849</v>
      </c>
      <c r="K613" s="91">
        <f t="shared" si="90"/>
        <v>0.95833333333333348</v>
      </c>
      <c r="L613" s="91">
        <f t="shared" si="91"/>
        <v>3.9583333333333339</v>
      </c>
      <c r="M613" s="29">
        <f t="shared" si="92"/>
        <v>13</v>
      </c>
      <c r="N613" s="92">
        <f t="shared" si="93"/>
        <v>1.8333333333333335</v>
      </c>
      <c r="O613" s="104">
        <f t="shared" si="78"/>
        <v>1.016</v>
      </c>
      <c r="P613" s="105">
        <f t="shared" si="94"/>
        <v>16.950266666666668</v>
      </c>
    </row>
    <row r="614" spans="2:16" x14ac:dyDescent="0.25">
      <c r="B614" s="88" t="str">
        <f t="shared" si="96"/>
        <v>Sitio Santa Lúcia</v>
      </c>
      <c r="C614" s="106">
        <f t="shared" si="95"/>
        <v>2020</v>
      </c>
      <c r="D614" s="101">
        <v>44173</v>
      </c>
      <c r="E614" s="102">
        <v>0.375</v>
      </c>
      <c r="F614" s="103">
        <v>0.45833333333333331</v>
      </c>
      <c r="G614" s="102">
        <v>0.25</v>
      </c>
      <c r="H614" s="103">
        <v>0.33333333333333398</v>
      </c>
      <c r="I614" s="90">
        <f t="shared" si="89"/>
        <v>1.9999999999999996</v>
      </c>
      <c r="J614" s="90">
        <f t="shared" si="88"/>
        <v>2.0000000000000155</v>
      </c>
      <c r="K614" s="91">
        <f t="shared" si="90"/>
        <v>0.95833333333333348</v>
      </c>
      <c r="L614" s="91">
        <f t="shared" si="91"/>
        <v>3.9583333333333339</v>
      </c>
      <c r="M614" s="29">
        <f t="shared" si="92"/>
        <v>13</v>
      </c>
      <c r="N614" s="92">
        <f t="shared" si="93"/>
        <v>1.9999999999999996</v>
      </c>
      <c r="O614" s="104">
        <f t="shared" si="78"/>
        <v>1.016</v>
      </c>
      <c r="P614" s="105">
        <f t="shared" si="94"/>
        <v>18.491199999999996</v>
      </c>
    </row>
    <row r="615" spans="2:16" x14ac:dyDescent="0.25">
      <c r="B615" s="88" t="str">
        <f t="shared" si="96"/>
        <v>Sitio Santa Lúcia</v>
      </c>
      <c r="C615" s="106">
        <f t="shared" si="95"/>
        <v>2020</v>
      </c>
      <c r="D615" s="101">
        <v>44174</v>
      </c>
      <c r="E615" s="103">
        <v>0.41666666666666669</v>
      </c>
      <c r="F615" s="103">
        <v>0.5</v>
      </c>
      <c r="G615" s="102">
        <v>0.27083333333333331</v>
      </c>
      <c r="H615" s="103">
        <v>0.35416666666666669</v>
      </c>
      <c r="I615" s="90">
        <f t="shared" si="89"/>
        <v>1.9999999999999996</v>
      </c>
      <c r="J615" s="90">
        <f t="shared" si="88"/>
        <v>2.0000000000000009</v>
      </c>
      <c r="K615" s="91">
        <f t="shared" si="90"/>
        <v>0.95833333333333348</v>
      </c>
      <c r="L615" s="91">
        <f t="shared" si="91"/>
        <v>3.9583333333333339</v>
      </c>
      <c r="M615" s="29">
        <f t="shared" si="92"/>
        <v>13</v>
      </c>
      <c r="N615" s="92">
        <f t="shared" si="93"/>
        <v>1.9999999999999996</v>
      </c>
      <c r="O615" s="104">
        <f t="shared" si="78"/>
        <v>1.016</v>
      </c>
      <c r="P615" s="105">
        <f t="shared" si="94"/>
        <v>18.491199999999996</v>
      </c>
    </row>
    <row r="616" spans="2:16" x14ac:dyDescent="0.25">
      <c r="B616" s="88" t="str">
        <f t="shared" si="96"/>
        <v>Sitio Santa Lúcia</v>
      </c>
      <c r="C616" s="106">
        <f t="shared" si="95"/>
        <v>2020</v>
      </c>
      <c r="D616" s="101">
        <v>44175</v>
      </c>
      <c r="E616" s="103">
        <v>0.25</v>
      </c>
      <c r="F616" s="103">
        <v>0.3125</v>
      </c>
      <c r="G616" s="102">
        <v>0.33333333333333398</v>
      </c>
      <c r="H616" s="103">
        <v>0.41666666666666669</v>
      </c>
      <c r="I616" s="90">
        <f t="shared" si="89"/>
        <v>1.5</v>
      </c>
      <c r="J616" s="90">
        <f t="shared" si="88"/>
        <v>1.9999999999999849</v>
      </c>
      <c r="K616" s="91">
        <f t="shared" si="90"/>
        <v>0.95833333333333348</v>
      </c>
      <c r="L616" s="91">
        <f t="shared" si="91"/>
        <v>3.9583333333333339</v>
      </c>
      <c r="M616" s="29">
        <f t="shared" si="92"/>
        <v>13</v>
      </c>
      <c r="N616" s="92">
        <f t="shared" si="93"/>
        <v>1.5</v>
      </c>
      <c r="O616" s="104">
        <f t="shared" si="78"/>
        <v>1.016</v>
      </c>
      <c r="P616" s="105">
        <f t="shared" si="94"/>
        <v>13.868399999999999</v>
      </c>
    </row>
    <row r="617" spans="2:16" x14ac:dyDescent="0.25">
      <c r="B617" s="88" t="str">
        <f t="shared" si="96"/>
        <v>Sitio Santa Lúcia</v>
      </c>
      <c r="C617" s="106">
        <f t="shared" si="95"/>
        <v>2020</v>
      </c>
      <c r="D617" s="101">
        <v>44176</v>
      </c>
      <c r="E617" s="103">
        <v>0.33333333333333398</v>
      </c>
      <c r="F617" s="103">
        <v>0.41666666666666669</v>
      </c>
      <c r="G617" s="103">
        <v>0.25</v>
      </c>
      <c r="H617" s="102">
        <v>0.45833333333333331</v>
      </c>
      <c r="I617" s="90">
        <f t="shared" si="89"/>
        <v>1.9999999999999849</v>
      </c>
      <c r="J617" s="90">
        <f t="shared" si="88"/>
        <v>5</v>
      </c>
      <c r="K617" s="91">
        <f t="shared" si="90"/>
        <v>0.95833333333333348</v>
      </c>
      <c r="L617" s="91">
        <f t="shared" si="91"/>
        <v>3.9583333333333339</v>
      </c>
      <c r="M617" s="29">
        <f t="shared" si="92"/>
        <v>13</v>
      </c>
      <c r="N617" s="92">
        <f t="shared" si="93"/>
        <v>1.9999999999999849</v>
      </c>
      <c r="O617" s="104">
        <f t="shared" si="78"/>
        <v>1.016</v>
      </c>
      <c r="P617" s="105">
        <f t="shared" si="94"/>
        <v>18.491199999999861</v>
      </c>
    </row>
    <row r="618" spans="2:16" x14ac:dyDescent="0.25">
      <c r="B618" s="88" t="str">
        <f t="shared" si="96"/>
        <v>Sitio Santa Lúcia</v>
      </c>
      <c r="C618" s="106">
        <f t="shared" si="95"/>
        <v>2020</v>
      </c>
      <c r="D618" s="101">
        <v>44177</v>
      </c>
      <c r="E618" s="102">
        <v>0.25</v>
      </c>
      <c r="F618" s="103">
        <v>0.33333333333333398</v>
      </c>
      <c r="G618" s="103">
        <v>0.375</v>
      </c>
      <c r="H618" s="103">
        <v>0.4375</v>
      </c>
      <c r="I618" s="90">
        <f t="shared" si="89"/>
        <v>2.0000000000000155</v>
      </c>
      <c r="J618" s="90">
        <f t="shared" si="88"/>
        <v>1.5</v>
      </c>
      <c r="K618" s="91">
        <f t="shared" si="90"/>
        <v>0.95833333333333348</v>
      </c>
      <c r="L618" s="91">
        <f t="shared" si="91"/>
        <v>3.9583333333333339</v>
      </c>
      <c r="M618" s="29">
        <f t="shared" si="92"/>
        <v>13</v>
      </c>
      <c r="N618" s="92">
        <f t="shared" si="93"/>
        <v>2.0000000000000155</v>
      </c>
      <c r="O618" s="104">
        <f t="shared" si="78"/>
        <v>1.016</v>
      </c>
      <c r="P618" s="105">
        <f t="shared" si="94"/>
        <v>18.491200000000145</v>
      </c>
    </row>
    <row r="619" spans="2:16" x14ac:dyDescent="0.25">
      <c r="B619" s="88" t="str">
        <f t="shared" si="96"/>
        <v>Sitio Santa Lúcia</v>
      </c>
      <c r="C619" s="106">
        <f t="shared" si="95"/>
        <v>2020</v>
      </c>
      <c r="D619" s="101">
        <v>44178</v>
      </c>
      <c r="E619" s="103">
        <v>0.375</v>
      </c>
      <c r="F619" s="102">
        <v>0.41666666666666669</v>
      </c>
      <c r="G619" s="103">
        <v>0.35416666666666702</v>
      </c>
      <c r="H619" s="103">
        <v>0.44444444444444442</v>
      </c>
      <c r="I619" s="90">
        <f t="shared" si="89"/>
        <v>1.0000000000000004</v>
      </c>
      <c r="J619" s="90">
        <f t="shared" si="88"/>
        <v>2.1666666666666576</v>
      </c>
      <c r="K619" s="91">
        <f t="shared" si="90"/>
        <v>0.95833333333333348</v>
      </c>
      <c r="L619" s="91">
        <f t="shared" si="91"/>
        <v>3.9583333333333339</v>
      </c>
      <c r="M619" s="29">
        <f t="shared" si="92"/>
        <v>13</v>
      </c>
      <c r="N619" s="92">
        <f t="shared" si="93"/>
        <v>1.0000000000000004</v>
      </c>
      <c r="O619" s="104">
        <f t="shared" si="78"/>
        <v>1.016</v>
      </c>
      <c r="P619" s="105">
        <f t="shared" si="94"/>
        <v>9.2456000000000031</v>
      </c>
    </row>
    <row r="620" spans="2:16" x14ac:dyDescent="0.25">
      <c r="B620" s="88" t="str">
        <f t="shared" si="96"/>
        <v>Sitio Santa Lúcia</v>
      </c>
      <c r="C620" s="106">
        <f t="shared" si="95"/>
        <v>2020</v>
      </c>
      <c r="D620" s="101">
        <v>44179</v>
      </c>
      <c r="E620" s="102">
        <v>0.28125</v>
      </c>
      <c r="F620" s="103">
        <v>0.3263888888888889</v>
      </c>
      <c r="G620" s="103">
        <v>0.4375</v>
      </c>
      <c r="H620" s="103">
        <v>0.5</v>
      </c>
      <c r="I620" s="90">
        <f t="shared" si="89"/>
        <v>1.0833333333333335</v>
      </c>
      <c r="J620" s="90">
        <f t="shared" si="88"/>
        <v>1.5</v>
      </c>
      <c r="K620" s="91">
        <f t="shared" si="90"/>
        <v>0.95833333333333348</v>
      </c>
      <c r="L620" s="91">
        <f t="shared" si="91"/>
        <v>3.9583333333333339</v>
      </c>
      <c r="M620" s="29">
        <f t="shared" si="92"/>
        <v>13</v>
      </c>
      <c r="N620" s="92">
        <f t="shared" si="93"/>
        <v>1.0833333333333335</v>
      </c>
      <c r="O620" s="104">
        <f t="shared" si="78"/>
        <v>1.016</v>
      </c>
      <c r="P620" s="105">
        <f t="shared" si="94"/>
        <v>10.016066666666667</v>
      </c>
    </row>
    <row r="621" spans="2:16" x14ac:dyDescent="0.25">
      <c r="B621" s="88" t="str">
        <f t="shared" si="96"/>
        <v>Sitio Santa Lúcia</v>
      </c>
      <c r="C621" s="106">
        <f t="shared" si="95"/>
        <v>2020</v>
      </c>
      <c r="D621" s="101">
        <v>44180</v>
      </c>
      <c r="E621" s="102">
        <v>0.35416666666666702</v>
      </c>
      <c r="F621" s="103">
        <v>0.4513888888888889</v>
      </c>
      <c r="G621" s="102">
        <v>0.36805555555555558</v>
      </c>
      <c r="H621" s="103">
        <v>0.47916666666666669</v>
      </c>
      <c r="I621" s="90">
        <f t="shared" si="89"/>
        <v>2.333333333333325</v>
      </c>
      <c r="J621" s="90">
        <f t="shared" si="88"/>
        <v>2.6666666666666665</v>
      </c>
      <c r="K621" s="91">
        <f t="shared" si="90"/>
        <v>0.95833333333333348</v>
      </c>
      <c r="L621" s="91">
        <f t="shared" si="91"/>
        <v>3.9583333333333339</v>
      </c>
      <c r="M621" s="29">
        <f t="shared" si="92"/>
        <v>13</v>
      </c>
      <c r="N621" s="92">
        <f t="shared" si="93"/>
        <v>2.333333333333325</v>
      </c>
      <c r="O621" s="104">
        <f t="shared" si="78"/>
        <v>1.016</v>
      </c>
      <c r="P621" s="105">
        <f t="shared" si="94"/>
        <v>21.573066666666591</v>
      </c>
    </row>
    <row r="622" spans="2:16" x14ac:dyDescent="0.25">
      <c r="B622" s="88" t="str">
        <f t="shared" si="96"/>
        <v>Sitio Santa Lúcia</v>
      </c>
      <c r="C622" s="106">
        <f t="shared" si="95"/>
        <v>2020</v>
      </c>
      <c r="D622" s="101">
        <v>44181</v>
      </c>
      <c r="E622" s="103">
        <v>0.375</v>
      </c>
      <c r="F622" s="103">
        <v>0.41666666666666669</v>
      </c>
      <c r="G622" s="102">
        <v>0.25</v>
      </c>
      <c r="H622" s="102">
        <v>0.41666666666666669</v>
      </c>
      <c r="I622" s="90">
        <f t="shared" si="89"/>
        <v>1.0000000000000004</v>
      </c>
      <c r="J622" s="90">
        <f t="shared" si="88"/>
        <v>4</v>
      </c>
      <c r="K622" s="91">
        <f t="shared" si="90"/>
        <v>0.95833333333333348</v>
      </c>
      <c r="L622" s="91">
        <f t="shared" si="91"/>
        <v>3.9583333333333339</v>
      </c>
      <c r="M622" s="29">
        <f t="shared" si="92"/>
        <v>13</v>
      </c>
      <c r="N622" s="92">
        <f t="shared" si="93"/>
        <v>1.0000000000000004</v>
      </c>
      <c r="O622" s="104">
        <f t="shared" si="78"/>
        <v>1.016</v>
      </c>
      <c r="P622" s="105">
        <f t="shared" si="94"/>
        <v>9.2456000000000031</v>
      </c>
    </row>
    <row r="623" spans="2:16" x14ac:dyDescent="0.25">
      <c r="B623" s="88" t="str">
        <f t="shared" si="96"/>
        <v>Sitio Santa Lúcia</v>
      </c>
      <c r="C623" s="106">
        <f t="shared" si="95"/>
        <v>2020</v>
      </c>
      <c r="D623" s="101">
        <v>44182</v>
      </c>
      <c r="E623" s="102">
        <v>0.25</v>
      </c>
      <c r="F623" s="103">
        <v>0.375</v>
      </c>
      <c r="G623" s="103">
        <v>0.29166666666666702</v>
      </c>
      <c r="H623" s="103">
        <v>0.39583333333333331</v>
      </c>
      <c r="I623" s="90">
        <f t="shared" si="89"/>
        <v>3</v>
      </c>
      <c r="J623" s="90">
        <f t="shared" si="88"/>
        <v>2.4999999999999911</v>
      </c>
      <c r="K623" s="91">
        <f t="shared" si="90"/>
        <v>0.95833333333333348</v>
      </c>
      <c r="L623" s="91">
        <f t="shared" si="91"/>
        <v>3.9583333333333339</v>
      </c>
      <c r="M623" s="29">
        <f t="shared" si="92"/>
        <v>13</v>
      </c>
      <c r="N623" s="92">
        <f t="shared" si="93"/>
        <v>3</v>
      </c>
      <c r="O623" s="104">
        <f t="shared" si="78"/>
        <v>1.016</v>
      </c>
      <c r="P623" s="105">
        <f t="shared" si="94"/>
        <v>27.736799999999999</v>
      </c>
    </row>
    <row r="624" spans="2:16" x14ac:dyDescent="0.25">
      <c r="B624" s="88" t="str">
        <f t="shared" si="96"/>
        <v>Sitio Santa Lúcia</v>
      </c>
      <c r="C624" s="106">
        <f t="shared" si="95"/>
        <v>2020</v>
      </c>
      <c r="D624" s="101">
        <v>44183</v>
      </c>
      <c r="E624" s="102">
        <v>0.41666666666666669</v>
      </c>
      <c r="F624" s="103">
        <v>0.45833333333333331</v>
      </c>
      <c r="G624" s="103">
        <v>0.27083333333333331</v>
      </c>
      <c r="H624" s="103">
        <v>0.40277777777777773</v>
      </c>
      <c r="I624" s="90">
        <f t="shared" si="89"/>
        <v>0.99999999999999911</v>
      </c>
      <c r="J624" s="90">
        <f t="shared" si="88"/>
        <v>3.1666666666666661</v>
      </c>
      <c r="K624" s="91">
        <f t="shared" si="90"/>
        <v>0.95833333333333348</v>
      </c>
      <c r="L624" s="91">
        <f t="shared" si="91"/>
        <v>3.9583333333333339</v>
      </c>
      <c r="M624" s="29">
        <f t="shared" si="92"/>
        <v>13</v>
      </c>
      <c r="N624" s="92">
        <f t="shared" si="93"/>
        <v>0.99999999999999911</v>
      </c>
      <c r="O624" s="104">
        <f t="shared" si="78"/>
        <v>1.016</v>
      </c>
      <c r="P624" s="105">
        <f t="shared" si="94"/>
        <v>9.2455999999999925</v>
      </c>
    </row>
    <row r="625" spans="2:16" x14ac:dyDescent="0.25">
      <c r="B625" s="88" t="str">
        <f t="shared" si="96"/>
        <v>Sitio Santa Lúcia</v>
      </c>
      <c r="C625" s="106">
        <f t="shared" si="95"/>
        <v>2020</v>
      </c>
      <c r="D625" s="101">
        <v>44184</v>
      </c>
      <c r="E625" s="102">
        <v>0.29166666666666702</v>
      </c>
      <c r="F625" s="102">
        <v>0.3611111111111111</v>
      </c>
      <c r="G625" s="103">
        <v>0.41666666666666669</v>
      </c>
      <c r="H625" s="102">
        <v>0.5</v>
      </c>
      <c r="I625" s="90">
        <f t="shared" si="89"/>
        <v>1.6666666666666581</v>
      </c>
      <c r="J625" s="90">
        <f t="shared" si="88"/>
        <v>1.9999999999999996</v>
      </c>
      <c r="K625" s="91">
        <f t="shared" si="90"/>
        <v>0.95833333333333348</v>
      </c>
      <c r="L625" s="91">
        <f t="shared" si="91"/>
        <v>3.9583333333333339</v>
      </c>
      <c r="M625" s="29">
        <f t="shared" si="92"/>
        <v>13</v>
      </c>
      <c r="N625" s="92">
        <f t="shared" si="93"/>
        <v>1.6666666666666581</v>
      </c>
      <c r="O625" s="104">
        <f t="shared" si="78"/>
        <v>1.016</v>
      </c>
      <c r="P625" s="105">
        <f t="shared" si="94"/>
        <v>15.409333333333251</v>
      </c>
    </row>
    <row r="626" spans="2:16" x14ac:dyDescent="0.25">
      <c r="B626" s="88" t="str">
        <f t="shared" si="96"/>
        <v>Sitio Santa Lúcia</v>
      </c>
      <c r="C626" s="106">
        <f t="shared" si="95"/>
        <v>2020</v>
      </c>
      <c r="D626" s="101">
        <v>44185</v>
      </c>
      <c r="E626" s="103">
        <v>0.27083333333333331</v>
      </c>
      <c r="F626" s="103">
        <v>0.41666666666666669</v>
      </c>
      <c r="G626" s="102">
        <v>0.25</v>
      </c>
      <c r="H626" s="103">
        <v>0.33333333333333398</v>
      </c>
      <c r="I626" s="90">
        <f t="shared" si="89"/>
        <v>3.5000000000000009</v>
      </c>
      <c r="J626" s="90">
        <f t="shared" ref="J626:J637" si="97">((H626-G626)-INT($D$20))*24</f>
        <v>2.0000000000000155</v>
      </c>
      <c r="K626" s="91">
        <f t="shared" si="90"/>
        <v>0.95833333333333348</v>
      </c>
      <c r="L626" s="91">
        <f t="shared" si="91"/>
        <v>3.9583333333333339</v>
      </c>
      <c r="M626" s="29">
        <f t="shared" si="92"/>
        <v>13</v>
      </c>
      <c r="N626" s="92">
        <f t="shared" si="93"/>
        <v>3.5000000000000009</v>
      </c>
      <c r="O626" s="104">
        <f t="shared" si="78"/>
        <v>1.016</v>
      </c>
      <c r="P626" s="105">
        <f t="shared" si="94"/>
        <v>32.359600000000007</v>
      </c>
    </row>
    <row r="627" spans="2:16" x14ac:dyDescent="0.25">
      <c r="B627" s="88" t="str">
        <f t="shared" si="96"/>
        <v>Sitio Santa Lúcia</v>
      </c>
      <c r="C627" s="106">
        <f t="shared" si="95"/>
        <v>2020</v>
      </c>
      <c r="D627" s="101">
        <v>44186</v>
      </c>
      <c r="E627" s="103">
        <v>0.3125</v>
      </c>
      <c r="F627" s="102">
        <v>0.45833333333333331</v>
      </c>
      <c r="G627" s="103">
        <v>0.25</v>
      </c>
      <c r="H627" s="103">
        <v>0.35416666666666669</v>
      </c>
      <c r="I627" s="90">
        <f t="shared" ref="I627:I637" si="98">((F627-E627)-INT($D$20))*24</f>
        <v>3.4999999999999996</v>
      </c>
      <c r="J627" s="90">
        <f t="shared" si="97"/>
        <v>2.5000000000000004</v>
      </c>
      <c r="K627" s="91">
        <f t="shared" si="90"/>
        <v>0.95833333333333348</v>
      </c>
      <c r="L627" s="91">
        <f t="shared" si="91"/>
        <v>3.9583333333333339</v>
      </c>
      <c r="M627" s="29">
        <f t="shared" si="92"/>
        <v>13</v>
      </c>
      <c r="N627" s="92">
        <f t="shared" si="93"/>
        <v>3.4999999999999996</v>
      </c>
      <c r="O627" s="104">
        <f t="shared" si="78"/>
        <v>1.016</v>
      </c>
      <c r="P627" s="105">
        <f t="shared" si="94"/>
        <v>32.359599999999993</v>
      </c>
    </row>
    <row r="628" spans="2:16" x14ac:dyDescent="0.25">
      <c r="B628" s="88" t="str">
        <f t="shared" si="96"/>
        <v>Sitio Santa Lúcia</v>
      </c>
      <c r="C628" s="106">
        <f t="shared" si="95"/>
        <v>2020</v>
      </c>
      <c r="D628" s="101">
        <v>44187</v>
      </c>
      <c r="E628" s="102">
        <v>0.375</v>
      </c>
      <c r="F628" s="103">
        <v>0.47916666666666669</v>
      </c>
      <c r="G628" s="102">
        <v>0.29166666666666702</v>
      </c>
      <c r="H628" s="103">
        <v>0.33333333333333398</v>
      </c>
      <c r="I628" s="90">
        <f t="shared" si="98"/>
        <v>2.5000000000000004</v>
      </c>
      <c r="J628" s="90">
        <f t="shared" si="97"/>
        <v>1.0000000000000071</v>
      </c>
      <c r="K628" s="91">
        <f t="shared" si="90"/>
        <v>0.95833333333333348</v>
      </c>
      <c r="L628" s="91">
        <f t="shared" si="91"/>
        <v>3.9583333333333339</v>
      </c>
      <c r="M628" s="29">
        <f t="shared" si="92"/>
        <v>13</v>
      </c>
      <c r="N628" s="92">
        <f t="shared" si="93"/>
        <v>2.5000000000000004</v>
      </c>
      <c r="O628" s="104">
        <f t="shared" si="78"/>
        <v>1.016</v>
      </c>
      <c r="P628" s="105">
        <f t="shared" si="94"/>
        <v>23.114000000000004</v>
      </c>
    </row>
    <row r="629" spans="2:16" x14ac:dyDescent="0.25">
      <c r="B629" s="88" t="str">
        <f t="shared" si="96"/>
        <v>Sitio Santa Lúcia</v>
      </c>
      <c r="C629" s="106">
        <f t="shared" si="95"/>
        <v>2020</v>
      </c>
      <c r="D629" s="101">
        <v>44188</v>
      </c>
      <c r="E629" s="102">
        <v>0.35416666666666702</v>
      </c>
      <c r="F629" s="102">
        <v>0.44791666666666669</v>
      </c>
      <c r="G629" s="102">
        <v>0.33333333333333398</v>
      </c>
      <c r="H629" s="102">
        <v>0.40972222222222227</v>
      </c>
      <c r="I629" s="90">
        <f t="shared" si="98"/>
        <v>2.249999999999992</v>
      </c>
      <c r="J629" s="90">
        <f t="shared" si="97"/>
        <v>1.8333333333333188</v>
      </c>
      <c r="K629" s="91">
        <f t="shared" si="90"/>
        <v>0.95833333333333348</v>
      </c>
      <c r="L629" s="91">
        <f t="shared" si="91"/>
        <v>3.9583333333333339</v>
      </c>
      <c r="M629" s="29">
        <f t="shared" si="92"/>
        <v>13</v>
      </c>
      <c r="N629" s="92">
        <f t="shared" si="93"/>
        <v>2.249999999999992</v>
      </c>
      <c r="O629" s="104">
        <f t="shared" si="78"/>
        <v>1.016</v>
      </c>
      <c r="P629" s="105">
        <f t="shared" si="94"/>
        <v>20.802599999999927</v>
      </c>
    </row>
    <row r="630" spans="2:16" x14ac:dyDescent="0.25">
      <c r="B630" s="88" t="str">
        <f t="shared" si="96"/>
        <v>Sitio Santa Lúcia</v>
      </c>
      <c r="C630" s="106">
        <f t="shared" si="95"/>
        <v>2020</v>
      </c>
      <c r="D630" s="101">
        <v>44189</v>
      </c>
      <c r="E630" s="102">
        <v>0.29166666666666702</v>
      </c>
      <c r="F630" s="103">
        <v>0.41666666666666669</v>
      </c>
      <c r="G630" s="102">
        <v>0.33333333333333398</v>
      </c>
      <c r="H630" s="102">
        <v>0.45833333333333331</v>
      </c>
      <c r="I630" s="90">
        <f t="shared" si="98"/>
        <v>2.999999999999992</v>
      </c>
      <c r="J630" s="90">
        <f t="shared" si="97"/>
        <v>2.999999999999984</v>
      </c>
      <c r="K630" s="91">
        <f t="shared" si="90"/>
        <v>0.95833333333333348</v>
      </c>
      <c r="L630" s="91">
        <f t="shared" si="91"/>
        <v>3.9583333333333339</v>
      </c>
      <c r="M630" s="29">
        <f t="shared" si="92"/>
        <v>13</v>
      </c>
      <c r="N630" s="92">
        <f t="shared" si="93"/>
        <v>2.999999999999992</v>
      </c>
      <c r="O630" s="104">
        <f t="shared" si="78"/>
        <v>1.016</v>
      </c>
      <c r="P630" s="105">
        <f t="shared" si="94"/>
        <v>27.736799999999924</v>
      </c>
    </row>
    <row r="631" spans="2:16" x14ac:dyDescent="0.25">
      <c r="B631" s="88" t="str">
        <f t="shared" si="96"/>
        <v>Sitio Santa Lúcia</v>
      </c>
      <c r="C631" s="106">
        <f t="shared" si="95"/>
        <v>2020</v>
      </c>
      <c r="D631" s="101">
        <v>44190</v>
      </c>
      <c r="E631" s="103">
        <v>0.375</v>
      </c>
      <c r="F631" s="103">
        <v>0.45833333333333331</v>
      </c>
      <c r="G631" s="103">
        <v>0.25</v>
      </c>
      <c r="H631" s="102">
        <v>0.5</v>
      </c>
      <c r="I631" s="90">
        <f t="shared" si="98"/>
        <v>1.9999999999999996</v>
      </c>
      <c r="J631" s="90">
        <f t="shared" si="97"/>
        <v>6</v>
      </c>
      <c r="K631" s="91">
        <f t="shared" ref="K631:K637" si="99">VLOOKUP(B631,$B$5:$J$17,5,FALSE)</f>
        <v>0.95833333333333348</v>
      </c>
      <c r="L631" s="91">
        <f t="shared" ref="L631:L637" si="100">VLOOKUP(B631,$B$5:$J$17,6,FALSE)</f>
        <v>3.9583333333333339</v>
      </c>
      <c r="M631" s="29">
        <f t="shared" si="92"/>
        <v>13</v>
      </c>
      <c r="N631" s="92">
        <f t="shared" si="93"/>
        <v>1.9999999999999996</v>
      </c>
      <c r="O631" s="104">
        <f t="shared" si="78"/>
        <v>1.016</v>
      </c>
      <c r="P631" s="105">
        <f t="shared" si="94"/>
        <v>18.491199999999996</v>
      </c>
    </row>
    <row r="632" spans="2:16" x14ac:dyDescent="0.25">
      <c r="B632" s="88" t="str">
        <f t="shared" si="96"/>
        <v>Sitio Santa Lúcia</v>
      </c>
      <c r="C632" s="106">
        <f t="shared" si="95"/>
        <v>2020</v>
      </c>
      <c r="D632" s="101">
        <v>44191</v>
      </c>
      <c r="E632" s="102">
        <v>0.33333333333333398</v>
      </c>
      <c r="F632" s="103">
        <v>0.375</v>
      </c>
      <c r="G632" s="102">
        <v>0.39583333333333331</v>
      </c>
      <c r="H632" s="102">
        <v>0.45833333333333331</v>
      </c>
      <c r="I632" s="90">
        <f t="shared" si="98"/>
        <v>0.99999999999998446</v>
      </c>
      <c r="J632" s="90">
        <f t="shared" si="97"/>
        <v>1.5</v>
      </c>
      <c r="K632" s="91">
        <f t="shared" si="99"/>
        <v>0.95833333333333348</v>
      </c>
      <c r="L632" s="91">
        <f t="shared" si="100"/>
        <v>3.9583333333333339</v>
      </c>
      <c r="M632" s="29">
        <f t="shared" si="92"/>
        <v>13</v>
      </c>
      <c r="N632" s="92">
        <f t="shared" si="93"/>
        <v>0.99999999999998446</v>
      </c>
      <c r="O632" s="104">
        <f t="shared" si="78"/>
        <v>1.016</v>
      </c>
      <c r="P632" s="105">
        <f t="shared" si="94"/>
        <v>9.2455999999998557</v>
      </c>
    </row>
    <row r="633" spans="2:16" x14ac:dyDescent="0.25">
      <c r="B633" s="88" t="str">
        <f t="shared" si="96"/>
        <v>Sitio Santa Lúcia</v>
      </c>
      <c r="C633" s="106">
        <f t="shared" si="95"/>
        <v>2020</v>
      </c>
      <c r="D633" s="101">
        <v>44192</v>
      </c>
      <c r="E633" s="103">
        <v>0.375</v>
      </c>
      <c r="F633" s="102">
        <v>0.4375</v>
      </c>
      <c r="G633" s="102">
        <v>0.27083333333333331</v>
      </c>
      <c r="H633" s="103">
        <v>0.41666666666666669</v>
      </c>
      <c r="I633" s="90">
        <f t="shared" si="98"/>
        <v>1.5</v>
      </c>
      <c r="J633" s="90">
        <f t="shared" si="97"/>
        <v>3.5000000000000009</v>
      </c>
      <c r="K633" s="91">
        <f t="shared" si="99"/>
        <v>0.95833333333333348</v>
      </c>
      <c r="L633" s="91">
        <f t="shared" si="100"/>
        <v>3.9583333333333339</v>
      </c>
      <c r="M633" s="29">
        <f t="shared" si="92"/>
        <v>13</v>
      </c>
      <c r="N633" s="92">
        <f t="shared" si="93"/>
        <v>1.5</v>
      </c>
      <c r="O633" s="104">
        <f t="shared" si="78"/>
        <v>1.016</v>
      </c>
      <c r="P633" s="105">
        <f t="shared" si="94"/>
        <v>13.868399999999999</v>
      </c>
    </row>
    <row r="634" spans="2:16" x14ac:dyDescent="0.25">
      <c r="B634" s="88" t="str">
        <f t="shared" si="96"/>
        <v>Sitio Santa Lúcia</v>
      </c>
      <c r="C634" s="106">
        <f t="shared" si="95"/>
        <v>2020</v>
      </c>
      <c r="D634" s="101">
        <v>44193</v>
      </c>
      <c r="E634" s="103">
        <v>0.33333333333333398</v>
      </c>
      <c r="F634" s="103">
        <v>0.41666666666666669</v>
      </c>
      <c r="G634" s="103">
        <v>0.25</v>
      </c>
      <c r="H634" s="103">
        <v>0.33333333333333398</v>
      </c>
      <c r="I634" s="90">
        <f t="shared" si="98"/>
        <v>1.9999999999999849</v>
      </c>
      <c r="J634" s="90">
        <f t="shared" si="97"/>
        <v>2.0000000000000155</v>
      </c>
      <c r="K634" s="91">
        <f t="shared" si="99"/>
        <v>0.95833333333333348</v>
      </c>
      <c r="L634" s="91">
        <f t="shared" si="100"/>
        <v>3.9583333333333339</v>
      </c>
      <c r="M634" s="29">
        <f t="shared" si="92"/>
        <v>13</v>
      </c>
      <c r="N634" s="92">
        <f t="shared" si="93"/>
        <v>1.9999999999999849</v>
      </c>
      <c r="O634" s="104">
        <f t="shared" si="78"/>
        <v>1.016</v>
      </c>
      <c r="P634" s="105">
        <f t="shared" si="94"/>
        <v>18.491199999999861</v>
      </c>
    </row>
    <row r="635" spans="2:16" x14ac:dyDescent="0.25">
      <c r="B635" s="88" t="str">
        <f t="shared" si="96"/>
        <v>Sitio Santa Lúcia</v>
      </c>
      <c r="C635" s="106">
        <f t="shared" si="95"/>
        <v>2020</v>
      </c>
      <c r="D635" s="101">
        <v>44194</v>
      </c>
      <c r="E635" s="103">
        <v>0.375</v>
      </c>
      <c r="F635" s="102">
        <v>0.45833333333333331</v>
      </c>
      <c r="G635" s="102">
        <v>0.29166666666666702</v>
      </c>
      <c r="H635" s="103">
        <v>0.41666666666666669</v>
      </c>
      <c r="I635" s="90">
        <f t="shared" si="98"/>
        <v>1.9999999999999996</v>
      </c>
      <c r="J635" s="90">
        <f t="shared" si="97"/>
        <v>2.999999999999992</v>
      </c>
      <c r="K635" s="91">
        <f t="shared" si="99"/>
        <v>0.95833333333333348</v>
      </c>
      <c r="L635" s="91">
        <f t="shared" si="100"/>
        <v>3.9583333333333339</v>
      </c>
      <c r="M635" s="29">
        <f t="shared" si="92"/>
        <v>13</v>
      </c>
      <c r="N635" s="92">
        <f t="shared" si="93"/>
        <v>1.9999999999999996</v>
      </c>
      <c r="O635" s="104">
        <f t="shared" si="78"/>
        <v>1.016</v>
      </c>
      <c r="P635" s="105">
        <f t="shared" si="94"/>
        <v>18.491199999999996</v>
      </c>
    </row>
    <row r="636" spans="2:16" x14ac:dyDescent="0.25">
      <c r="B636" s="88" t="str">
        <f t="shared" si="96"/>
        <v>Sitio Santa Lúcia</v>
      </c>
      <c r="C636" s="106">
        <f t="shared" si="95"/>
        <v>2020</v>
      </c>
      <c r="D636" s="101">
        <v>44195</v>
      </c>
      <c r="E636" s="102">
        <v>0.27083333333333331</v>
      </c>
      <c r="F636" s="103">
        <v>0.375</v>
      </c>
      <c r="G636" s="103">
        <v>0.33333333333333398</v>
      </c>
      <c r="H636" s="103">
        <v>0.41666666666666669</v>
      </c>
      <c r="I636" s="90">
        <f t="shared" si="98"/>
        <v>2.5000000000000004</v>
      </c>
      <c r="J636" s="90">
        <f t="shared" si="97"/>
        <v>1.9999999999999849</v>
      </c>
      <c r="K636" s="91">
        <f t="shared" si="99"/>
        <v>0.95833333333333348</v>
      </c>
      <c r="L636" s="91">
        <f t="shared" si="100"/>
        <v>3.9583333333333339</v>
      </c>
      <c r="M636" s="29">
        <f t="shared" si="92"/>
        <v>13</v>
      </c>
      <c r="N636" s="92">
        <f t="shared" si="93"/>
        <v>2.5000000000000004</v>
      </c>
      <c r="O636" s="104">
        <f t="shared" si="78"/>
        <v>1.016</v>
      </c>
      <c r="P636" s="105">
        <f t="shared" si="94"/>
        <v>23.114000000000004</v>
      </c>
    </row>
    <row r="637" spans="2:16" x14ac:dyDescent="0.25">
      <c r="B637" s="88" t="str">
        <f t="shared" si="96"/>
        <v>Sitio Santa Lúcia</v>
      </c>
      <c r="C637" s="106">
        <f t="shared" si="95"/>
        <v>2020</v>
      </c>
      <c r="D637" s="101">
        <v>44196</v>
      </c>
      <c r="E637" s="103">
        <v>0.29166666666666702</v>
      </c>
      <c r="F637" s="102">
        <v>0.41666666666666669</v>
      </c>
      <c r="G637" s="102">
        <v>0.375</v>
      </c>
      <c r="H637" s="102">
        <v>0.4513888888888889</v>
      </c>
      <c r="I637" s="90">
        <f t="shared" si="98"/>
        <v>2.999999999999992</v>
      </c>
      <c r="J637" s="90">
        <f t="shared" si="97"/>
        <v>1.8333333333333335</v>
      </c>
      <c r="K637" s="91">
        <f t="shared" si="99"/>
        <v>0.95833333333333348</v>
      </c>
      <c r="L637" s="91">
        <f t="shared" si="100"/>
        <v>3.9583333333333339</v>
      </c>
      <c r="M637" s="29">
        <f t="shared" si="92"/>
        <v>13</v>
      </c>
      <c r="N637" s="92">
        <f t="shared" si="93"/>
        <v>2.999999999999992</v>
      </c>
      <c r="O637" s="104">
        <f t="shared" si="78"/>
        <v>1.016</v>
      </c>
      <c r="P637" s="105">
        <f t="shared" si="94"/>
        <v>27.736799999999924</v>
      </c>
    </row>
    <row r="638" spans="2:16" ht="15" thickBot="1" x14ac:dyDescent="0.3">
      <c r="B638" s="97"/>
      <c r="C638" s="97"/>
      <c r="D638" s="97"/>
      <c r="E638" s="97"/>
      <c r="F638" s="97"/>
      <c r="G638" s="97"/>
      <c r="H638" s="97"/>
      <c r="I638" s="97"/>
      <c r="J638" s="97"/>
      <c r="K638" s="97"/>
      <c r="L638" s="97"/>
      <c r="M638" s="97"/>
      <c r="N638" s="97"/>
      <c r="O638" s="97"/>
      <c r="P638" s="97"/>
    </row>
    <row r="639" spans="2:16" ht="15" thickTop="1" x14ac:dyDescent="0.25">
      <c r="P639" s="96"/>
    </row>
    <row r="640" spans="2:16" x14ac:dyDescent="0.25">
      <c r="B640" s="178" t="s">
        <v>183</v>
      </c>
      <c r="C640" s="178"/>
      <c r="D640" s="178"/>
      <c r="E640" s="178"/>
      <c r="F640" s="178"/>
      <c r="G640" s="178"/>
      <c r="H640" s="178"/>
      <c r="I640" s="178"/>
      <c r="J640" s="178"/>
      <c r="K640" s="178"/>
      <c r="L640" s="178"/>
      <c r="M640" s="70"/>
      <c r="N640" s="70"/>
      <c r="O640" s="70"/>
      <c r="P640" s="70"/>
    </row>
    <row r="641" spans="2:12" ht="15.75" x14ac:dyDescent="0.25">
      <c r="B641" s="148" t="s">
        <v>17</v>
      </c>
      <c r="C641" s="148"/>
      <c r="D641" s="148" t="s">
        <v>218</v>
      </c>
      <c r="E641" s="148"/>
      <c r="F641" s="148"/>
      <c r="G641" s="148" t="s">
        <v>219</v>
      </c>
      <c r="H641" s="148"/>
      <c r="I641" s="148"/>
      <c r="J641" s="148" t="s">
        <v>220</v>
      </c>
      <c r="K641" s="148"/>
      <c r="L641" s="148"/>
    </row>
    <row r="642" spans="2:12" ht="71.25" x14ac:dyDescent="0.25">
      <c r="B642" s="148"/>
      <c r="C642" s="148"/>
      <c r="D642" s="107" t="s">
        <v>221</v>
      </c>
      <c r="E642" s="107" t="s">
        <v>222</v>
      </c>
      <c r="F642" s="107" t="s">
        <v>223</v>
      </c>
      <c r="G642" s="107" t="s">
        <v>224</v>
      </c>
      <c r="H642" s="107" t="s">
        <v>225</v>
      </c>
      <c r="I642" s="107" t="s">
        <v>226</v>
      </c>
      <c r="J642" s="107" t="s">
        <v>227</v>
      </c>
      <c r="K642" s="107" t="s">
        <v>228</v>
      </c>
      <c r="L642" s="107" t="s">
        <v>229</v>
      </c>
    </row>
    <row r="643" spans="2:12" x14ac:dyDescent="0.25">
      <c r="B643" s="180" t="str">
        <f>B17</f>
        <v>Sitio Santa Lúcia</v>
      </c>
      <c r="C643" s="180"/>
      <c r="D643" s="68">
        <f>AVERAGE(I27:I637)</f>
        <v>1.7292689579923621</v>
      </c>
      <c r="E643" s="92">
        <f>VLOOKUP(B643,$B$5:$J$17,5,FALSE)</f>
        <v>0.95833333333333348</v>
      </c>
      <c r="F643" s="108">
        <f>LARGE(D643:E643,1)</f>
        <v>1.7292689579923621</v>
      </c>
      <c r="G643" s="68">
        <f>AVERAGE(J27:J637)</f>
        <v>1.7956901254773596</v>
      </c>
      <c r="H643" s="68">
        <f>VLOOKUP(B643,$B$5:$J$17,6,FALSE)</f>
        <v>3.9583333333333339</v>
      </c>
      <c r="I643" s="109">
        <f>LARGE(G643:H643,1)</f>
        <v>3.9583333333333339</v>
      </c>
      <c r="J643" s="68">
        <f>AVERAGE(P27:P637)</f>
        <v>15.988129078014229</v>
      </c>
      <c r="K643" s="68">
        <f>O10</f>
        <v>6.1203013698630153</v>
      </c>
      <c r="L643" s="109">
        <f>LARGE(J643:K643,1)</f>
        <v>15.988129078014229</v>
      </c>
    </row>
    <row r="1396" spans="17:18" x14ac:dyDescent="0.25">
      <c r="Q1396" s="70"/>
      <c r="R1396" s="70"/>
    </row>
    <row r="1397" spans="17:18" x14ac:dyDescent="0.25">
      <c r="Q1397" s="70"/>
      <c r="R1397" s="70"/>
    </row>
    <row r="1398" spans="17:18" x14ac:dyDescent="0.25">
      <c r="Q1398" s="70"/>
      <c r="R1398" s="70"/>
    </row>
    <row r="1399" spans="17:18" ht="15" customHeight="1" x14ac:dyDescent="0.25"/>
  </sheetData>
  <mergeCells count="41">
    <mergeCell ref="B643:C643"/>
    <mergeCell ref="J25:J26"/>
    <mergeCell ref="K25:K26"/>
    <mergeCell ref="L25:L26"/>
    <mergeCell ref="M25:P25"/>
    <mergeCell ref="B640:L640"/>
    <mergeCell ref="B641:C642"/>
    <mergeCell ref="D641:F641"/>
    <mergeCell ref="G641:I641"/>
    <mergeCell ref="J641:L641"/>
    <mergeCell ref="B25:B26"/>
    <mergeCell ref="C25:C26"/>
    <mergeCell ref="D25:D26"/>
    <mergeCell ref="E25:F25"/>
    <mergeCell ref="G25:H25"/>
    <mergeCell ref="I25:I26"/>
    <mergeCell ref="B24:P24"/>
    <mergeCell ref="L10:N10"/>
    <mergeCell ref="B11:C11"/>
    <mergeCell ref="B12:C12"/>
    <mergeCell ref="B13:C13"/>
    <mergeCell ref="B14:C14"/>
    <mergeCell ref="B15:C15"/>
    <mergeCell ref="B10:C10"/>
    <mergeCell ref="B16:C16"/>
    <mergeCell ref="B17:C17"/>
    <mergeCell ref="B19:C19"/>
    <mergeCell ref="B20:C20"/>
    <mergeCell ref="B21:C21"/>
    <mergeCell ref="B5:C5"/>
    <mergeCell ref="B6:C6"/>
    <mergeCell ref="B7:C7"/>
    <mergeCell ref="B8:C8"/>
    <mergeCell ref="B9:C9"/>
    <mergeCell ref="B1:O1"/>
    <mergeCell ref="B2:G2"/>
    <mergeCell ref="I2:J3"/>
    <mergeCell ref="L2:O3"/>
    <mergeCell ref="B3:C4"/>
    <mergeCell ref="D3:E3"/>
    <mergeCell ref="F3:G3"/>
  </mergeCells>
  <pageMargins left="0.511811024" right="0.511811024" top="0.78740157499999996" bottom="0.78740157499999996" header="0.31496062000000002" footer="0.31496062000000002"/>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3801A-33A0-4107-8D28-A5C1FA17B33B}">
  <sheetPr>
    <tabColor theme="0" tint="-0.249977111117893"/>
  </sheetPr>
  <dimension ref="B1:R36"/>
  <sheetViews>
    <sheetView showGridLines="0" zoomScale="80" zoomScaleNormal="80" workbookViewId="0">
      <selection activeCell="R15" sqref="R15"/>
    </sheetView>
  </sheetViews>
  <sheetFormatPr defaultRowHeight="15" x14ac:dyDescent="0.25"/>
  <cols>
    <col min="1" max="6" width="9.140625" style="110"/>
    <col min="7" max="7" width="13.85546875" style="110" customWidth="1"/>
    <col min="8" max="9" width="9.140625" style="110"/>
    <col min="10" max="10" width="9.5703125" style="110" bestFit="1" customWidth="1"/>
    <col min="11" max="11" width="9.140625" style="110"/>
    <col min="12" max="12" width="10.28515625" style="110" bestFit="1" customWidth="1"/>
    <col min="13" max="16" width="9.140625" style="110"/>
    <col min="17" max="17" width="11.5703125" style="110" bestFit="1" customWidth="1"/>
    <col min="18" max="18" width="10.5703125" style="110" customWidth="1"/>
    <col min="19" max="262" width="9.140625" style="110"/>
    <col min="263" max="263" width="13.85546875" style="110" customWidth="1"/>
    <col min="264" max="265" width="9.140625" style="110"/>
    <col min="266" max="266" width="9.5703125" style="110" bestFit="1" customWidth="1"/>
    <col min="267" max="267" width="9.140625" style="110"/>
    <col min="268" max="268" width="10.28515625" style="110" bestFit="1" customWidth="1"/>
    <col min="269" max="272" width="9.140625" style="110"/>
    <col min="273" max="273" width="11.5703125" style="110" bestFit="1" customWidth="1"/>
    <col min="274" max="274" width="10.5703125" style="110" customWidth="1"/>
    <col min="275" max="518" width="9.140625" style="110"/>
    <col min="519" max="519" width="13.85546875" style="110" customWidth="1"/>
    <col min="520" max="521" width="9.140625" style="110"/>
    <col min="522" max="522" width="9.5703125" style="110" bestFit="1" customWidth="1"/>
    <col min="523" max="523" width="9.140625" style="110"/>
    <col min="524" max="524" width="10.28515625" style="110" bestFit="1" customWidth="1"/>
    <col min="525" max="528" width="9.140625" style="110"/>
    <col min="529" max="529" width="11.5703125" style="110" bestFit="1" customWidth="1"/>
    <col min="530" max="530" width="10.5703125" style="110" customWidth="1"/>
    <col min="531" max="774" width="9.140625" style="110"/>
    <col min="775" max="775" width="13.85546875" style="110" customWidth="1"/>
    <col min="776" max="777" width="9.140625" style="110"/>
    <col min="778" max="778" width="9.5703125" style="110" bestFit="1" customWidth="1"/>
    <col min="779" max="779" width="9.140625" style="110"/>
    <col min="780" max="780" width="10.28515625" style="110" bestFit="1" customWidth="1"/>
    <col min="781" max="784" width="9.140625" style="110"/>
    <col min="785" max="785" width="11.5703125" style="110" bestFit="1" customWidth="1"/>
    <col min="786" max="786" width="10.5703125" style="110" customWidth="1"/>
    <col min="787" max="1030" width="9.140625" style="110"/>
    <col min="1031" max="1031" width="13.85546875" style="110" customWidth="1"/>
    <col min="1032" max="1033" width="9.140625" style="110"/>
    <col min="1034" max="1034" width="9.5703125" style="110" bestFit="1" customWidth="1"/>
    <col min="1035" max="1035" width="9.140625" style="110"/>
    <col min="1036" max="1036" width="10.28515625" style="110" bestFit="1" customWidth="1"/>
    <col min="1037" max="1040" width="9.140625" style="110"/>
    <col min="1041" max="1041" width="11.5703125" style="110" bestFit="1" customWidth="1"/>
    <col min="1042" max="1042" width="10.5703125" style="110" customWidth="1"/>
    <col min="1043" max="1286" width="9.140625" style="110"/>
    <col min="1287" max="1287" width="13.85546875" style="110" customWidth="1"/>
    <col min="1288" max="1289" width="9.140625" style="110"/>
    <col min="1290" max="1290" width="9.5703125" style="110" bestFit="1" customWidth="1"/>
    <col min="1291" max="1291" width="9.140625" style="110"/>
    <col min="1292" max="1292" width="10.28515625" style="110" bestFit="1" customWidth="1"/>
    <col min="1293" max="1296" width="9.140625" style="110"/>
    <col min="1297" max="1297" width="11.5703125" style="110" bestFit="1" customWidth="1"/>
    <col min="1298" max="1298" width="10.5703125" style="110" customWidth="1"/>
    <col min="1299" max="1542" width="9.140625" style="110"/>
    <col min="1543" max="1543" width="13.85546875" style="110" customWidth="1"/>
    <col min="1544" max="1545" width="9.140625" style="110"/>
    <col min="1546" max="1546" width="9.5703125" style="110" bestFit="1" customWidth="1"/>
    <col min="1547" max="1547" width="9.140625" style="110"/>
    <col min="1548" max="1548" width="10.28515625" style="110" bestFit="1" customWidth="1"/>
    <col min="1549" max="1552" width="9.140625" style="110"/>
    <col min="1553" max="1553" width="11.5703125" style="110" bestFit="1" customWidth="1"/>
    <col min="1554" max="1554" width="10.5703125" style="110" customWidth="1"/>
    <col min="1555" max="1798" width="9.140625" style="110"/>
    <col min="1799" max="1799" width="13.85546875" style="110" customWidth="1"/>
    <col min="1800" max="1801" width="9.140625" style="110"/>
    <col min="1802" max="1802" width="9.5703125" style="110" bestFit="1" customWidth="1"/>
    <col min="1803" max="1803" width="9.140625" style="110"/>
    <col min="1804" max="1804" width="10.28515625" style="110" bestFit="1" customWidth="1"/>
    <col min="1805" max="1808" width="9.140625" style="110"/>
    <col min="1809" max="1809" width="11.5703125" style="110" bestFit="1" customWidth="1"/>
    <col min="1810" max="1810" width="10.5703125" style="110" customWidth="1"/>
    <col min="1811" max="2054" width="9.140625" style="110"/>
    <col min="2055" max="2055" width="13.85546875" style="110" customWidth="1"/>
    <col min="2056" max="2057" width="9.140625" style="110"/>
    <col min="2058" max="2058" width="9.5703125" style="110" bestFit="1" customWidth="1"/>
    <col min="2059" max="2059" width="9.140625" style="110"/>
    <col min="2060" max="2060" width="10.28515625" style="110" bestFit="1" customWidth="1"/>
    <col min="2061" max="2064" width="9.140625" style="110"/>
    <col min="2065" max="2065" width="11.5703125" style="110" bestFit="1" customWidth="1"/>
    <col min="2066" max="2066" width="10.5703125" style="110" customWidth="1"/>
    <col min="2067" max="2310" width="9.140625" style="110"/>
    <col min="2311" max="2311" width="13.85546875" style="110" customWidth="1"/>
    <col min="2312" max="2313" width="9.140625" style="110"/>
    <col min="2314" max="2314" width="9.5703125" style="110" bestFit="1" customWidth="1"/>
    <col min="2315" max="2315" width="9.140625" style="110"/>
    <col min="2316" max="2316" width="10.28515625" style="110" bestFit="1" customWidth="1"/>
    <col min="2317" max="2320" width="9.140625" style="110"/>
    <col min="2321" max="2321" width="11.5703125" style="110" bestFit="1" customWidth="1"/>
    <col min="2322" max="2322" width="10.5703125" style="110" customWidth="1"/>
    <col min="2323" max="2566" width="9.140625" style="110"/>
    <col min="2567" max="2567" width="13.85546875" style="110" customWidth="1"/>
    <col min="2568" max="2569" width="9.140625" style="110"/>
    <col min="2570" max="2570" width="9.5703125" style="110" bestFit="1" customWidth="1"/>
    <col min="2571" max="2571" width="9.140625" style="110"/>
    <col min="2572" max="2572" width="10.28515625" style="110" bestFit="1" customWidth="1"/>
    <col min="2573" max="2576" width="9.140625" style="110"/>
    <col min="2577" max="2577" width="11.5703125" style="110" bestFit="1" customWidth="1"/>
    <col min="2578" max="2578" width="10.5703125" style="110" customWidth="1"/>
    <col min="2579" max="2822" width="9.140625" style="110"/>
    <col min="2823" max="2823" width="13.85546875" style="110" customWidth="1"/>
    <col min="2824" max="2825" width="9.140625" style="110"/>
    <col min="2826" max="2826" width="9.5703125" style="110" bestFit="1" customWidth="1"/>
    <col min="2827" max="2827" width="9.140625" style="110"/>
    <col min="2828" max="2828" width="10.28515625" style="110" bestFit="1" customWidth="1"/>
    <col min="2829" max="2832" width="9.140625" style="110"/>
    <col min="2833" max="2833" width="11.5703125" style="110" bestFit="1" customWidth="1"/>
    <col min="2834" max="2834" width="10.5703125" style="110" customWidth="1"/>
    <col min="2835" max="3078" width="9.140625" style="110"/>
    <col min="3079" max="3079" width="13.85546875" style="110" customWidth="1"/>
    <col min="3080" max="3081" width="9.140625" style="110"/>
    <col min="3082" max="3082" width="9.5703125" style="110" bestFit="1" customWidth="1"/>
    <col min="3083" max="3083" width="9.140625" style="110"/>
    <col min="3084" max="3084" width="10.28515625" style="110" bestFit="1" customWidth="1"/>
    <col min="3085" max="3088" width="9.140625" style="110"/>
    <col min="3089" max="3089" width="11.5703125" style="110" bestFit="1" customWidth="1"/>
    <col min="3090" max="3090" width="10.5703125" style="110" customWidth="1"/>
    <col min="3091" max="3334" width="9.140625" style="110"/>
    <col min="3335" max="3335" width="13.85546875" style="110" customWidth="1"/>
    <col min="3336" max="3337" width="9.140625" style="110"/>
    <col min="3338" max="3338" width="9.5703125" style="110" bestFit="1" customWidth="1"/>
    <col min="3339" max="3339" width="9.140625" style="110"/>
    <col min="3340" max="3340" width="10.28515625" style="110" bestFit="1" customWidth="1"/>
    <col min="3341" max="3344" width="9.140625" style="110"/>
    <col min="3345" max="3345" width="11.5703125" style="110" bestFit="1" customWidth="1"/>
    <col min="3346" max="3346" width="10.5703125" style="110" customWidth="1"/>
    <col min="3347" max="3590" width="9.140625" style="110"/>
    <col min="3591" max="3591" width="13.85546875" style="110" customWidth="1"/>
    <col min="3592" max="3593" width="9.140625" style="110"/>
    <col min="3594" max="3594" width="9.5703125" style="110" bestFit="1" customWidth="1"/>
    <col min="3595" max="3595" width="9.140625" style="110"/>
    <col min="3596" max="3596" width="10.28515625" style="110" bestFit="1" customWidth="1"/>
    <col min="3597" max="3600" width="9.140625" style="110"/>
    <col min="3601" max="3601" width="11.5703125" style="110" bestFit="1" customWidth="1"/>
    <col min="3602" max="3602" width="10.5703125" style="110" customWidth="1"/>
    <col min="3603" max="3846" width="9.140625" style="110"/>
    <col min="3847" max="3847" width="13.85546875" style="110" customWidth="1"/>
    <col min="3848" max="3849" width="9.140625" style="110"/>
    <col min="3850" max="3850" width="9.5703125" style="110" bestFit="1" customWidth="1"/>
    <col min="3851" max="3851" width="9.140625" style="110"/>
    <col min="3852" max="3852" width="10.28515625" style="110" bestFit="1" customWidth="1"/>
    <col min="3853" max="3856" width="9.140625" style="110"/>
    <col min="3857" max="3857" width="11.5703125" style="110" bestFit="1" customWidth="1"/>
    <col min="3858" max="3858" width="10.5703125" style="110" customWidth="1"/>
    <col min="3859" max="4102" width="9.140625" style="110"/>
    <col min="4103" max="4103" width="13.85546875" style="110" customWidth="1"/>
    <col min="4104" max="4105" width="9.140625" style="110"/>
    <col min="4106" max="4106" width="9.5703125" style="110" bestFit="1" customWidth="1"/>
    <col min="4107" max="4107" width="9.140625" style="110"/>
    <col min="4108" max="4108" width="10.28515625" style="110" bestFit="1" customWidth="1"/>
    <col min="4109" max="4112" width="9.140625" style="110"/>
    <col min="4113" max="4113" width="11.5703125" style="110" bestFit="1" customWidth="1"/>
    <col min="4114" max="4114" width="10.5703125" style="110" customWidth="1"/>
    <col min="4115" max="4358" width="9.140625" style="110"/>
    <col min="4359" max="4359" width="13.85546875" style="110" customWidth="1"/>
    <col min="4360" max="4361" width="9.140625" style="110"/>
    <col min="4362" max="4362" width="9.5703125" style="110" bestFit="1" customWidth="1"/>
    <col min="4363" max="4363" width="9.140625" style="110"/>
    <col min="4364" max="4364" width="10.28515625" style="110" bestFit="1" customWidth="1"/>
    <col min="4365" max="4368" width="9.140625" style="110"/>
    <col min="4369" max="4369" width="11.5703125" style="110" bestFit="1" customWidth="1"/>
    <col min="4370" max="4370" width="10.5703125" style="110" customWidth="1"/>
    <col min="4371" max="4614" width="9.140625" style="110"/>
    <col min="4615" max="4615" width="13.85546875" style="110" customWidth="1"/>
    <col min="4616" max="4617" width="9.140625" style="110"/>
    <col min="4618" max="4618" width="9.5703125" style="110" bestFit="1" customWidth="1"/>
    <col min="4619" max="4619" width="9.140625" style="110"/>
    <col min="4620" max="4620" width="10.28515625" style="110" bestFit="1" customWidth="1"/>
    <col min="4621" max="4624" width="9.140625" style="110"/>
    <col min="4625" max="4625" width="11.5703125" style="110" bestFit="1" customWidth="1"/>
    <col min="4626" max="4626" width="10.5703125" style="110" customWidth="1"/>
    <col min="4627" max="4870" width="9.140625" style="110"/>
    <col min="4871" max="4871" width="13.85546875" style="110" customWidth="1"/>
    <col min="4872" max="4873" width="9.140625" style="110"/>
    <col min="4874" max="4874" width="9.5703125" style="110" bestFit="1" customWidth="1"/>
    <col min="4875" max="4875" width="9.140625" style="110"/>
    <col min="4876" max="4876" width="10.28515625" style="110" bestFit="1" customWidth="1"/>
    <col min="4877" max="4880" width="9.140625" style="110"/>
    <col min="4881" max="4881" width="11.5703125" style="110" bestFit="1" customWidth="1"/>
    <col min="4882" max="4882" width="10.5703125" style="110" customWidth="1"/>
    <col min="4883" max="5126" width="9.140625" style="110"/>
    <col min="5127" max="5127" width="13.85546875" style="110" customWidth="1"/>
    <col min="5128" max="5129" width="9.140625" style="110"/>
    <col min="5130" max="5130" width="9.5703125" style="110" bestFit="1" customWidth="1"/>
    <col min="5131" max="5131" width="9.140625" style="110"/>
    <col min="5132" max="5132" width="10.28515625" style="110" bestFit="1" customWidth="1"/>
    <col min="5133" max="5136" width="9.140625" style="110"/>
    <col min="5137" max="5137" width="11.5703125" style="110" bestFit="1" customWidth="1"/>
    <col min="5138" max="5138" width="10.5703125" style="110" customWidth="1"/>
    <col min="5139" max="5382" width="9.140625" style="110"/>
    <col min="5383" max="5383" width="13.85546875" style="110" customWidth="1"/>
    <col min="5384" max="5385" width="9.140625" style="110"/>
    <col min="5386" max="5386" width="9.5703125" style="110" bestFit="1" customWidth="1"/>
    <col min="5387" max="5387" width="9.140625" style="110"/>
    <col min="5388" max="5388" width="10.28515625" style="110" bestFit="1" customWidth="1"/>
    <col min="5389" max="5392" width="9.140625" style="110"/>
    <col min="5393" max="5393" width="11.5703125" style="110" bestFit="1" customWidth="1"/>
    <col min="5394" max="5394" width="10.5703125" style="110" customWidth="1"/>
    <col min="5395" max="5638" width="9.140625" style="110"/>
    <col min="5639" max="5639" width="13.85546875" style="110" customWidth="1"/>
    <col min="5640" max="5641" width="9.140625" style="110"/>
    <col min="5642" max="5642" width="9.5703125" style="110" bestFit="1" customWidth="1"/>
    <col min="5643" max="5643" width="9.140625" style="110"/>
    <col min="5644" max="5644" width="10.28515625" style="110" bestFit="1" customWidth="1"/>
    <col min="5645" max="5648" width="9.140625" style="110"/>
    <col min="5649" max="5649" width="11.5703125" style="110" bestFit="1" customWidth="1"/>
    <col min="5650" max="5650" width="10.5703125" style="110" customWidth="1"/>
    <col min="5651" max="5894" width="9.140625" style="110"/>
    <col min="5895" max="5895" width="13.85546875" style="110" customWidth="1"/>
    <col min="5896" max="5897" width="9.140625" style="110"/>
    <col min="5898" max="5898" width="9.5703125" style="110" bestFit="1" customWidth="1"/>
    <col min="5899" max="5899" width="9.140625" style="110"/>
    <col min="5900" max="5900" width="10.28515625" style="110" bestFit="1" customWidth="1"/>
    <col min="5901" max="5904" width="9.140625" style="110"/>
    <col min="5905" max="5905" width="11.5703125" style="110" bestFit="1" customWidth="1"/>
    <col min="5906" max="5906" width="10.5703125" style="110" customWidth="1"/>
    <col min="5907" max="6150" width="9.140625" style="110"/>
    <col min="6151" max="6151" width="13.85546875" style="110" customWidth="1"/>
    <col min="6152" max="6153" width="9.140625" style="110"/>
    <col min="6154" max="6154" width="9.5703125" style="110" bestFit="1" customWidth="1"/>
    <col min="6155" max="6155" width="9.140625" style="110"/>
    <col min="6156" max="6156" width="10.28515625" style="110" bestFit="1" customWidth="1"/>
    <col min="6157" max="6160" width="9.140625" style="110"/>
    <col min="6161" max="6161" width="11.5703125" style="110" bestFit="1" customWidth="1"/>
    <col min="6162" max="6162" width="10.5703125" style="110" customWidth="1"/>
    <col min="6163" max="6406" width="9.140625" style="110"/>
    <col min="6407" max="6407" width="13.85546875" style="110" customWidth="1"/>
    <col min="6408" max="6409" width="9.140625" style="110"/>
    <col min="6410" max="6410" width="9.5703125" style="110" bestFit="1" customWidth="1"/>
    <col min="6411" max="6411" width="9.140625" style="110"/>
    <col min="6412" max="6412" width="10.28515625" style="110" bestFit="1" customWidth="1"/>
    <col min="6413" max="6416" width="9.140625" style="110"/>
    <col min="6417" max="6417" width="11.5703125" style="110" bestFit="1" customWidth="1"/>
    <col min="6418" max="6418" width="10.5703125" style="110" customWidth="1"/>
    <col min="6419" max="6662" width="9.140625" style="110"/>
    <col min="6663" max="6663" width="13.85546875" style="110" customWidth="1"/>
    <col min="6664" max="6665" width="9.140625" style="110"/>
    <col min="6666" max="6666" width="9.5703125" style="110" bestFit="1" customWidth="1"/>
    <col min="6667" max="6667" width="9.140625" style="110"/>
    <col min="6668" max="6668" width="10.28515625" style="110" bestFit="1" customWidth="1"/>
    <col min="6669" max="6672" width="9.140625" style="110"/>
    <col min="6673" max="6673" width="11.5703125" style="110" bestFit="1" customWidth="1"/>
    <col min="6674" max="6674" width="10.5703125" style="110" customWidth="1"/>
    <col min="6675" max="6918" width="9.140625" style="110"/>
    <col min="6919" max="6919" width="13.85546875" style="110" customWidth="1"/>
    <col min="6920" max="6921" width="9.140625" style="110"/>
    <col min="6922" max="6922" width="9.5703125" style="110" bestFit="1" customWidth="1"/>
    <col min="6923" max="6923" width="9.140625" style="110"/>
    <col min="6924" max="6924" width="10.28515625" style="110" bestFit="1" customWidth="1"/>
    <col min="6925" max="6928" width="9.140625" style="110"/>
    <col min="6929" max="6929" width="11.5703125" style="110" bestFit="1" customWidth="1"/>
    <col min="6930" max="6930" width="10.5703125" style="110" customWidth="1"/>
    <col min="6931" max="7174" width="9.140625" style="110"/>
    <col min="7175" max="7175" width="13.85546875" style="110" customWidth="1"/>
    <col min="7176" max="7177" width="9.140625" style="110"/>
    <col min="7178" max="7178" width="9.5703125" style="110" bestFit="1" customWidth="1"/>
    <col min="7179" max="7179" width="9.140625" style="110"/>
    <col min="7180" max="7180" width="10.28515625" style="110" bestFit="1" customWidth="1"/>
    <col min="7181" max="7184" width="9.140625" style="110"/>
    <col min="7185" max="7185" width="11.5703125" style="110" bestFit="1" customWidth="1"/>
    <col min="7186" max="7186" width="10.5703125" style="110" customWidth="1"/>
    <col min="7187" max="7430" width="9.140625" style="110"/>
    <col min="7431" max="7431" width="13.85546875" style="110" customWidth="1"/>
    <col min="7432" max="7433" width="9.140625" style="110"/>
    <col min="7434" max="7434" width="9.5703125" style="110" bestFit="1" customWidth="1"/>
    <col min="7435" max="7435" width="9.140625" style="110"/>
    <col min="7436" max="7436" width="10.28515625" style="110" bestFit="1" customWidth="1"/>
    <col min="7437" max="7440" width="9.140625" style="110"/>
    <col min="7441" max="7441" width="11.5703125" style="110" bestFit="1" customWidth="1"/>
    <col min="7442" max="7442" width="10.5703125" style="110" customWidth="1"/>
    <col min="7443" max="7686" width="9.140625" style="110"/>
    <col min="7687" max="7687" width="13.85546875" style="110" customWidth="1"/>
    <col min="7688" max="7689" width="9.140625" style="110"/>
    <col min="7690" max="7690" width="9.5703125" style="110" bestFit="1" customWidth="1"/>
    <col min="7691" max="7691" width="9.140625" style="110"/>
    <col min="7692" max="7692" width="10.28515625" style="110" bestFit="1" customWidth="1"/>
    <col min="7693" max="7696" width="9.140625" style="110"/>
    <col min="7697" max="7697" width="11.5703125" style="110" bestFit="1" customWidth="1"/>
    <col min="7698" max="7698" width="10.5703125" style="110" customWidth="1"/>
    <col min="7699" max="7942" width="9.140625" style="110"/>
    <col min="7943" max="7943" width="13.85546875" style="110" customWidth="1"/>
    <col min="7944" max="7945" width="9.140625" style="110"/>
    <col min="7946" max="7946" width="9.5703125" style="110" bestFit="1" customWidth="1"/>
    <col min="7947" max="7947" width="9.140625" style="110"/>
    <col min="7948" max="7948" width="10.28515625" style="110" bestFit="1" customWidth="1"/>
    <col min="7949" max="7952" width="9.140625" style="110"/>
    <col min="7953" max="7953" width="11.5703125" style="110" bestFit="1" customWidth="1"/>
    <col min="7954" max="7954" width="10.5703125" style="110" customWidth="1"/>
    <col min="7955" max="8198" width="9.140625" style="110"/>
    <col min="8199" max="8199" width="13.85546875" style="110" customWidth="1"/>
    <col min="8200" max="8201" width="9.140625" style="110"/>
    <col min="8202" max="8202" width="9.5703125" style="110" bestFit="1" customWidth="1"/>
    <col min="8203" max="8203" width="9.140625" style="110"/>
    <col min="8204" max="8204" width="10.28515625" style="110" bestFit="1" customWidth="1"/>
    <col min="8205" max="8208" width="9.140625" style="110"/>
    <col min="8209" max="8209" width="11.5703125" style="110" bestFit="1" customWidth="1"/>
    <col min="8210" max="8210" width="10.5703125" style="110" customWidth="1"/>
    <col min="8211" max="8454" width="9.140625" style="110"/>
    <col min="8455" max="8455" width="13.85546875" style="110" customWidth="1"/>
    <col min="8456" max="8457" width="9.140625" style="110"/>
    <col min="8458" max="8458" width="9.5703125" style="110" bestFit="1" customWidth="1"/>
    <col min="8459" max="8459" width="9.140625" style="110"/>
    <col min="8460" max="8460" width="10.28515625" style="110" bestFit="1" customWidth="1"/>
    <col min="8461" max="8464" width="9.140625" style="110"/>
    <col min="8465" max="8465" width="11.5703125" style="110" bestFit="1" customWidth="1"/>
    <col min="8466" max="8466" width="10.5703125" style="110" customWidth="1"/>
    <col min="8467" max="8710" width="9.140625" style="110"/>
    <col min="8711" max="8711" width="13.85546875" style="110" customWidth="1"/>
    <col min="8712" max="8713" width="9.140625" style="110"/>
    <col min="8714" max="8714" width="9.5703125" style="110" bestFit="1" customWidth="1"/>
    <col min="8715" max="8715" width="9.140625" style="110"/>
    <col min="8716" max="8716" width="10.28515625" style="110" bestFit="1" customWidth="1"/>
    <col min="8717" max="8720" width="9.140625" style="110"/>
    <col min="8721" max="8721" width="11.5703125" style="110" bestFit="1" customWidth="1"/>
    <col min="8722" max="8722" width="10.5703125" style="110" customWidth="1"/>
    <col min="8723" max="8966" width="9.140625" style="110"/>
    <col min="8967" max="8967" width="13.85546875" style="110" customWidth="1"/>
    <col min="8968" max="8969" width="9.140625" style="110"/>
    <col min="8970" max="8970" width="9.5703125" style="110" bestFit="1" customWidth="1"/>
    <col min="8971" max="8971" width="9.140625" style="110"/>
    <col min="8972" max="8972" width="10.28515625" style="110" bestFit="1" customWidth="1"/>
    <col min="8973" max="8976" width="9.140625" style="110"/>
    <col min="8977" max="8977" width="11.5703125" style="110" bestFit="1" customWidth="1"/>
    <col min="8978" max="8978" width="10.5703125" style="110" customWidth="1"/>
    <col min="8979" max="9222" width="9.140625" style="110"/>
    <col min="9223" max="9223" width="13.85546875" style="110" customWidth="1"/>
    <col min="9224" max="9225" width="9.140625" style="110"/>
    <col min="9226" max="9226" width="9.5703125" style="110" bestFit="1" customWidth="1"/>
    <col min="9227" max="9227" width="9.140625" style="110"/>
    <col min="9228" max="9228" width="10.28515625" style="110" bestFit="1" customWidth="1"/>
    <col min="9229" max="9232" width="9.140625" style="110"/>
    <col min="9233" max="9233" width="11.5703125" style="110" bestFit="1" customWidth="1"/>
    <col min="9234" max="9234" width="10.5703125" style="110" customWidth="1"/>
    <col min="9235" max="9478" width="9.140625" style="110"/>
    <col min="9479" max="9479" width="13.85546875" style="110" customWidth="1"/>
    <col min="9480" max="9481" width="9.140625" style="110"/>
    <col min="9482" max="9482" width="9.5703125" style="110" bestFit="1" customWidth="1"/>
    <col min="9483" max="9483" width="9.140625" style="110"/>
    <col min="9484" max="9484" width="10.28515625" style="110" bestFit="1" customWidth="1"/>
    <col min="9485" max="9488" width="9.140625" style="110"/>
    <col min="9489" max="9489" width="11.5703125" style="110" bestFit="1" customWidth="1"/>
    <col min="9490" max="9490" width="10.5703125" style="110" customWidth="1"/>
    <col min="9491" max="9734" width="9.140625" style="110"/>
    <col min="9735" max="9735" width="13.85546875" style="110" customWidth="1"/>
    <col min="9736" max="9737" width="9.140625" style="110"/>
    <col min="9738" max="9738" width="9.5703125" style="110" bestFit="1" customWidth="1"/>
    <col min="9739" max="9739" width="9.140625" style="110"/>
    <col min="9740" max="9740" width="10.28515625" style="110" bestFit="1" customWidth="1"/>
    <col min="9741" max="9744" width="9.140625" style="110"/>
    <col min="9745" max="9745" width="11.5703125" style="110" bestFit="1" customWidth="1"/>
    <col min="9746" max="9746" width="10.5703125" style="110" customWidth="1"/>
    <col min="9747" max="9990" width="9.140625" style="110"/>
    <col min="9991" max="9991" width="13.85546875" style="110" customWidth="1"/>
    <col min="9992" max="9993" width="9.140625" style="110"/>
    <col min="9994" max="9994" width="9.5703125" style="110" bestFit="1" customWidth="1"/>
    <col min="9995" max="9995" width="9.140625" style="110"/>
    <col min="9996" max="9996" width="10.28515625" style="110" bestFit="1" customWidth="1"/>
    <col min="9997" max="10000" width="9.140625" style="110"/>
    <col min="10001" max="10001" width="11.5703125" style="110" bestFit="1" customWidth="1"/>
    <col min="10002" max="10002" width="10.5703125" style="110" customWidth="1"/>
    <col min="10003" max="10246" width="9.140625" style="110"/>
    <col min="10247" max="10247" width="13.85546875" style="110" customWidth="1"/>
    <col min="10248" max="10249" width="9.140625" style="110"/>
    <col min="10250" max="10250" width="9.5703125" style="110" bestFit="1" customWidth="1"/>
    <col min="10251" max="10251" width="9.140625" style="110"/>
    <col min="10252" max="10252" width="10.28515625" style="110" bestFit="1" customWidth="1"/>
    <col min="10253" max="10256" width="9.140625" style="110"/>
    <col min="10257" max="10257" width="11.5703125" style="110" bestFit="1" customWidth="1"/>
    <col min="10258" max="10258" width="10.5703125" style="110" customWidth="1"/>
    <col min="10259" max="10502" width="9.140625" style="110"/>
    <col min="10503" max="10503" width="13.85546875" style="110" customWidth="1"/>
    <col min="10504" max="10505" width="9.140625" style="110"/>
    <col min="10506" max="10506" width="9.5703125" style="110" bestFit="1" customWidth="1"/>
    <col min="10507" max="10507" width="9.140625" style="110"/>
    <col min="10508" max="10508" width="10.28515625" style="110" bestFit="1" customWidth="1"/>
    <col min="10509" max="10512" width="9.140625" style="110"/>
    <col min="10513" max="10513" width="11.5703125" style="110" bestFit="1" customWidth="1"/>
    <col min="10514" max="10514" width="10.5703125" style="110" customWidth="1"/>
    <col min="10515" max="10758" width="9.140625" style="110"/>
    <col min="10759" max="10759" width="13.85546875" style="110" customWidth="1"/>
    <col min="10760" max="10761" width="9.140625" style="110"/>
    <col min="10762" max="10762" width="9.5703125" style="110" bestFit="1" customWidth="1"/>
    <col min="10763" max="10763" width="9.140625" style="110"/>
    <col min="10764" max="10764" width="10.28515625" style="110" bestFit="1" customWidth="1"/>
    <col min="10765" max="10768" width="9.140625" style="110"/>
    <col min="10769" max="10769" width="11.5703125" style="110" bestFit="1" customWidth="1"/>
    <col min="10770" max="10770" width="10.5703125" style="110" customWidth="1"/>
    <col min="10771" max="11014" width="9.140625" style="110"/>
    <col min="11015" max="11015" width="13.85546875" style="110" customWidth="1"/>
    <col min="11016" max="11017" width="9.140625" style="110"/>
    <col min="11018" max="11018" width="9.5703125" style="110" bestFit="1" customWidth="1"/>
    <col min="11019" max="11019" width="9.140625" style="110"/>
    <col min="11020" max="11020" width="10.28515625" style="110" bestFit="1" customWidth="1"/>
    <col min="11021" max="11024" width="9.140625" style="110"/>
    <col min="11025" max="11025" width="11.5703125" style="110" bestFit="1" customWidth="1"/>
    <col min="11026" max="11026" width="10.5703125" style="110" customWidth="1"/>
    <col min="11027" max="11270" width="9.140625" style="110"/>
    <col min="11271" max="11271" width="13.85546875" style="110" customWidth="1"/>
    <col min="11272" max="11273" width="9.140625" style="110"/>
    <col min="11274" max="11274" width="9.5703125" style="110" bestFit="1" customWidth="1"/>
    <col min="11275" max="11275" width="9.140625" style="110"/>
    <col min="11276" max="11276" width="10.28515625" style="110" bestFit="1" customWidth="1"/>
    <col min="11277" max="11280" width="9.140625" style="110"/>
    <col min="11281" max="11281" width="11.5703125" style="110" bestFit="1" customWidth="1"/>
    <col min="11282" max="11282" width="10.5703125" style="110" customWidth="1"/>
    <col min="11283" max="11526" width="9.140625" style="110"/>
    <col min="11527" max="11527" width="13.85546875" style="110" customWidth="1"/>
    <col min="11528" max="11529" width="9.140625" style="110"/>
    <col min="11530" max="11530" width="9.5703125" style="110" bestFit="1" customWidth="1"/>
    <col min="11531" max="11531" width="9.140625" style="110"/>
    <col min="11532" max="11532" width="10.28515625" style="110" bestFit="1" customWidth="1"/>
    <col min="11533" max="11536" width="9.140625" style="110"/>
    <col min="11537" max="11537" width="11.5703125" style="110" bestFit="1" customWidth="1"/>
    <col min="11538" max="11538" width="10.5703125" style="110" customWidth="1"/>
    <col min="11539" max="11782" width="9.140625" style="110"/>
    <col min="11783" max="11783" width="13.85546875" style="110" customWidth="1"/>
    <col min="11784" max="11785" width="9.140625" style="110"/>
    <col min="11786" max="11786" width="9.5703125" style="110" bestFit="1" customWidth="1"/>
    <col min="11787" max="11787" width="9.140625" style="110"/>
    <col min="11788" max="11788" width="10.28515625" style="110" bestFit="1" customWidth="1"/>
    <col min="11789" max="11792" width="9.140625" style="110"/>
    <col min="11793" max="11793" width="11.5703125" style="110" bestFit="1" customWidth="1"/>
    <col min="11794" max="11794" width="10.5703125" style="110" customWidth="1"/>
    <col min="11795" max="12038" width="9.140625" style="110"/>
    <col min="12039" max="12039" width="13.85546875" style="110" customWidth="1"/>
    <col min="12040" max="12041" width="9.140625" style="110"/>
    <col min="12042" max="12042" width="9.5703125" style="110" bestFit="1" customWidth="1"/>
    <col min="12043" max="12043" width="9.140625" style="110"/>
    <col min="12044" max="12044" width="10.28515625" style="110" bestFit="1" customWidth="1"/>
    <col min="12045" max="12048" width="9.140625" style="110"/>
    <col min="12049" max="12049" width="11.5703125" style="110" bestFit="1" customWidth="1"/>
    <col min="12050" max="12050" width="10.5703125" style="110" customWidth="1"/>
    <col min="12051" max="12294" width="9.140625" style="110"/>
    <col min="12295" max="12295" width="13.85546875" style="110" customWidth="1"/>
    <col min="12296" max="12297" width="9.140625" style="110"/>
    <col min="12298" max="12298" width="9.5703125" style="110" bestFit="1" customWidth="1"/>
    <col min="12299" max="12299" width="9.140625" style="110"/>
    <col min="12300" max="12300" width="10.28515625" style="110" bestFit="1" customWidth="1"/>
    <col min="12301" max="12304" width="9.140625" style="110"/>
    <col min="12305" max="12305" width="11.5703125" style="110" bestFit="1" customWidth="1"/>
    <col min="12306" max="12306" width="10.5703125" style="110" customWidth="1"/>
    <col min="12307" max="12550" width="9.140625" style="110"/>
    <col min="12551" max="12551" width="13.85546875" style="110" customWidth="1"/>
    <col min="12552" max="12553" width="9.140625" style="110"/>
    <col min="12554" max="12554" width="9.5703125" style="110" bestFit="1" customWidth="1"/>
    <col min="12555" max="12555" width="9.140625" style="110"/>
    <col min="12556" max="12556" width="10.28515625" style="110" bestFit="1" customWidth="1"/>
    <col min="12557" max="12560" width="9.140625" style="110"/>
    <col min="12561" max="12561" width="11.5703125" style="110" bestFit="1" customWidth="1"/>
    <col min="12562" max="12562" width="10.5703125" style="110" customWidth="1"/>
    <col min="12563" max="12806" width="9.140625" style="110"/>
    <col min="12807" max="12807" width="13.85546875" style="110" customWidth="1"/>
    <col min="12808" max="12809" width="9.140625" style="110"/>
    <col min="12810" max="12810" width="9.5703125" style="110" bestFit="1" customWidth="1"/>
    <col min="12811" max="12811" width="9.140625" style="110"/>
    <col min="12812" max="12812" width="10.28515625" style="110" bestFit="1" customWidth="1"/>
    <col min="12813" max="12816" width="9.140625" style="110"/>
    <col min="12817" max="12817" width="11.5703125" style="110" bestFit="1" customWidth="1"/>
    <col min="12818" max="12818" width="10.5703125" style="110" customWidth="1"/>
    <col min="12819" max="13062" width="9.140625" style="110"/>
    <col min="13063" max="13063" width="13.85546875" style="110" customWidth="1"/>
    <col min="13064" max="13065" width="9.140625" style="110"/>
    <col min="13066" max="13066" width="9.5703125" style="110" bestFit="1" customWidth="1"/>
    <col min="13067" max="13067" width="9.140625" style="110"/>
    <col min="13068" max="13068" width="10.28515625" style="110" bestFit="1" customWidth="1"/>
    <col min="13069" max="13072" width="9.140625" style="110"/>
    <col min="13073" max="13073" width="11.5703125" style="110" bestFit="1" customWidth="1"/>
    <col min="13074" max="13074" width="10.5703125" style="110" customWidth="1"/>
    <col min="13075" max="13318" width="9.140625" style="110"/>
    <col min="13319" max="13319" width="13.85546875" style="110" customWidth="1"/>
    <col min="13320" max="13321" width="9.140625" style="110"/>
    <col min="13322" max="13322" width="9.5703125" style="110" bestFit="1" customWidth="1"/>
    <col min="13323" max="13323" width="9.140625" style="110"/>
    <col min="13324" max="13324" width="10.28515625" style="110" bestFit="1" customWidth="1"/>
    <col min="13325" max="13328" width="9.140625" style="110"/>
    <col min="13329" max="13329" width="11.5703125" style="110" bestFit="1" customWidth="1"/>
    <col min="13330" max="13330" width="10.5703125" style="110" customWidth="1"/>
    <col min="13331" max="13574" width="9.140625" style="110"/>
    <col min="13575" max="13575" width="13.85546875" style="110" customWidth="1"/>
    <col min="13576" max="13577" width="9.140625" style="110"/>
    <col min="13578" max="13578" width="9.5703125" style="110" bestFit="1" customWidth="1"/>
    <col min="13579" max="13579" width="9.140625" style="110"/>
    <col min="13580" max="13580" width="10.28515625" style="110" bestFit="1" customWidth="1"/>
    <col min="13581" max="13584" width="9.140625" style="110"/>
    <col min="13585" max="13585" width="11.5703125" style="110" bestFit="1" customWidth="1"/>
    <col min="13586" max="13586" width="10.5703125" style="110" customWidth="1"/>
    <col min="13587" max="13830" width="9.140625" style="110"/>
    <col min="13831" max="13831" width="13.85546875" style="110" customWidth="1"/>
    <col min="13832" max="13833" width="9.140625" style="110"/>
    <col min="13834" max="13834" width="9.5703125" style="110" bestFit="1" customWidth="1"/>
    <col min="13835" max="13835" width="9.140625" style="110"/>
    <col min="13836" max="13836" width="10.28515625" style="110" bestFit="1" customWidth="1"/>
    <col min="13837" max="13840" width="9.140625" style="110"/>
    <col min="13841" max="13841" width="11.5703125" style="110" bestFit="1" customWidth="1"/>
    <col min="13842" max="13842" width="10.5703125" style="110" customWidth="1"/>
    <col min="13843" max="14086" width="9.140625" style="110"/>
    <col min="14087" max="14087" width="13.85546875" style="110" customWidth="1"/>
    <col min="14088" max="14089" width="9.140625" style="110"/>
    <col min="14090" max="14090" width="9.5703125" style="110" bestFit="1" customWidth="1"/>
    <col min="14091" max="14091" width="9.140625" style="110"/>
    <col min="14092" max="14092" width="10.28515625" style="110" bestFit="1" customWidth="1"/>
    <col min="14093" max="14096" width="9.140625" style="110"/>
    <col min="14097" max="14097" width="11.5703125" style="110" bestFit="1" customWidth="1"/>
    <col min="14098" max="14098" width="10.5703125" style="110" customWidth="1"/>
    <col min="14099" max="14342" width="9.140625" style="110"/>
    <col min="14343" max="14343" width="13.85546875" style="110" customWidth="1"/>
    <col min="14344" max="14345" width="9.140625" style="110"/>
    <col min="14346" max="14346" width="9.5703125" style="110" bestFit="1" customWidth="1"/>
    <col min="14347" max="14347" width="9.140625" style="110"/>
    <col min="14348" max="14348" width="10.28515625" style="110" bestFit="1" customWidth="1"/>
    <col min="14349" max="14352" width="9.140625" style="110"/>
    <col min="14353" max="14353" width="11.5703125" style="110" bestFit="1" customWidth="1"/>
    <col min="14354" max="14354" width="10.5703125" style="110" customWidth="1"/>
    <col min="14355" max="14598" width="9.140625" style="110"/>
    <col min="14599" max="14599" width="13.85546875" style="110" customWidth="1"/>
    <col min="14600" max="14601" width="9.140625" style="110"/>
    <col min="14602" max="14602" width="9.5703125" style="110" bestFit="1" customWidth="1"/>
    <col min="14603" max="14603" width="9.140625" style="110"/>
    <col min="14604" max="14604" width="10.28515625" style="110" bestFit="1" customWidth="1"/>
    <col min="14605" max="14608" width="9.140625" style="110"/>
    <col min="14609" max="14609" width="11.5703125" style="110" bestFit="1" customWidth="1"/>
    <col min="14610" max="14610" width="10.5703125" style="110" customWidth="1"/>
    <col min="14611" max="14854" width="9.140625" style="110"/>
    <col min="14855" max="14855" width="13.85546875" style="110" customWidth="1"/>
    <col min="14856" max="14857" width="9.140625" style="110"/>
    <col min="14858" max="14858" width="9.5703125" style="110" bestFit="1" customWidth="1"/>
    <col min="14859" max="14859" width="9.140625" style="110"/>
    <col min="14860" max="14860" width="10.28515625" style="110" bestFit="1" customWidth="1"/>
    <col min="14861" max="14864" width="9.140625" style="110"/>
    <col min="14865" max="14865" width="11.5703125" style="110" bestFit="1" customWidth="1"/>
    <col min="14866" max="14866" width="10.5703125" style="110" customWidth="1"/>
    <col min="14867" max="15110" width="9.140625" style="110"/>
    <col min="15111" max="15111" width="13.85546875" style="110" customWidth="1"/>
    <col min="15112" max="15113" width="9.140625" style="110"/>
    <col min="15114" max="15114" width="9.5703125" style="110" bestFit="1" customWidth="1"/>
    <col min="15115" max="15115" width="9.140625" style="110"/>
    <col min="15116" max="15116" width="10.28515625" style="110" bestFit="1" customWidth="1"/>
    <col min="15117" max="15120" width="9.140625" style="110"/>
    <col min="15121" max="15121" width="11.5703125" style="110" bestFit="1" customWidth="1"/>
    <col min="15122" max="15122" width="10.5703125" style="110" customWidth="1"/>
    <col min="15123" max="15366" width="9.140625" style="110"/>
    <col min="15367" max="15367" width="13.85546875" style="110" customWidth="1"/>
    <col min="15368" max="15369" width="9.140625" style="110"/>
    <col min="15370" max="15370" width="9.5703125" style="110" bestFit="1" customWidth="1"/>
    <col min="15371" max="15371" width="9.140625" style="110"/>
    <col min="15372" max="15372" width="10.28515625" style="110" bestFit="1" customWidth="1"/>
    <col min="15373" max="15376" width="9.140625" style="110"/>
    <col min="15377" max="15377" width="11.5703125" style="110" bestFit="1" customWidth="1"/>
    <col min="15378" max="15378" width="10.5703125" style="110" customWidth="1"/>
    <col min="15379" max="15622" width="9.140625" style="110"/>
    <col min="15623" max="15623" width="13.85546875" style="110" customWidth="1"/>
    <col min="15624" max="15625" width="9.140625" style="110"/>
    <col min="15626" max="15626" width="9.5703125" style="110" bestFit="1" customWidth="1"/>
    <col min="15627" max="15627" width="9.140625" style="110"/>
    <col min="15628" max="15628" width="10.28515625" style="110" bestFit="1" customWidth="1"/>
    <col min="15629" max="15632" width="9.140625" style="110"/>
    <col min="15633" max="15633" width="11.5703125" style="110" bestFit="1" customWidth="1"/>
    <col min="15634" max="15634" width="10.5703125" style="110" customWidth="1"/>
    <col min="15635" max="15878" width="9.140625" style="110"/>
    <col min="15879" max="15879" width="13.85546875" style="110" customWidth="1"/>
    <col min="15880" max="15881" width="9.140625" style="110"/>
    <col min="15882" max="15882" width="9.5703125" style="110" bestFit="1" customWidth="1"/>
    <col min="15883" max="15883" width="9.140625" style="110"/>
    <col min="15884" max="15884" width="10.28515625" style="110" bestFit="1" customWidth="1"/>
    <col min="15885" max="15888" width="9.140625" style="110"/>
    <col min="15889" max="15889" width="11.5703125" style="110" bestFit="1" customWidth="1"/>
    <col min="15890" max="15890" width="10.5703125" style="110" customWidth="1"/>
    <col min="15891" max="16134" width="9.140625" style="110"/>
    <col min="16135" max="16135" width="13.85546875" style="110" customWidth="1"/>
    <col min="16136" max="16137" width="9.140625" style="110"/>
    <col min="16138" max="16138" width="9.5703125" style="110" bestFit="1" customWidth="1"/>
    <col min="16139" max="16139" width="9.140625" style="110"/>
    <col min="16140" max="16140" width="10.28515625" style="110" bestFit="1" customWidth="1"/>
    <col min="16141" max="16144" width="9.140625" style="110"/>
    <col min="16145" max="16145" width="11.5703125" style="110" bestFit="1" customWidth="1"/>
    <col min="16146" max="16146" width="10.5703125" style="110" customWidth="1"/>
    <col min="16147" max="16384" width="9.140625" style="110"/>
  </cols>
  <sheetData>
    <row r="1" spans="2:18" ht="15.75" x14ac:dyDescent="0.25">
      <c r="B1" s="111" t="s">
        <v>230</v>
      </c>
      <c r="H1" s="110" t="s">
        <v>231</v>
      </c>
      <c r="I1" s="112" t="s">
        <v>232</v>
      </c>
      <c r="P1" s="110" t="s">
        <v>233</v>
      </c>
      <c r="Q1" s="113">
        <v>44775</v>
      </c>
    </row>
    <row r="2" spans="2:18" ht="15.75" thickBot="1" x14ac:dyDescent="0.3"/>
    <row r="3" spans="2:18" x14ac:dyDescent="0.25">
      <c r="B3" s="182">
        <v>2019</v>
      </c>
      <c r="C3" s="114"/>
      <c r="D3" s="115"/>
      <c r="E3" s="115"/>
      <c r="F3" s="115"/>
      <c r="G3" s="115"/>
      <c r="H3" s="115"/>
      <c r="I3" s="115"/>
      <c r="J3" s="115"/>
      <c r="K3" s="115"/>
      <c r="L3" s="115"/>
      <c r="M3" s="115"/>
      <c r="N3" s="115"/>
      <c r="O3" s="115"/>
      <c r="P3" s="115"/>
      <c r="Q3" s="115"/>
      <c r="R3" s="116"/>
    </row>
    <row r="4" spans="2:18" ht="15.75" x14ac:dyDescent="0.25">
      <c r="B4" s="182"/>
      <c r="C4" s="117"/>
      <c r="D4" s="183" t="s">
        <v>234</v>
      </c>
      <c r="E4" s="184"/>
      <c r="F4" s="184"/>
      <c r="G4" s="184"/>
      <c r="H4" s="184"/>
      <c r="I4" s="184"/>
      <c r="J4" s="184"/>
      <c r="K4" s="184"/>
      <c r="L4" s="184"/>
      <c r="M4" s="184"/>
      <c r="N4" s="184"/>
      <c r="O4" s="184"/>
      <c r="P4" s="184"/>
      <c r="Q4" s="184"/>
      <c r="R4" s="118"/>
    </row>
    <row r="5" spans="2:18" ht="15.75" thickBot="1" x14ac:dyDescent="0.3">
      <c r="B5" s="182"/>
      <c r="C5" s="117"/>
      <c r="D5" s="119"/>
      <c r="E5" s="119"/>
      <c r="F5" s="119"/>
      <c r="G5" s="119"/>
      <c r="H5" s="119"/>
      <c r="I5" s="119"/>
      <c r="J5" s="119"/>
      <c r="K5" s="119"/>
      <c r="L5" s="119"/>
      <c r="M5" s="119"/>
      <c r="N5" s="119"/>
      <c r="O5" s="119"/>
      <c r="P5" s="119"/>
      <c r="Q5" s="119"/>
      <c r="R5" s="118"/>
    </row>
    <row r="6" spans="2:18" x14ac:dyDescent="0.25">
      <c r="B6" s="182"/>
      <c r="C6" s="117"/>
      <c r="D6" s="185" t="s">
        <v>235</v>
      </c>
      <c r="E6" s="186"/>
      <c r="F6" s="186"/>
      <c r="G6" s="186"/>
      <c r="H6" s="186"/>
      <c r="I6" s="186"/>
      <c r="J6" s="186"/>
      <c r="K6" s="186"/>
      <c r="L6" s="186"/>
      <c r="M6" s="186"/>
      <c r="N6" s="186"/>
      <c r="O6" s="186"/>
      <c r="P6" s="186"/>
      <c r="Q6" s="187"/>
      <c r="R6" s="118"/>
    </row>
    <row r="7" spans="2:18" ht="15.75" thickBot="1" x14ac:dyDescent="0.3">
      <c r="B7" s="182"/>
      <c r="C7" s="117"/>
      <c r="D7" s="188">
        <v>2019</v>
      </c>
      <c r="E7" s="189"/>
      <c r="F7" s="190">
        <v>0.10199999999999999</v>
      </c>
      <c r="G7" s="191"/>
      <c r="H7" s="191"/>
      <c r="I7" s="191"/>
      <c r="J7" s="191"/>
      <c r="K7" s="191"/>
      <c r="L7" s="191"/>
      <c r="M7" s="191"/>
      <c r="N7" s="191"/>
      <c r="O7" s="191"/>
      <c r="P7" s="191"/>
      <c r="Q7" s="192"/>
      <c r="R7" s="118"/>
    </row>
    <row r="8" spans="2:18" x14ac:dyDescent="0.25">
      <c r="B8" s="182"/>
      <c r="C8" s="117"/>
      <c r="D8" s="119"/>
      <c r="E8" s="120"/>
      <c r="F8" s="120"/>
      <c r="G8" s="120"/>
      <c r="H8" s="120"/>
      <c r="I8" s="120"/>
      <c r="J8" s="120"/>
      <c r="K8" s="120"/>
      <c r="L8" s="120"/>
      <c r="M8" s="120"/>
      <c r="N8" s="120"/>
      <c r="O8" s="120"/>
      <c r="P8" s="120"/>
      <c r="Q8" s="120"/>
      <c r="R8" s="118"/>
    </row>
    <row r="9" spans="2:18" x14ac:dyDescent="0.25">
      <c r="B9" s="182"/>
      <c r="C9" s="117"/>
      <c r="D9" s="119"/>
      <c r="E9" s="119"/>
      <c r="F9" s="119"/>
      <c r="G9" s="119"/>
      <c r="H9" s="119"/>
      <c r="I9" s="119"/>
      <c r="J9" s="119"/>
      <c r="K9" s="119"/>
      <c r="L9" s="119"/>
      <c r="M9" s="119"/>
      <c r="N9" s="119"/>
      <c r="O9" s="119"/>
      <c r="P9" s="119"/>
      <c r="Q9" s="119"/>
      <c r="R9" s="118"/>
    </row>
    <row r="10" spans="2:18" ht="15.75" x14ac:dyDescent="0.25">
      <c r="B10" s="182"/>
      <c r="C10" s="117"/>
      <c r="D10" s="183" t="s">
        <v>236</v>
      </c>
      <c r="E10" s="184"/>
      <c r="F10" s="184"/>
      <c r="G10" s="184"/>
      <c r="H10" s="184"/>
      <c r="I10" s="184"/>
      <c r="J10" s="184"/>
      <c r="K10" s="184"/>
      <c r="L10" s="184"/>
      <c r="M10" s="184"/>
      <c r="N10" s="184"/>
      <c r="O10" s="184"/>
      <c r="P10" s="184"/>
      <c r="Q10" s="184"/>
      <c r="R10" s="118"/>
    </row>
    <row r="11" spans="2:18" ht="15.75" thickBot="1" x14ac:dyDescent="0.3">
      <c r="B11" s="182"/>
      <c r="C11" s="117"/>
      <c r="D11" s="119"/>
      <c r="E11" s="119"/>
      <c r="F11" s="119"/>
      <c r="G11" s="119"/>
      <c r="H11" s="119"/>
      <c r="I11" s="119"/>
      <c r="J11" s="119"/>
      <c r="K11" s="119"/>
      <c r="L11" s="119"/>
      <c r="M11" s="119"/>
      <c r="N11" s="119"/>
      <c r="O11" s="119"/>
      <c r="P11" s="119"/>
      <c r="Q11" s="119"/>
      <c r="R11" s="118"/>
    </row>
    <row r="12" spans="2:18" x14ac:dyDescent="0.25">
      <c r="B12" s="182"/>
      <c r="C12" s="117"/>
      <c r="D12" s="185" t="s">
        <v>237</v>
      </c>
      <c r="E12" s="186"/>
      <c r="F12" s="186"/>
      <c r="G12" s="186"/>
      <c r="H12" s="186"/>
      <c r="I12" s="186"/>
      <c r="J12" s="186"/>
      <c r="K12" s="186"/>
      <c r="L12" s="186"/>
      <c r="M12" s="186"/>
      <c r="N12" s="186"/>
      <c r="O12" s="186"/>
      <c r="P12" s="186"/>
      <c r="Q12" s="187"/>
      <c r="R12" s="118"/>
    </row>
    <row r="13" spans="2:18" x14ac:dyDescent="0.25">
      <c r="B13" s="182"/>
      <c r="C13" s="117"/>
      <c r="D13" s="193">
        <v>2019</v>
      </c>
      <c r="E13" s="194"/>
      <c r="F13" s="195" t="s">
        <v>238</v>
      </c>
      <c r="G13" s="196"/>
      <c r="H13" s="196"/>
      <c r="I13" s="196"/>
      <c r="J13" s="196"/>
      <c r="K13" s="196"/>
      <c r="L13" s="196"/>
      <c r="M13" s="196"/>
      <c r="N13" s="196"/>
      <c r="O13" s="196"/>
      <c r="P13" s="196"/>
      <c r="Q13" s="197"/>
      <c r="R13" s="118"/>
    </row>
    <row r="14" spans="2:18" x14ac:dyDescent="0.25">
      <c r="B14" s="182"/>
      <c r="C14" s="117"/>
      <c r="D14" s="121"/>
      <c r="E14" s="122"/>
      <c r="F14" s="123" t="s">
        <v>239</v>
      </c>
      <c r="G14" s="123" t="s">
        <v>240</v>
      </c>
      <c r="H14" s="123" t="s">
        <v>241</v>
      </c>
      <c r="I14" s="123" t="s">
        <v>242</v>
      </c>
      <c r="J14" s="123" t="s">
        <v>243</v>
      </c>
      <c r="K14" s="123" t="s">
        <v>244</v>
      </c>
      <c r="L14" s="123" t="s">
        <v>245</v>
      </c>
      <c r="M14" s="123" t="s">
        <v>246</v>
      </c>
      <c r="N14" s="123" t="s">
        <v>247</v>
      </c>
      <c r="O14" s="123" t="s">
        <v>248</v>
      </c>
      <c r="P14" s="123" t="s">
        <v>249</v>
      </c>
      <c r="Q14" s="124" t="s">
        <v>250</v>
      </c>
      <c r="R14" s="125" t="s">
        <v>77</v>
      </c>
    </row>
    <row r="15" spans="2:18" ht="15.75" thickBot="1" x14ac:dyDescent="0.3">
      <c r="B15" s="182"/>
      <c r="C15" s="117"/>
      <c r="D15" s="126"/>
      <c r="E15" s="127"/>
      <c r="F15" s="128">
        <v>0.35399999999999998</v>
      </c>
      <c r="G15" s="128">
        <v>0.55730000000000002</v>
      </c>
      <c r="H15" s="128">
        <v>0.50749999999999995</v>
      </c>
      <c r="I15" s="128">
        <v>0.50949999999999995</v>
      </c>
      <c r="J15" s="128">
        <v>0.47939999999999999</v>
      </c>
      <c r="K15" s="128">
        <v>0.41749999999999998</v>
      </c>
      <c r="L15" s="128">
        <v>0.59140000000000004</v>
      </c>
      <c r="M15" s="128">
        <v>0.53120000000000001</v>
      </c>
      <c r="N15" s="128">
        <v>0.56059999999999999</v>
      </c>
      <c r="O15" s="128">
        <v>0.53700000000000003</v>
      </c>
      <c r="P15" s="128">
        <v>0.57199999999999995</v>
      </c>
      <c r="Q15" s="129">
        <v>0.59970000000000001</v>
      </c>
      <c r="R15" s="130">
        <f>AVERAGE(F15:Q15)</f>
        <v>0.51809166666666673</v>
      </c>
    </row>
    <row r="16" spans="2:18" ht="15.75" thickBot="1" x14ac:dyDescent="0.3">
      <c r="B16" s="182"/>
      <c r="C16" s="117"/>
      <c r="D16" s="131"/>
      <c r="E16" s="131"/>
      <c r="F16" s="131"/>
      <c r="G16" s="131"/>
      <c r="H16" s="131"/>
      <c r="I16" s="131"/>
      <c r="J16" s="131"/>
      <c r="K16" s="131"/>
      <c r="L16" s="131"/>
      <c r="M16" s="131"/>
      <c r="N16" s="131"/>
      <c r="O16" s="131"/>
      <c r="P16" s="131"/>
      <c r="Q16" s="131"/>
      <c r="R16" s="118"/>
    </row>
    <row r="17" spans="2:18" ht="15.75" thickBot="1" x14ac:dyDescent="0.3">
      <c r="B17" s="182"/>
      <c r="C17" s="117"/>
      <c r="D17" s="131"/>
      <c r="E17" s="131"/>
      <c r="F17" s="131"/>
      <c r="G17" s="131"/>
      <c r="H17" s="131"/>
      <c r="I17" s="198" t="s">
        <v>251</v>
      </c>
      <c r="J17" s="199"/>
      <c r="K17" s="199"/>
      <c r="L17" s="138">
        <f>(F7*0.5)+(R15*0.5)</f>
        <v>0.31004583333333335</v>
      </c>
      <c r="M17" s="131"/>
      <c r="N17" s="131"/>
      <c r="O17" s="131"/>
      <c r="P17" s="131"/>
      <c r="Q17" s="131"/>
      <c r="R17" s="118"/>
    </row>
    <row r="18" spans="2:18" ht="15.75" thickBot="1" x14ac:dyDescent="0.3">
      <c r="B18" s="182"/>
      <c r="C18" s="133"/>
      <c r="D18" s="134"/>
      <c r="E18" s="134"/>
      <c r="F18" s="134"/>
      <c r="G18" s="134"/>
      <c r="H18" s="134"/>
      <c r="I18" s="134"/>
      <c r="J18" s="134"/>
      <c r="K18" s="134"/>
      <c r="L18" s="134"/>
      <c r="M18" s="134"/>
      <c r="N18" s="134"/>
      <c r="O18" s="134"/>
      <c r="P18" s="134"/>
      <c r="Q18" s="134"/>
      <c r="R18" s="135"/>
    </row>
    <row r="20" spans="2:18" ht="15.75" thickBot="1" x14ac:dyDescent="0.3"/>
    <row r="21" spans="2:18" x14ac:dyDescent="0.25">
      <c r="B21" s="182">
        <v>2020</v>
      </c>
      <c r="C21" s="114"/>
      <c r="D21" s="115"/>
      <c r="E21" s="115"/>
      <c r="F21" s="115"/>
      <c r="G21" s="115"/>
      <c r="H21" s="115"/>
      <c r="I21" s="115"/>
      <c r="J21" s="115"/>
      <c r="K21" s="115"/>
      <c r="L21" s="115"/>
      <c r="M21" s="115"/>
      <c r="N21" s="115"/>
      <c r="O21" s="115"/>
      <c r="P21" s="115"/>
      <c r="Q21" s="115"/>
      <c r="R21" s="116"/>
    </row>
    <row r="22" spans="2:18" ht="15.75" x14ac:dyDescent="0.25">
      <c r="B22" s="182"/>
      <c r="C22" s="117"/>
      <c r="D22" s="183" t="s">
        <v>234</v>
      </c>
      <c r="E22" s="184"/>
      <c r="F22" s="184"/>
      <c r="G22" s="184"/>
      <c r="H22" s="184"/>
      <c r="I22" s="184"/>
      <c r="J22" s="184"/>
      <c r="K22" s="184"/>
      <c r="L22" s="184"/>
      <c r="M22" s="184"/>
      <c r="N22" s="184"/>
      <c r="O22" s="184"/>
      <c r="P22" s="184"/>
      <c r="Q22" s="184"/>
      <c r="R22" s="118"/>
    </row>
    <row r="23" spans="2:18" ht="15.75" thickBot="1" x14ac:dyDescent="0.3">
      <c r="B23" s="182"/>
      <c r="C23" s="117"/>
      <c r="D23" s="119"/>
      <c r="E23" s="119"/>
      <c r="F23" s="119"/>
      <c r="G23" s="119"/>
      <c r="H23" s="119"/>
      <c r="I23" s="119"/>
      <c r="J23" s="119"/>
      <c r="K23" s="119"/>
      <c r="L23" s="119"/>
      <c r="M23" s="119"/>
      <c r="N23" s="119"/>
      <c r="O23" s="119"/>
      <c r="P23" s="119"/>
      <c r="Q23" s="119"/>
      <c r="R23" s="118"/>
    </row>
    <row r="24" spans="2:18" x14ac:dyDescent="0.25">
      <c r="B24" s="182"/>
      <c r="C24" s="117"/>
      <c r="D24" s="185" t="s">
        <v>235</v>
      </c>
      <c r="E24" s="186"/>
      <c r="F24" s="186"/>
      <c r="G24" s="186"/>
      <c r="H24" s="186"/>
      <c r="I24" s="186"/>
      <c r="J24" s="186"/>
      <c r="K24" s="186"/>
      <c r="L24" s="186"/>
      <c r="M24" s="186"/>
      <c r="N24" s="186"/>
      <c r="O24" s="186"/>
      <c r="P24" s="186"/>
      <c r="Q24" s="187"/>
      <c r="R24" s="118"/>
    </row>
    <row r="25" spans="2:18" ht="15.75" thickBot="1" x14ac:dyDescent="0.3">
      <c r="B25" s="182"/>
      <c r="C25" s="117"/>
      <c r="D25" s="188">
        <v>2020</v>
      </c>
      <c r="E25" s="189"/>
      <c r="F25" s="190">
        <v>9.7900000000000001E-2</v>
      </c>
      <c r="G25" s="191"/>
      <c r="H25" s="191"/>
      <c r="I25" s="191"/>
      <c r="J25" s="191"/>
      <c r="K25" s="191"/>
      <c r="L25" s="191"/>
      <c r="M25" s="191"/>
      <c r="N25" s="191"/>
      <c r="O25" s="191"/>
      <c r="P25" s="191"/>
      <c r="Q25" s="192"/>
      <c r="R25" s="118"/>
    </row>
    <row r="26" spans="2:18" x14ac:dyDescent="0.25">
      <c r="B26" s="182"/>
      <c r="C26" s="117"/>
      <c r="D26" s="119"/>
      <c r="E26" s="120"/>
      <c r="F26" s="120"/>
      <c r="G26" s="120"/>
      <c r="H26" s="120"/>
      <c r="I26" s="120"/>
      <c r="J26" s="120"/>
      <c r="K26" s="120"/>
      <c r="L26" s="120"/>
      <c r="M26" s="120"/>
      <c r="N26" s="120"/>
      <c r="O26" s="120"/>
      <c r="P26" s="120"/>
      <c r="Q26" s="120"/>
      <c r="R26" s="118"/>
    </row>
    <row r="27" spans="2:18" x14ac:dyDescent="0.25">
      <c r="B27" s="182"/>
      <c r="C27" s="117"/>
      <c r="D27" s="119"/>
      <c r="E27" s="119"/>
      <c r="F27" s="119"/>
      <c r="G27" s="119"/>
      <c r="H27" s="119"/>
      <c r="I27" s="119"/>
      <c r="J27" s="119"/>
      <c r="K27" s="119"/>
      <c r="L27" s="119"/>
      <c r="M27" s="119"/>
      <c r="N27" s="119"/>
      <c r="O27" s="119"/>
      <c r="P27" s="119"/>
      <c r="Q27" s="119"/>
      <c r="R27" s="118"/>
    </row>
    <row r="28" spans="2:18" ht="15.75" x14ac:dyDescent="0.25">
      <c r="B28" s="182"/>
      <c r="C28" s="117"/>
      <c r="D28" s="183" t="s">
        <v>236</v>
      </c>
      <c r="E28" s="184"/>
      <c r="F28" s="184"/>
      <c r="G28" s="184"/>
      <c r="H28" s="184"/>
      <c r="I28" s="184"/>
      <c r="J28" s="184"/>
      <c r="K28" s="184"/>
      <c r="L28" s="184"/>
      <c r="M28" s="184"/>
      <c r="N28" s="184"/>
      <c r="O28" s="184"/>
      <c r="P28" s="184"/>
      <c r="Q28" s="184"/>
      <c r="R28" s="118"/>
    </row>
    <row r="29" spans="2:18" ht="15.75" thickBot="1" x14ac:dyDescent="0.3">
      <c r="B29" s="182"/>
      <c r="C29" s="117"/>
      <c r="D29" s="119"/>
      <c r="E29" s="119"/>
      <c r="F29" s="119"/>
      <c r="G29" s="119"/>
      <c r="H29" s="119"/>
      <c r="I29" s="119"/>
      <c r="J29" s="119"/>
      <c r="K29" s="119"/>
      <c r="L29" s="119"/>
      <c r="M29" s="119"/>
      <c r="N29" s="119"/>
      <c r="O29" s="119"/>
      <c r="P29" s="119"/>
      <c r="Q29" s="119"/>
      <c r="R29" s="118"/>
    </row>
    <row r="30" spans="2:18" x14ac:dyDescent="0.25">
      <c r="B30" s="182"/>
      <c r="C30" s="117"/>
      <c r="D30" s="185" t="s">
        <v>237</v>
      </c>
      <c r="E30" s="186"/>
      <c r="F30" s="186"/>
      <c r="G30" s="186"/>
      <c r="H30" s="186"/>
      <c r="I30" s="186"/>
      <c r="J30" s="186"/>
      <c r="K30" s="186"/>
      <c r="L30" s="186"/>
      <c r="M30" s="186"/>
      <c r="N30" s="186"/>
      <c r="O30" s="186"/>
      <c r="P30" s="186"/>
      <c r="Q30" s="187"/>
      <c r="R30" s="118"/>
    </row>
    <row r="31" spans="2:18" x14ac:dyDescent="0.25">
      <c r="B31" s="182"/>
      <c r="C31" s="117"/>
      <c r="D31" s="193">
        <v>2020</v>
      </c>
      <c r="E31" s="204"/>
      <c r="F31" s="195" t="s">
        <v>238</v>
      </c>
      <c r="G31" s="196"/>
      <c r="H31" s="196"/>
      <c r="I31" s="196"/>
      <c r="J31" s="196"/>
      <c r="K31" s="196"/>
      <c r="L31" s="196"/>
      <c r="M31" s="196"/>
      <c r="N31" s="196"/>
      <c r="O31" s="196"/>
      <c r="P31" s="196"/>
      <c r="Q31" s="197"/>
      <c r="R31" s="118"/>
    </row>
    <row r="32" spans="2:18" x14ac:dyDescent="0.25">
      <c r="B32" s="182"/>
      <c r="C32" s="117"/>
      <c r="D32" s="121"/>
      <c r="E32" s="122"/>
      <c r="F32" s="123" t="s">
        <v>239</v>
      </c>
      <c r="G32" s="123" t="s">
        <v>240</v>
      </c>
      <c r="H32" s="123" t="s">
        <v>241</v>
      </c>
      <c r="I32" s="123" t="s">
        <v>242</v>
      </c>
      <c r="J32" s="123" t="s">
        <v>243</v>
      </c>
      <c r="K32" s="123" t="s">
        <v>244</v>
      </c>
      <c r="L32" s="123" t="s">
        <v>245</v>
      </c>
      <c r="M32" s="123" t="s">
        <v>246</v>
      </c>
      <c r="N32" s="123" t="s">
        <v>247</v>
      </c>
      <c r="O32" s="123" t="s">
        <v>248</v>
      </c>
      <c r="P32" s="123" t="s">
        <v>249</v>
      </c>
      <c r="Q32" s="124" t="s">
        <v>250</v>
      </c>
      <c r="R32" s="125" t="s">
        <v>77</v>
      </c>
    </row>
    <row r="33" spans="2:18" ht="15.75" thickBot="1" x14ac:dyDescent="0.3">
      <c r="B33" s="182"/>
      <c r="C33" s="117"/>
      <c r="D33" s="126"/>
      <c r="E33" s="127"/>
      <c r="F33" s="128">
        <v>0.56269999999999998</v>
      </c>
      <c r="G33" s="128">
        <v>0.52580000000000005</v>
      </c>
      <c r="H33" s="128">
        <v>0.38429999999999997</v>
      </c>
      <c r="I33" s="128">
        <v>0.2964</v>
      </c>
      <c r="J33" s="128">
        <v>0.35749999999999998</v>
      </c>
      <c r="K33" s="128">
        <v>0.4758</v>
      </c>
      <c r="L33" s="128">
        <v>0.39319999999999999</v>
      </c>
      <c r="M33" s="128">
        <v>0.39939999999999998</v>
      </c>
      <c r="N33" s="128">
        <v>0.32869999999999999</v>
      </c>
      <c r="O33" s="128">
        <v>0.57230000000000003</v>
      </c>
      <c r="P33" s="128">
        <v>0.54010000000000002</v>
      </c>
      <c r="Q33" s="129">
        <v>0.61060000000000003</v>
      </c>
      <c r="R33" s="130">
        <f>AVERAGE(F33:Q33)</f>
        <v>0.45389999999999997</v>
      </c>
    </row>
    <row r="34" spans="2:18" ht="15.75" thickBot="1" x14ac:dyDescent="0.3">
      <c r="B34" s="182"/>
      <c r="C34" s="117"/>
      <c r="D34" s="131"/>
      <c r="E34" s="131"/>
      <c r="F34" s="131"/>
      <c r="G34" s="131"/>
      <c r="H34" s="131"/>
      <c r="I34" s="131"/>
      <c r="J34" s="131"/>
      <c r="K34" s="131"/>
      <c r="L34" s="131"/>
      <c r="M34" s="131"/>
      <c r="N34" s="131"/>
      <c r="O34" s="131"/>
      <c r="P34" s="131"/>
      <c r="Q34" s="131"/>
      <c r="R34" s="118"/>
    </row>
    <row r="35" spans="2:18" ht="15.75" thickBot="1" x14ac:dyDescent="0.3">
      <c r="B35" s="182"/>
      <c r="C35" s="117"/>
      <c r="D35" s="131"/>
      <c r="E35" s="131"/>
      <c r="F35" s="131"/>
      <c r="G35" s="131"/>
      <c r="H35" s="131"/>
      <c r="I35" s="205" t="s">
        <v>254</v>
      </c>
      <c r="J35" s="199"/>
      <c r="K35" s="199"/>
      <c r="L35" s="138">
        <f>(F25*0.5)+(R33*0.5)</f>
        <v>0.27589999999999998</v>
      </c>
      <c r="M35" s="131"/>
      <c r="N35" s="131"/>
      <c r="O35" s="131"/>
      <c r="P35" s="131"/>
      <c r="Q35" s="131"/>
      <c r="R35" s="118"/>
    </row>
    <row r="36" spans="2:18" ht="15.75" thickBot="1" x14ac:dyDescent="0.3">
      <c r="B36" s="182"/>
      <c r="C36" s="133"/>
      <c r="D36" s="134"/>
      <c r="E36" s="134"/>
      <c r="F36" s="134"/>
      <c r="G36" s="134"/>
      <c r="H36" s="134"/>
      <c r="I36" s="134"/>
      <c r="J36" s="134"/>
      <c r="K36" s="134"/>
      <c r="L36" s="134"/>
      <c r="M36" s="134"/>
      <c r="N36" s="134"/>
      <c r="O36" s="134"/>
      <c r="P36" s="134"/>
      <c r="Q36" s="134"/>
      <c r="R36" s="135"/>
    </row>
  </sheetData>
  <mergeCells count="20">
    <mergeCell ref="B21:B36"/>
    <mergeCell ref="D22:Q22"/>
    <mergeCell ref="D24:Q24"/>
    <mergeCell ref="D25:E25"/>
    <mergeCell ref="F25:Q25"/>
    <mergeCell ref="D28:Q28"/>
    <mergeCell ref="D30:Q30"/>
    <mergeCell ref="D31:E31"/>
    <mergeCell ref="F31:Q31"/>
    <mergeCell ref="I35:K35"/>
    <mergeCell ref="B3:B18"/>
    <mergeCell ref="D4:Q4"/>
    <mergeCell ref="D6:Q6"/>
    <mergeCell ref="D7:E7"/>
    <mergeCell ref="F7:Q7"/>
    <mergeCell ref="D10:Q10"/>
    <mergeCell ref="D12:Q12"/>
    <mergeCell ref="D13:E13"/>
    <mergeCell ref="F13:Q13"/>
    <mergeCell ref="I17:K17"/>
  </mergeCells>
  <hyperlinks>
    <hyperlink ref="I1" r:id="rId1" location=":~:text=Fatores%20de%20emiss%C3%A3o%20MDL%2FSIN,-Info&amp;text=Ele%20calcula%20a%20m%C3%A9dia%20das,que%20estejam%20funcionando%20na%20margem" xr:uid="{7EA9F58A-03AE-4323-8F71-8D7275333584}"/>
  </hyperlink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AEBE-EFE4-48B8-A4BA-F110E6B77835}">
  <sheetPr>
    <tabColor rgb="FFC2D7E0"/>
  </sheetPr>
  <dimension ref="B1:G17"/>
  <sheetViews>
    <sheetView zoomScale="90" zoomScaleNormal="90" workbookViewId="0">
      <selection activeCell="B2" sqref="B2:D2"/>
    </sheetView>
  </sheetViews>
  <sheetFormatPr defaultRowHeight="14.25" x14ac:dyDescent="0.25"/>
  <cols>
    <col min="1" max="1" width="2.42578125" style="40" customWidth="1"/>
    <col min="2" max="2" width="22.42578125" style="40" customWidth="1"/>
    <col min="3" max="3" width="31.28515625" style="40" customWidth="1"/>
    <col min="4" max="4" width="19.140625" style="40" customWidth="1"/>
    <col min="5" max="5" width="23.42578125" style="40" customWidth="1"/>
    <col min="6" max="6" width="23" style="40" customWidth="1"/>
    <col min="7" max="7" width="9.28515625" style="40" hidden="1" customWidth="1"/>
    <col min="8" max="8" width="25.28515625" style="40" customWidth="1"/>
    <col min="9" max="256" width="9.140625" style="40"/>
    <col min="257" max="257" width="2.42578125" style="40" customWidth="1"/>
    <col min="258" max="258" width="22.42578125" style="40" customWidth="1"/>
    <col min="259" max="259" width="31.28515625" style="40" customWidth="1"/>
    <col min="260" max="260" width="19.140625" style="40" customWidth="1"/>
    <col min="261" max="261" width="23.42578125" style="40" customWidth="1"/>
    <col min="262" max="262" width="23" style="40" customWidth="1"/>
    <col min="263" max="263" width="0" style="40" hidden="1" customWidth="1"/>
    <col min="264" max="264" width="25.28515625" style="40" customWidth="1"/>
    <col min="265" max="512" width="9.140625" style="40"/>
    <col min="513" max="513" width="2.42578125" style="40" customWidth="1"/>
    <col min="514" max="514" width="22.42578125" style="40" customWidth="1"/>
    <col min="515" max="515" width="31.28515625" style="40" customWidth="1"/>
    <col min="516" max="516" width="19.140625" style="40" customWidth="1"/>
    <col min="517" max="517" width="23.42578125" style="40" customWidth="1"/>
    <col min="518" max="518" width="23" style="40" customWidth="1"/>
    <col min="519" max="519" width="0" style="40" hidden="1" customWidth="1"/>
    <col min="520" max="520" width="25.28515625" style="40" customWidth="1"/>
    <col min="521" max="768" width="9.140625" style="40"/>
    <col min="769" max="769" width="2.42578125" style="40" customWidth="1"/>
    <col min="770" max="770" width="22.42578125" style="40" customWidth="1"/>
    <col min="771" max="771" width="31.28515625" style="40" customWidth="1"/>
    <col min="772" max="772" width="19.140625" style="40" customWidth="1"/>
    <col min="773" max="773" width="23.42578125" style="40" customWidth="1"/>
    <col min="774" max="774" width="23" style="40" customWidth="1"/>
    <col min="775" max="775" width="0" style="40" hidden="1" customWidth="1"/>
    <col min="776" max="776" width="25.28515625" style="40" customWidth="1"/>
    <col min="777" max="1024" width="9.140625" style="40"/>
    <col min="1025" max="1025" width="2.42578125" style="40" customWidth="1"/>
    <col min="1026" max="1026" width="22.42578125" style="40" customWidth="1"/>
    <col min="1027" max="1027" width="31.28515625" style="40" customWidth="1"/>
    <col min="1028" max="1028" width="19.140625" style="40" customWidth="1"/>
    <col min="1029" max="1029" width="23.42578125" style="40" customWidth="1"/>
    <col min="1030" max="1030" width="23" style="40" customWidth="1"/>
    <col min="1031" max="1031" width="0" style="40" hidden="1" customWidth="1"/>
    <col min="1032" max="1032" width="25.28515625" style="40" customWidth="1"/>
    <col min="1033" max="1280" width="9.140625" style="40"/>
    <col min="1281" max="1281" width="2.42578125" style="40" customWidth="1"/>
    <col min="1282" max="1282" width="22.42578125" style="40" customWidth="1"/>
    <col min="1283" max="1283" width="31.28515625" style="40" customWidth="1"/>
    <col min="1284" max="1284" width="19.140625" style="40" customWidth="1"/>
    <col min="1285" max="1285" width="23.42578125" style="40" customWidth="1"/>
    <col min="1286" max="1286" width="23" style="40" customWidth="1"/>
    <col min="1287" max="1287" width="0" style="40" hidden="1" customWidth="1"/>
    <col min="1288" max="1288" width="25.28515625" style="40" customWidth="1"/>
    <col min="1289" max="1536" width="9.140625" style="40"/>
    <col min="1537" max="1537" width="2.42578125" style="40" customWidth="1"/>
    <col min="1538" max="1538" width="22.42578125" style="40" customWidth="1"/>
    <col min="1539" max="1539" width="31.28515625" style="40" customWidth="1"/>
    <col min="1540" max="1540" width="19.140625" style="40" customWidth="1"/>
    <col min="1541" max="1541" width="23.42578125" style="40" customWidth="1"/>
    <col min="1542" max="1542" width="23" style="40" customWidth="1"/>
    <col min="1543" max="1543" width="0" style="40" hidden="1" customWidth="1"/>
    <col min="1544" max="1544" width="25.28515625" style="40" customWidth="1"/>
    <col min="1545" max="1792" width="9.140625" style="40"/>
    <col min="1793" max="1793" width="2.42578125" style="40" customWidth="1"/>
    <col min="1794" max="1794" width="22.42578125" style="40" customWidth="1"/>
    <col min="1795" max="1795" width="31.28515625" style="40" customWidth="1"/>
    <col min="1796" max="1796" width="19.140625" style="40" customWidth="1"/>
    <col min="1797" max="1797" width="23.42578125" style="40" customWidth="1"/>
    <col min="1798" max="1798" width="23" style="40" customWidth="1"/>
    <col min="1799" max="1799" width="0" style="40" hidden="1" customWidth="1"/>
    <col min="1800" max="1800" width="25.28515625" style="40" customWidth="1"/>
    <col min="1801" max="2048" width="9.140625" style="40"/>
    <col min="2049" max="2049" width="2.42578125" style="40" customWidth="1"/>
    <col min="2050" max="2050" width="22.42578125" style="40" customWidth="1"/>
    <col min="2051" max="2051" width="31.28515625" style="40" customWidth="1"/>
    <col min="2052" max="2052" width="19.140625" style="40" customWidth="1"/>
    <col min="2053" max="2053" width="23.42578125" style="40" customWidth="1"/>
    <col min="2054" max="2054" width="23" style="40" customWidth="1"/>
    <col min="2055" max="2055" width="0" style="40" hidden="1" customWidth="1"/>
    <col min="2056" max="2056" width="25.28515625" style="40" customWidth="1"/>
    <col min="2057" max="2304" width="9.140625" style="40"/>
    <col min="2305" max="2305" width="2.42578125" style="40" customWidth="1"/>
    <col min="2306" max="2306" width="22.42578125" style="40" customWidth="1"/>
    <col min="2307" max="2307" width="31.28515625" style="40" customWidth="1"/>
    <col min="2308" max="2308" width="19.140625" style="40" customWidth="1"/>
    <col min="2309" max="2309" width="23.42578125" style="40" customWidth="1"/>
    <col min="2310" max="2310" width="23" style="40" customWidth="1"/>
    <col min="2311" max="2311" width="0" style="40" hidden="1" customWidth="1"/>
    <col min="2312" max="2312" width="25.28515625" style="40" customWidth="1"/>
    <col min="2313" max="2560" width="9.140625" style="40"/>
    <col min="2561" max="2561" width="2.42578125" style="40" customWidth="1"/>
    <col min="2562" max="2562" width="22.42578125" style="40" customWidth="1"/>
    <col min="2563" max="2563" width="31.28515625" style="40" customWidth="1"/>
    <col min="2564" max="2564" width="19.140625" style="40" customWidth="1"/>
    <col min="2565" max="2565" width="23.42578125" style="40" customWidth="1"/>
    <col min="2566" max="2566" width="23" style="40" customWidth="1"/>
    <col min="2567" max="2567" width="0" style="40" hidden="1" customWidth="1"/>
    <col min="2568" max="2568" width="25.28515625" style="40" customWidth="1"/>
    <col min="2569" max="2816" width="9.140625" style="40"/>
    <col min="2817" max="2817" width="2.42578125" style="40" customWidth="1"/>
    <col min="2818" max="2818" width="22.42578125" style="40" customWidth="1"/>
    <col min="2819" max="2819" width="31.28515625" style="40" customWidth="1"/>
    <col min="2820" max="2820" width="19.140625" style="40" customWidth="1"/>
    <col min="2821" max="2821" width="23.42578125" style="40" customWidth="1"/>
    <col min="2822" max="2822" width="23" style="40" customWidth="1"/>
    <col min="2823" max="2823" width="0" style="40" hidden="1" customWidth="1"/>
    <col min="2824" max="2824" width="25.28515625" style="40" customWidth="1"/>
    <col min="2825" max="3072" width="9.140625" style="40"/>
    <col min="3073" max="3073" width="2.42578125" style="40" customWidth="1"/>
    <col min="3074" max="3074" width="22.42578125" style="40" customWidth="1"/>
    <col min="3075" max="3075" width="31.28515625" style="40" customWidth="1"/>
    <col min="3076" max="3076" width="19.140625" style="40" customWidth="1"/>
    <col min="3077" max="3077" width="23.42578125" style="40" customWidth="1"/>
    <col min="3078" max="3078" width="23" style="40" customWidth="1"/>
    <col min="3079" max="3079" width="0" style="40" hidden="1" customWidth="1"/>
    <col min="3080" max="3080" width="25.28515625" style="40" customWidth="1"/>
    <col min="3081" max="3328" width="9.140625" style="40"/>
    <col min="3329" max="3329" width="2.42578125" style="40" customWidth="1"/>
    <col min="3330" max="3330" width="22.42578125" style="40" customWidth="1"/>
    <col min="3331" max="3331" width="31.28515625" style="40" customWidth="1"/>
    <col min="3332" max="3332" width="19.140625" style="40" customWidth="1"/>
    <col min="3333" max="3333" width="23.42578125" style="40" customWidth="1"/>
    <col min="3334" max="3334" width="23" style="40" customWidth="1"/>
    <col min="3335" max="3335" width="0" style="40" hidden="1" customWidth="1"/>
    <col min="3336" max="3336" width="25.28515625" style="40" customWidth="1"/>
    <col min="3337" max="3584" width="9.140625" style="40"/>
    <col min="3585" max="3585" width="2.42578125" style="40" customWidth="1"/>
    <col min="3586" max="3586" width="22.42578125" style="40" customWidth="1"/>
    <col min="3587" max="3587" width="31.28515625" style="40" customWidth="1"/>
    <col min="3588" max="3588" width="19.140625" style="40" customWidth="1"/>
    <col min="3589" max="3589" width="23.42578125" style="40" customWidth="1"/>
    <col min="3590" max="3590" width="23" style="40" customWidth="1"/>
    <col min="3591" max="3591" width="0" style="40" hidden="1" customWidth="1"/>
    <col min="3592" max="3592" width="25.28515625" style="40" customWidth="1"/>
    <col min="3593" max="3840" width="9.140625" style="40"/>
    <col min="3841" max="3841" width="2.42578125" style="40" customWidth="1"/>
    <col min="3842" max="3842" width="22.42578125" style="40" customWidth="1"/>
    <col min="3843" max="3843" width="31.28515625" style="40" customWidth="1"/>
    <col min="3844" max="3844" width="19.140625" style="40" customWidth="1"/>
    <col min="3845" max="3845" width="23.42578125" style="40" customWidth="1"/>
    <col min="3846" max="3846" width="23" style="40" customWidth="1"/>
    <col min="3847" max="3847" width="0" style="40" hidden="1" customWidth="1"/>
    <col min="3848" max="3848" width="25.28515625" style="40" customWidth="1"/>
    <col min="3849" max="4096" width="9.140625" style="40"/>
    <col min="4097" max="4097" width="2.42578125" style="40" customWidth="1"/>
    <col min="4098" max="4098" width="22.42578125" style="40" customWidth="1"/>
    <col min="4099" max="4099" width="31.28515625" style="40" customWidth="1"/>
    <col min="4100" max="4100" width="19.140625" style="40" customWidth="1"/>
    <col min="4101" max="4101" width="23.42578125" style="40" customWidth="1"/>
    <col min="4102" max="4102" width="23" style="40" customWidth="1"/>
    <col min="4103" max="4103" width="0" style="40" hidden="1" customWidth="1"/>
    <col min="4104" max="4104" width="25.28515625" style="40" customWidth="1"/>
    <col min="4105" max="4352" width="9.140625" style="40"/>
    <col min="4353" max="4353" width="2.42578125" style="40" customWidth="1"/>
    <col min="4354" max="4354" width="22.42578125" style="40" customWidth="1"/>
    <col min="4355" max="4355" width="31.28515625" style="40" customWidth="1"/>
    <col min="4356" max="4356" width="19.140625" style="40" customWidth="1"/>
    <col min="4357" max="4357" width="23.42578125" style="40" customWidth="1"/>
    <col min="4358" max="4358" width="23" style="40" customWidth="1"/>
    <col min="4359" max="4359" width="0" style="40" hidden="1" customWidth="1"/>
    <col min="4360" max="4360" width="25.28515625" style="40" customWidth="1"/>
    <col min="4361" max="4608" width="9.140625" style="40"/>
    <col min="4609" max="4609" width="2.42578125" style="40" customWidth="1"/>
    <col min="4610" max="4610" width="22.42578125" style="40" customWidth="1"/>
    <col min="4611" max="4611" width="31.28515625" style="40" customWidth="1"/>
    <col min="4612" max="4612" width="19.140625" style="40" customWidth="1"/>
    <col min="4613" max="4613" width="23.42578125" style="40" customWidth="1"/>
    <col min="4614" max="4614" width="23" style="40" customWidth="1"/>
    <col min="4615" max="4615" width="0" style="40" hidden="1" customWidth="1"/>
    <col min="4616" max="4616" width="25.28515625" style="40" customWidth="1"/>
    <col min="4617" max="4864" width="9.140625" style="40"/>
    <col min="4865" max="4865" width="2.42578125" style="40" customWidth="1"/>
    <col min="4866" max="4866" width="22.42578125" style="40" customWidth="1"/>
    <col min="4867" max="4867" width="31.28515625" style="40" customWidth="1"/>
    <col min="4868" max="4868" width="19.140625" style="40" customWidth="1"/>
    <col min="4869" max="4869" width="23.42578125" style="40" customWidth="1"/>
    <col min="4870" max="4870" width="23" style="40" customWidth="1"/>
    <col min="4871" max="4871" width="0" style="40" hidden="1" customWidth="1"/>
    <col min="4872" max="4872" width="25.28515625" style="40" customWidth="1"/>
    <col min="4873" max="5120" width="9.140625" style="40"/>
    <col min="5121" max="5121" width="2.42578125" style="40" customWidth="1"/>
    <col min="5122" max="5122" width="22.42578125" style="40" customWidth="1"/>
    <col min="5123" max="5123" width="31.28515625" style="40" customWidth="1"/>
    <col min="5124" max="5124" width="19.140625" style="40" customWidth="1"/>
    <col min="5125" max="5125" width="23.42578125" style="40" customWidth="1"/>
    <col min="5126" max="5126" width="23" style="40" customWidth="1"/>
    <col min="5127" max="5127" width="0" style="40" hidden="1" customWidth="1"/>
    <col min="5128" max="5128" width="25.28515625" style="40" customWidth="1"/>
    <col min="5129" max="5376" width="9.140625" style="40"/>
    <col min="5377" max="5377" width="2.42578125" style="40" customWidth="1"/>
    <col min="5378" max="5378" width="22.42578125" style="40" customWidth="1"/>
    <col min="5379" max="5379" width="31.28515625" style="40" customWidth="1"/>
    <col min="5380" max="5380" width="19.140625" style="40" customWidth="1"/>
    <col min="5381" max="5381" width="23.42578125" style="40" customWidth="1"/>
    <col min="5382" max="5382" width="23" style="40" customWidth="1"/>
    <col min="5383" max="5383" width="0" style="40" hidden="1" customWidth="1"/>
    <col min="5384" max="5384" width="25.28515625" style="40" customWidth="1"/>
    <col min="5385" max="5632" width="9.140625" style="40"/>
    <col min="5633" max="5633" width="2.42578125" style="40" customWidth="1"/>
    <col min="5634" max="5634" width="22.42578125" style="40" customWidth="1"/>
    <col min="5635" max="5635" width="31.28515625" style="40" customWidth="1"/>
    <col min="5636" max="5636" width="19.140625" style="40" customWidth="1"/>
    <col min="5637" max="5637" width="23.42578125" style="40" customWidth="1"/>
    <col min="5638" max="5638" width="23" style="40" customWidth="1"/>
    <col min="5639" max="5639" width="0" style="40" hidden="1" customWidth="1"/>
    <col min="5640" max="5640" width="25.28515625" style="40" customWidth="1"/>
    <col min="5641" max="5888" width="9.140625" style="40"/>
    <col min="5889" max="5889" width="2.42578125" style="40" customWidth="1"/>
    <col min="5890" max="5890" width="22.42578125" style="40" customWidth="1"/>
    <col min="5891" max="5891" width="31.28515625" style="40" customWidth="1"/>
    <col min="5892" max="5892" width="19.140625" style="40" customWidth="1"/>
    <col min="5893" max="5893" width="23.42578125" style="40" customWidth="1"/>
    <col min="5894" max="5894" width="23" style="40" customWidth="1"/>
    <col min="5895" max="5895" width="0" style="40" hidden="1" customWidth="1"/>
    <col min="5896" max="5896" width="25.28515625" style="40" customWidth="1"/>
    <col min="5897" max="6144" width="9.140625" style="40"/>
    <col min="6145" max="6145" width="2.42578125" style="40" customWidth="1"/>
    <col min="6146" max="6146" width="22.42578125" style="40" customWidth="1"/>
    <col min="6147" max="6147" width="31.28515625" style="40" customWidth="1"/>
    <col min="6148" max="6148" width="19.140625" style="40" customWidth="1"/>
    <col min="6149" max="6149" width="23.42578125" style="40" customWidth="1"/>
    <col min="6150" max="6150" width="23" style="40" customWidth="1"/>
    <col min="6151" max="6151" width="0" style="40" hidden="1" customWidth="1"/>
    <col min="6152" max="6152" width="25.28515625" style="40" customWidth="1"/>
    <col min="6153" max="6400" width="9.140625" style="40"/>
    <col min="6401" max="6401" width="2.42578125" style="40" customWidth="1"/>
    <col min="6402" max="6402" width="22.42578125" style="40" customWidth="1"/>
    <col min="6403" max="6403" width="31.28515625" style="40" customWidth="1"/>
    <col min="6404" max="6404" width="19.140625" style="40" customWidth="1"/>
    <col min="6405" max="6405" width="23.42578125" style="40" customWidth="1"/>
    <col min="6406" max="6406" width="23" style="40" customWidth="1"/>
    <col min="6407" max="6407" width="0" style="40" hidden="1" customWidth="1"/>
    <col min="6408" max="6408" width="25.28515625" style="40" customWidth="1"/>
    <col min="6409" max="6656" width="9.140625" style="40"/>
    <col min="6657" max="6657" width="2.42578125" style="40" customWidth="1"/>
    <col min="6658" max="6658" width="22.42578125" style="40" customWidth="1"/>
    <col min="6659" max="6659" width="31.28515625" style="40" customWidth="1"/>
    <col min="6660" max="6660" width="19.140625" style="40" customWidth="1"/>
    <col min="6661" max="6661" width="23.42578125" style="40" customWidth="1"/>
    <col min="6662" max="6662" width="23" style="40" customWidth="1"/>
    <col min="6663" max="6663" width="0" style="40" hidden="1" customWidth="1"/>
    <col min="6664" max="6664" width="25.28515625" style="40" customWidth="1"/>
    <col min="6665" max="6912" width="9.140625" style="40"/>
    <col min="6913" max="6913" width="2.42578125" style="40" customWidth="1"/>
    <col min="6914" max="6914" width="22.42578125" style="40" customWidth="1"/>
    <col min="6915" max="6915" width="31.28515625" style="40" customWidth="1"/>
    <col min="6916" max="6916" width="19.140625" style="40" customWidth="1"/>
    <col min="6917" max="6917" width="23.42578125" style="40" customWidth="1"/>
    <col min="6918" max="6918" width="23" style="40" customWidth="1"/>
    <col min="6919" max="6919" width="0" style="40" hidden="1" customWidth="1"/>
    <col min="6920" max="6920" width="25.28515625" style="40" customWidth="1"/>
    <col min="6921" max="7168" width="9.140625" style="40"/>
    <col min="7169" max="7169" width="2.42578125" style="40" customWidth="1"/>
    <col min="7170" max="7170" width="22.42578125" style="40" customWidth="1"/>
    <col min="7171" max="7171" width="31.28515625" style="40" customWidth="1"/>
    <col min="7172" max="7172" width="19.140625" style="40" customWidth="1"/>
    <col min="7173" max="7173" width="23.42578125" style="40" customWidth="1"/>
    <col min="7174" max="7174" width="23" style="40" customWidth="1"/>
    <col min="7175" max="7175" width="0" style="40" hidden="1" customWidth="1"/>
    <col min="7176" max="7176" width="25.28515625" style="40" customWidth="1"/>
    <col min="7177" max="7424" width="9.140625" style="40"/>
    <col min="7425" max="7425" width="2.42578125" style="40" customWidth="1"/>
    <col min="7426" max="7426" width="22.42578125" style="40" customWidth="1"/>
    <col min="7427" max="7427" width="31.28515625" style="40" customWidth="1"/>
    <col min="7428" max="7428" width="19.140625" style="40" customWidth="1"/>
    <col min="7429" max="7429" width="23.42578125" style="40" customWidth="1"/>
    <col min="7430" max="7430" width="23" style="40" customWidth="1"/>
    <col min="7431" max="7431" width="0" style="40" hidden="1" customWidth="1"/>
    <col min="7432" max="7432" width="25.28515625" style="40" customWidth="1"/>
    <col min="7433" max="7680" width="9.140625" style="40"/>
    <col min="7681" max="7681" width="2.42578125" style="40" customWidth="1"/>
    <col min="7682" max="7682" width="22.42578125" style="40" customWidth="1"/>
    <col min="7683" max="7683" width="31.28515625" style="40" customWidth="1"/>
    <col min="7684" max="7684" width="19.140625" style="40" customWidth="1"/>
    <col min="7685" max="7685" width="23.42578125" style="40" customWidth="1"/>
    <col min="7686" max="7686" width="23" style="40" customWidth="1"/>
    <col min="7687" max="7687" width="0" style="40" hidden="1" customWidth="1"/>
    <col min="7688" max="7688" width="25.28515625" style="40" customWidth="1"/>
    <col min="7689" max="7936" width="9.140625" style="40"/>
    <col min="7937" max="7937" width="2.42578125" style="40" customWidth="1"/>
    <col min="7938" max="7938" width="22.42578125" style="40" customWidth="1"/>
    <col min="7939" max="7939" width="31.28515625" style="40" customWidth="1"/>
    <col min="7940" max="7940" width="19.140625" style="40" customWidth="1"/>
    <col min="7941" max="7941" width="23.42578125" style="40" customWidth="1"/>
    <col min="7942" max="7942" width="23" style="40" customWidth="1"/>
    <col min="7943" max="7943" width="0" style="40" hidden="1" customWidth="1"/>
    <col min="7944" max="7944" width="25.28515625" style="40" customWidth="1"/>
    <col min="7945" max="8192" width="9.140625" style="40"/>
    <col min="8193" max="8193" width="2.42578125" style="40" customWidth="1"/>
    <col min="8194" max="8194" width="22.42578125" style="40" customWidth="1"/>
    <col min="8195" max="8195" width="31.28515625" style="40" customWidth="1"/>
    <col min="8196" max="8196" width="19.140625" style="40" customWidth="1"/>
    <col min="8197" max="8197" width="23.42578125" style="40" customWidth="1"/>
    <col min="8198" max="8198" width="23" style="40" customWidth="1"/>
    <col min="8199" max="8199" width="0" style="40" hidden="1" customWidth="1"/>
    <col min="8200" max="8200" width="25.28515625" style="40" customWidth="1"/>
    <col min="8201" max="8448" width="9.140625" style="40"/>
    <col min="8449" max="8449" width="2.42578125" style="40" customWidth="1"/>
    <col min="8450" max="8450" width="22.42578125" style="40" customWidth="1"/>
    <col min="8451" max="8451" width="31.28515625" style="40" customWidth="1"/>
    <col min="8452" max="8452" width="19.140625" style="40" customWidth="1"/>
    <col min="8453" max="8453" width="23.42578125" style="40" customWidth="1"/>
    <col min="8454" max="8454" width="23" style="40" customWidth="1"/>
    <col min="8455" max="8455" width="0" style="40" hidden="1" customWidth="1"/>
    <col min="8456" max="8456" width="25.28515625" style="40" customWidth="1"/>
    <col min="8457" max="8704" width="9.140625" style="40"/>
    <col min="8705" max="8705" width="2.42578125" style="40" customWidth="1"/>
    <col min="8706" max="8706" width="22.42578125" style="40" customWidth="1"/>
    <col min="8707" max="8707" width="31.28515625" style="40" customWidth="1"/>
    <col min="8708" max="8708" width="19.140625" style="40" customWidth="1"/>
    <col min="8709" max="8709" width="23.42578125" style="40" customWidth="1"/>
    <col min="8710" max="8710" width="23" style="40" customWidth="1"/>
    <col min="8711" max="8711" width="0" style="40" hidden="1" customWidth="1"/>
    <col min="8712" max="8712" width="25.28515625" style="40" customWidth="1"/>
    <col min="8713" max="8960" width="9.140625" style="40"/>
    <col min="8961" max="8961" width="2.42578125" style="40" customWidth="1"/>
    <col min="8962" max="8962" width="22.42578125" style="40" customWidth="1"/>
    <col min="8963" max="8963" width="31.28515625" style="40" customWidth="1"/>
    <col min="8964" max="8964" width="19.140625" style="40" customWidth="1"/>
    <col min="8965" max="8965" width="23.42578125" style="40" customWidth="1"/>
    <col min="8966" max="8966" width="23" style="40" customWidth="1"/>
    <col min="8967" max="8967" width="0" style="40" hidden="1" customWidth="1"/>
    <col min="8968" max="8968" width="25.28515625" style="40" customWidth="1"/>
    <col min="8969" max="9216" width="9.140625" style="40"/>
    <col min="9217" max="9217" width="2.42578125" style="40" customWidth="1"/>
    <col min="9218" max="9218" width="22.42578125" style="40" customWidth="1"/>
    <col min="9219" max="9219" width="31.28515625" style="40" customWidth="1"/>
    <col min="9220" max="9220" width="19.140625" style="40" customWidth="1"/>
    <col min="9221" max="9221" width="23.42578125" style="40" customWidth="1"/>
    <col min="9222" max="9222" width="23" style="40" customWidth="1"/>
    <col min="9223" max="9223" width="0" style="40" hidden="1" customWidth="1"/>
    <col min="9224" max="9224" width="25.28515625" style="40" customWidth="1"/>
    <col min="9225" max="9472" width="9.140625" style="40"/>
    <col min="9473" max="9473" width="2.42578125" style="40" customWidth="1"/>
    <col min="9474" max="9474" width="22.42578125" style="40" customWidth="1"/>
    <col min="9475" max="9475" width="31.28515625" style="40" customWidth="1"/>
    <col min="9476" max="9476" width="19.140625" style="40" customWidth="1"/>
    <col min="9477" max="9477" width="23.42578125" style="40" customWidth="1"/>
    <col min="9478" max="9478" width="23" style="40" customWidth="1"/>
    <col min="9479" max="9479" width="0" style="40" hidden="1" customWidth="1"/>
    <col min="9480" max="9480" width="25.28515625" style="40" customWidth="1"/>
    <col min="9481" max="9728" width="9.140625" style="40"/>
    <col min="9729" max="9729" width="2.42578125" style="40" customWidth="1"/>
    <col min="9730" max="9730" width="22.42578125" style="40" customWidth="1"/>
    <col min="9731" max="9731" width="31.28515625" style="40" customWidth="1"/>
    <col min="9732" max="9732" width="19.140625" style="40" customWidth="1"/>
    <col min="9733" max="9733" width="23.42578125" style="40" customWidth="1"/>
    <col min="9734" max="9734" width="23" style="40" customWidth="1"/>
    <col min="9735" max="9735" width="0" style="40" hidden="1" customWidth="1"/>
    <col min="9736" max="9736" width="25.28515625" style="40" customWidth="1"/>
    <col min="9737" max="9984" width="9.140625" style="40"/>
    <col min="9985" max="9985" width="2.42578125" style="40" customWidth="1"/>
    <col min="9986" max="9986" width="22.42578125" style="40" customWidth="1"/>
    <col min="9987" max="9987" width="31.28515625" style="40" customWidth="1"/>
    <col min="9988" max="9988" width="19.140625" style="40" customWidth="1"/>
    <col min="9989" max="9989" width="23.42578125" style="40" customWidth="1"/>
    <col min="9990" max="9990" width="23" style="40" customWidth="1"/>
    <col min="9991" max="9991" width="0" style="40" hidden="1" customWidth="1"/>
    <col min="9992" max="9992" width="25.28515625" style="40" customWidth="1"/>
    <col min="9993" max="10240" width="9.140625" style="40"/>
    <col min="10241" max="10241" width="2.42578125" style="40" customWidth="1"/>
    <col min="10242" max="10242" width="22.42578125" style="40" customWidth="1"/>
    <col min="10243" max="10243" width="31.28515625" style="40" customWidth="1"/>
    <col min="10244" max="10244" width="19.140625" style="40" customWidth="1"/>
    <col min="10245" max="10245" width="23.42578125" style="40" customWidth="1"/>
    <col min="10246" max="10246" width="23" style="40" customWidth="1"/>
    <col min="10247" max="10247" width="0" style="40" hidden="1" customWidth="1"/>
    <col min="10248" max="10248" width="25.28515625" style="40" customWidth="1"/>
    <col min="10249" max="10496" width="9.140625" style="40"/>
    <col min="10497" max="10497" width="2.42578125" style="40" customWidth="1"/>
    <col min="10498" max="10498" width="22.42578125" style="40" customWidth="1"/>
    <col min="10499" max="10499" width="31.28515625" style="40" customWidth="1"/>
    <col min="10500" max="10500" width="19.140625" style="40" customWidth="1"/>
    <col min="10501" max="10501" width="23.42578125" style="40" customWidth="1"/>
    <col min="10502" max="10502" width="23" style="40" customWidth="1"/>
    <col min="10503" max="10503" width="0" style="40" hidden="1" customWidth="1"/>
    <col min="10504" max="10504" width="25.28515625" style="40" customWidth="1"/>
    <col min="10505" max="10752" width="9.140625" style="40"/>
    <col min="10753" max="10753" width="2.42578125" style="40" customWidth="1"/>
    <col min="10754" max="10754" width="22.42578125" style="40" customWidth="1"/>
    <col min="10755" max="10755" width="31.28515625" style="40" customWidth="1"/>
    <col min="10756" max="10756" width="19.140625" style="40" customWidth="1"/>
    <col min="10757" max="10757" width="23.42578125" style="40" customWidth="1"/>
    <col min="10758" max="10758" width="23" style="40" customWidth="1"/>
    <col min="10759" max="10759" width="0" style="40" hidden="1" customWidth="1"/>
    <col min="10760" max="10760" width="25.28515625" style="40" customWidth="1"/>
    <col min="10761" max="11008" width="9.140625" style="40"/>
    <col min="11009" max="11009" width="2.42578125" style="40" customWidth="1"/>
    <col min="11010" max="11010" width="22.42578125" style="40" customWidth="1"/>
    <col min="11011" max="11011" width="31.28515625" style="40" customWidth="1"/>
    <col min="11012" max="11012" width="19.140625" style="40" customWidth="1"/>
    <col min="11013" max="11013" width="23.42578125" style="40" customWidth="1"/>
    <col min="11014" max="11014" width="23" style="40" customWidth="1"/>
    <col min="11015" max="11015" width="0" style="40" hidden="1" customWidth="1"/>
    <col min="11016" max="11016" width="25.28515625" style="40" customWidth="1"/>
    <col min="11017" max="11264" width="9.140625" style="40"/>
    <col min="11265" max="11265" width="2.42578125" style="40" customWidth="1"/>
    <col min="11266" max="11266" width="22.42578125" style="40" customWidth="1"/>
    <col min="11267" max="11267" width="31.28515625" style="40" customWidth="1"/>
    <col min="11268" max="11268" width="19.140625" style="40" customWidth="1"/>
    <col min="11269" max="11269" width="23.42578125" style="40" customWidth="1"/>
    <col min="11270" max="11270" width="23" style="40" customWidth="1"/>
    <col min="11271" max="11271" width="0" style="40" hidden="1" customWidth="1"/>
    <col min="11272" max="11272" width="25.28515625" style="40" customWidth="1"/>
    <col min="11273" max="11520" width="9.140625" style="40"/>
    <col min="11521" max="11521" width="2.42578125" style="40" customWidth="1"/>
    <col min="11522" max="11522" width="22.42578125" style="40" customWidth="1"/>
    <col min="11523" max="11523" width="31.28515625" style="40" customWidth="1"/>
    <col min="11524" max="11524" width="19.140625" style="40" customWidth="1"/>
    <col min="11525" max="11525" width="23.42578125" style="40" customWidth="1"/>
    <col min="11526" max="11526" width="23" style="40" customWidth="1"/>
    <col min="11527" max="11527" width="0" style="40" hidden="1" customWidth="1"/>
    <col min="11528" max="11528" width="25.28515625" style="40" customWidth="1"/>
    <col min="11529" max="11776" width="9.140625" style="40"/>
    <col min="11777" max="11777" width="2.42578125" style="40" customWidth="1"/>
    <col min="11778" max="11778" width="22.42578125" style="40" customWidth="1"/>
    <col min="11779" max="11779" width="31.28515625" style="40" customWidth="1"/>
    <col min="11780" max="11780" width="19.140625" style="40" customWidth="1"/>
    <col min="11781" max="11781" width="23.42578125" style="40" customWidth="1"/>
    <col min="11782" max="11782" width="23" style="40" customWidth="1"/>
    <col min="11783" max="11783" width="0" style="40" hidden="1" customWidth="1"/>
    <col min="11784" max="11784" width="25.28515625" style="40" customWidth="1"/>
    <col min="11785" max="12032" width="9.140625" style="40"/>
    <col min="12033" max="12033" width="2.42578125" style="40" customWidth="1"/>
    <col min="12034" max="12034" width="22.42578125" style="40" customWidth="1"/>
    <col min="12035" max="12035" width="31.28515625" style="40" customWidth="1"/>
    <col min="12036" max="12036" width="19.140625" style="40" customWidth="1"/>
    <col min="12037" max="12037" width="23.42578125" style="40" customWidth="1"/>
    <col min="12038" max="12038" width="23" style="40" customWidth="1"/>
    <col min="12039" max="12039" width="0" style="40" hidden="1" customWidth="1"/>
    <col min="12040" max="12040" width="25.28515625" style="40" customWidth="1"/>
    <col min="12041" max="12288" width="9.140625" style="40"/>
    <col min="12289" max="12289" width="2.42578125" style="40" customWidth="1"/>
    <col min="12290" max="12290" width="22.42578125" style="40" customWidth="1"/>
    <col min="12291" max="12291" width="31.28515625" style="40" customWidth="1"/>
    <col min="12292" max="12292" width="19.140625" style="40" customWidth="1"/>
    <col min="12293" max="12293" width="23.42578125" style="40" customWidth="1"/>
    <col min="12294" max="12294" width="23" style="40" customWidth="1"/>
    <col min="12295" max="12295" width="0" style="40" hidden="1" customWidth="1"/>
    <col min="12296" max="12296" width="25.28515625" style="40" customWidth="1"/>
    <col min="12297" max="12544" width="9.140625" style="40"/>
    <col min="12545" max="12545" width="2.42578125" style="40" customWidth="1"/>
    <col min="12546" max="12546" width="22.42578125" style="40" customWidth="1"/>
    <col min="12547" max="12547" width="31.28515625" style="40" customWidth="1"/>
    <col min="12548" max="12548" width="19.140625" style="40" customWidth="1"/>
    <col min="12549" max="12549" width="23.42578125" style="40" customWidth="1"/>
    <col min="12550" max="12550" width="23" style="40" customWidth="1"/>
    <col min="12551" max="12551" width="0" style="40" hidden="1" customWidth="1"/>
    <col min="12552" max="12552" width="25.28515625" style="40" customWidth="1"/>
    <col min="12553" max="12800" width="9.140625" style="40"/>
    <col min="12801" max="12801" width="2.42578125" style="40" customWidth="1"/>
    <col min="12802" max="12802" width="22.42578125" style="40" customWidth="1"/>
    <col min="12803" max="12803" width="31.28515625" style="40" customWidth="1"/>
    <col min="12804" max="12804" width="19.140625" style="40" customWidth="1"/>
    <col min="12805" max="12805" width="23.42578125" style="40" customWidth="1"/>
    <col min="12806" max="12806" width="23" style="40" customWidth="1"/>
    <col min="12807" max="12807" width="0" style="40" hidden="1" customWidth="1"/>
    <col min="12808" max="12808" width="25.28515625" style="40" customWidth="1"/>
    <col min="12809" max="13056" width="9.140625" style="40"/>
    <col min="13057" max="13057" width="2.42578125" style="40" customWidth="1"/>
    <col min="13058" max="13058" width="22.42578125" style="40" customWidth="1"/>
    <col min="13059" max="13059" width="31.28515625" style="40" customWidth="1"/>
    <col min="13060" max="13060" width="19.140625" style="40" customWidth="1"/>
    <col min="13061" max="13061" width="23.42578125" style="40" customWidth="1"/>
    <col min="13062" max="13062" width="23" style="40" customWidth="1"/>
    <col min="13063" max="13063" width="0" style="40" hidden="1" customWidth="1"/>
    <col min="13064" max="13064" width="25.28515625" style="40" customWidth="1"/>
    <col min="13065" max="13312" width="9.140625" style="40"/>
    <col min="13313" max="13313" width="2.42578125" style="40" customWidth="1"/>
    <col min="13314" max="13314" width="22.42578125" style="40" customWidth="1"/>
    <col min="13315" max="13315" width="31.28515625" style="40" customWidth="1"/>
    <col min="13316" max="13316" width="19.140625" style="40" customWidth="1"/>
    <col min="13317" max="13317" width="23.42578125" style="40" customWidth="1"/>
    <col min="13318" max="13318" width="23" style="40" customWidth="1"/>
    <col min="13319" max="13319" width="0" style="40" hidden="1" customWidth="1"/>
    <col min="13320" max="13320" width="25.28515625" style="40" customWidth="1"/>
    <col min="13321" max="13568" width="9.140625" style="40"/>
    <col min="13569" max="13569" width="2.42578125" style="40" customWidth="1"/>
    <col min="13570" max="13570" width="22.42578125" style="40" customWidth="1"/>
    <col min="13571" max="13571" width="31.28515625" style="40" customWidth="1"/>
    <col min="13572" max="13572" width="19.140625" style="40" customWidth="1"/>
    <col min="13573" max="13573" width="23.42578125" style="40" customWidth="1"/>
    <col min="13574" max="13574" width="23" style="40" customWidth="1"/>
    <col min="13575" max="13575" width="0" style="40" hidden="1" customWidth="1"/>
    <col min="13576" max="13576" width="25.28515625" style="40" customWidth="1"/>
    <col min="13577" max="13824" width="9.140625" style="40"/>
    <col min="13825" max="13825" width="2.42578125" style="40" customWidth="1"/>
    <col min="13826" max="13826" width="22.42578125" style="40" customWidth="1"/>
    <col min="13827" max="13827" width="31.28515625" style="40" customWidth="1"/>
    <col min="13828" max="13828" width="19.140625" style="40" customWidth="1"/>
    <col min="13829" max="13829" width="23.42578125" style="40" customWidth="1"/>
    <col min="13830" max="13830" width="23" style="40" customWidth="1"/>
    <col min="13831" max="13831" width="0" style="40" hidden="1" customWidth="1"/>
    <col min="13832" max="13832" width="25.28515625" style="40" customWidth="1"/>
    <col min="13833" max="14080" width="9.140625" style="40"/>
    <col min="14081" max="14081" width="2.42578125" style="40" customWidth="1"/>
    <col min="14082" max="14082" width="22.42578125" style="40" customWidth="1"/>
    <col min="14083" max="14083" width="31.28515625" style="40" customWidth="1"/>
    <col min="14084" max="14084" width="19.140625" style="40" customWidth="1"/>
    <col min="14085" max="14085" width="23.42578125" style="40" customWidth="1"/>
    <col min="14086" max="14086" width="23" style="40" customWidth="1"/>
    <col min="14087" max="14087" width="0" style="40" hidden="1" customWidth="1"/>
    <col min="14088" max="14088" width="25.28515625" style="40" customWidth="1"/>
    <col min="14089" max="14336" width="9.140625" style="40"/>
    <col min="14337" max="14337" width="2.42578125" style="40" customWidth="1"/>
    <col min="14338" max="14338" width="22.42578125" style="40" customWidth="1"/>
    <col min="14339" max="14339" width="31.28515625" style="40" customWidth="1"/>
    <col min="14340" max="14340" width="19.140625" style="40" customWidth="1"/>
    <col min="14341" max="14341" width="23.42578125" style="40" customWidth="1"/>
    <col min="14342" max="14342" width="23" style="40" customWidth="1"/>
    <col min="14343" max="14343" width="0" style="40" hidden="1" customWidth="1"/>
    <col min="14344" max="14344" width="25.28515625" style="40" customWidth="1"/>
    <col min="14345" max="14592" width="9.140625" style="40"/>
    <col min="14593" max="14593" width="2.42578125" style="40" customWidth="1"/>
    <col min="14594" max="14594" width="22.42578125" style="40" customWidth="1"/>
    <col min="14595" max="14595" width="31.28515625" style="40" customWidth="1"/>
    <col min="14596" max="14596" width="19.140625" style="40" customWidth="1"/>
    <col min="14597" max="14597" width="23.42578125" style="40" customWidth="1"/>
    <col min="14598" max="14598" width="23" style="40" customWidth="1"/>
    <col min="14599" max="14599" width="0" style="40" hidden="1" customWidth="1"/>
    <col min="14600" max="14600" width="25.28515625" style="40" customWidth="1"/>
    <col min="14601" max="14848" width="9.140625" style="40"/>
    <col min="14849" max="14849" width="2.42578125" style="40" customWidth="1"/>
    <col min="14850" max="14850" width="22.42578125" style="40" customWidth="1"/>
    <col min="14851" max="14851" width="31.28515625" style="40" customWidth="1"/>
    <col min="14852" max="14852" width="19.140625" style="40" customWidth="1"/>
    <col min="14853" max="14853" width="23.42578125" style="40" customWidth="1"/>
    <col min="14854" max="14854" width="23" style="40" customWidth="1"/>
    <col min="14855" max="14855" width="0" style="40" hidden="1" customWidth="1"/>
    <col min="14856" max="14856" width="25.28515625" style="40" customWidth="1"/>
    <col min="14857" max="15104" width="9.140625" style="40"/>
    <col min="15105" max="15105" width="2.42578125" style="40" customWidth="1"/>
    <col min="15106" max="15106" width="22.42578125" style="40" customWidth="1"/>
    <col min="15107" max="15107" width="31.28515625" style="40" customWidth="1"/>
    <col min="15108" max="15108" width="19.140625" style="40" customWidth="1"/>
    <col min="15109" max="15109" width="23.42578125" style="40" customWidth="1"/>
    <col min="15110" max="15110" width="23" style="40" customWidth="1"/>
    <col min="15111" max="15111" width="0" style="40" hidden="1" customWidth="1"/>
    <col min="15112" max="15112" width="25.28515625" style="40" customWidth="1"/>
    <col min="15113" max="15360" width="9.140625" style="40"/>
    <col min="15361" max="15361" width="2.42578125" style="40" customWidth="1"/>
    <col min="15362" max="15362" width="22.42578125" style="40" customWidth="1"/>
    <col min="15363" max="15363" width="31.28515625" style="40" customWidth="1"/>
    <col min="15364" max="15364" width="19.140625" style="40" customWidth="1"/>
    <col min="15365" max="15365" width="23.42578125" style="40" customWidth="1"/>
    <col min="15366" max="15366" width="23" style="40" customWidth="1"/>
    <col min="15367" max="15367" width="0" style="40" hidden="1" customWidth="1"/>
    <col min="15368" max="15368" width="25.28515625" style="40" customWidth="1"/>
    <col min="15369" max="15616" width="9.140625" style="40"/>
    <col min="15617" max="15617" width="2.42578125" style="40" customWidth="1"/>
    <col min="15618" max="15618" width="22.42578125" style="40" customWidth="1"/>
    <col min="15619" max="15619" width="31.28515625" style="40" customWidth="1"/>
    <col min="15620" max="15620" width="19.140625" style="40" customWidth="1"/>
    <col min="15621" max="15621" width="23.42578125" style="40" customWidth="1"/>
    <col min="15622" max="15622" width="23" style="40" customWidth="1"/>
    <col min="15623" max="15623" width="0" style="40" hidden="1" customWidth="1"/>
    <col min="15624" max="15624" width="25.28515625" style="40" customWidth="1"/>
    <col min="15625" max="15872" width="9.140625" style="40"/>
    <col min="15873" max="15873" width="2.42578125" style="40" customWidth="1"/>
    <col min="15874" max="15874" width="22.42578125" style="40" customWidth="1"/>
    <col min="15875" max="15875" width="31.28515625" style="40" customWidth="1"/>
    <col min="15876" max="15876" width="19.140625" style="40" customWidth="1"/>
    <col min="15877" max="15877" width="23.42578125" style="40" customWidth="1"/>
    <col min="15878" max="15878" width="23" style="40" customWidth="1"/>
    <col min="15879" max="15879" width="0" style="40" hidden="1" customWidth="1"/>
    <col min="15880" max="15880" width="25.28515625" style="40" customWidth="1"/>
    <col min="15881" max="16128" width="9.140625" style="40"/>
    <col min="16129" max="16129" width="2.42578125" style="40" customWidth="1"/>
    <col min="16130" max="16130" width="22.42578125" style="40" customWidth="1"/>
    <col min="16131" max="16131" width="31.28515625" style="40" customWidth="1"/>
    <col min="16132" max="16132" width="19.140625" style="40" customWidth="1"/>
    <col min="16133" max="16133" width="23.42578125" style="40" customWidth="1"/>
    <col min="16134" max="16134" width="23" style="40" customWidth="1"/>
    <col min="16135" max="16135" width="0" style="40" hidden="1" customWidth="1"/>
    <col min="16136" max="16136" width="25.28515625" style="40" customWidth="1"/>
    <col min="16137" max="16384" width="9.140625" style="40"/>
  </cols>
  <sheetData>
    <row r="1" spans="2:4" x14ac:dyDescent="0.25">
      <c r="B1" s="169"/>
      <c r="C1" s="169"/>
      <c r="D1" s="169"/>
    </row>
    <row r="2" spans="2:4" x14ac:dyDescent="0.25">
      <c r="B2" s="170" t="s">
        <v>257</v>
      </c>
      <c r="C2" s="170"/>
      <c r="D2" s="170"/>
    </row>
    <row r="3" spans="2:4" x14ac:dyDescent="0.25">
      <c r="B3" s="42"/>
      <c r="C3" s="41"/>
      <c r="D3" s="41"/>
    </row>
    <row r="4" spans="2:4" x14ac:dyDescent="0.25">
      <c r="B4" s="148" t="s">
        <v>59</v>
      </c>
      <c r="C4" s="148"/>
      <c r="D4" s="148"/>
    </row>
    <row r="5" spans="2:4" ht="15.75" x14ac:dyDescent="0.25">
      <c r="B5" s="19">
        <v>2019</v>
      </c>
      <c r="C5" s="14">
        <f>ROUNDDOWN('BE - Granja Silva'!J7,)</f>
        <v>91</v>
      </c>
      <c r="D5" s="19" t="s">
        <v>60</v>
      </c>
    </row>
    <row r="6" spans="2:4" ht="15.75" x14ac:dyDescent="0.25">
      <c r="B6" s="19">
        <v>2020</v>
      </c>
      <c r="C6" s="14">
        <f>ROUNDDOWN('BE - Granja Silva'!J8,)</f>
        <v>209</v>
      </c>
      <c r="D6" s="19" t="s">
        <v>60</v>
      </c>
    </row>
    <row r="7" spans="2:4" ht="15.75" x14ac:dyDescent="0.25">
      <c r="B7" s="43" t="s">
        <v>16</v>
      </c>
      <c r="C7" s="44">
        <f>SUM(C5:C6)</f>
        <v>300</v>
      </c>
      <c r="D7" s="43" t="s">
        <v>61</v>
      </c>
    </row>
    <row r="8" spans="2:4" x14ac:dyDescent="0.25">
      <c r="B8" s="41"/>
      <c r="C8" s="41"/>
      <c r="D8" s="41"/>
    </row>
    <row r="9" spans="2:4" x14ac:dyDescent="0.25">
      <c r="B9" s="170" t="s">
        <v>62</v>
      </c>
      <c r="C9" s="170"/>
      <c r="D9" s="170"/>
    </row>
    <row r="10" spans="2:4" ht="15.75" x14ac:dyDescent="0.25">
      <c r="B10" s="19">
        <v>2019</v>
      </c>
      <c r="C10" s="45">
        <f>ROUNDUP('PE - Granja Silva'!H7,)</f>
        <v>102</v>
      </c>
      <c r="D10" s="19" t="s">
        <v>60</v>
      </c>
    </row>
    <row r="11" spans="2:4" ht="15.75" x14ac:dyDescent="0.25">
      <c r="B11" s="19">
        <v>2020</v>
      </c>
      <c r="C11" s="45">
        <f>ROUNDUP('PE - Granja Silva'!H8,)</f>
        <v>166</v>
      </c>
      <c r="D11" s="19" t="s">
        <v>60</v>
      </c>
    </row>
    <row r="12" spans="2:4" ht="15.75" x14ac:dyDescent="0.25">
      <c r="B12" s="43" t="s">
        <v>16</v>
      </c>
      <c r="C12" s="44">
        <f>SUM(C10:C11)</f>
        <v>268</v>
      </c>
      <c r="D12" s="43" t="s">
        <v>61</v>
      </c>
    </row>
    <row r="13" spans="2:4" x14ac:dyDescent="0.25">
      <c r="B13" s="41"/>
      <c r="C13" s="41"/>
      <c r="D13" s="41"/>
    </row>
    <row r="14" spans="2:4" x14ac:dyDescent="0.25">
      <c r="B14" s="148" t="s">
        <v>63</v>
      </c>
      <c r="C14" s="148"/>
      <c r="D14" s="148"/>
    </row>
    <row r="15" spans="2:4" ht="15.75" x14ac:dyDescent="0.25">
      <c r="B15" s="19">
        <v>2019</v>
      </c>
      <c r="C15" s="14">
        <f>ROUNDDOWN((C5-C10),)</f>
        <v>-11</v>
      </c>
      <c r="D15" s="19" t="s">
        <v>60</v>
      </c>
    </row>
    <row r="16" spans="2:4" ht="15.75" x14ac:dyDescent="0.25">
      <c r="B16" s="19">
        <v>2020</v>
      </c>
      <c r="C16" s="14">
        <f>ROUNDDOWN((C6-C11),)</f>
        <v>43</v>
      </c>
      <c r="D16" s="19" t="s">
        <v>60</v>
      </c>
    </row>
    <row r="17" spans="2:4" ht="15.75" x14ac:dyDescent="0.25">
      <c r="B17" s="43" t="s">
        <v>16</v>
      </c>
      <c r="C17" s="44">
        <f>SUM(C15:C16)</f>
        <v>32</v>
      </c>
      <c r="D17" s="43" t="s">
        <v>61</v>
      </c>
    </row>
  </sheetData>
  <mergeCells count="5">
    <mergeCell ref="B1:D1"/>
    <mergeCell ref="B2:D2"/>
    <mergeCell ref="B4:D4"/>
    <mergeCell ref="B9:D9"/>
    <mergeCell ref="B14:D14"/>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204FE-3C3D-4C9F-9DC8-400D43988DD9}">
  <sheetPr>
    <tabColor rgb="FFC2D7E0"/>
  </sheetPr>
  <dimension ref="A1:Y75"/>
  <sheetViews>
    <sheetView zoomScale="80" zoomScaleNormal="80" workbookViewId="0">
      <selection activeCell="B2" sqref="B2:J2"/>
    </sheetView>
  </sheetViews>
  <sheetFormatPr defaultRowHeight="14.25" x14ac:dyDescent="0.25"/>
  <cols>
    <col min="1" max="1" width="4.140625" style="46" customWidth="1"/>
    <col min="2" max="10" width="13.5703125" style="46" customWidth="1"/>
    <col min="11" max="11" width="4.140625" style="46" customWidth="1"/>
    <col min="12" max="12" width="46.7109375" style="49" customWidth="1"/>
    <col min="13" max="13" width="25.85546875" style="49" customWidth="1"/>
    <col min="14" max="14" width="23.7109375" style="58" customWidth="1"/>
    <col min="15" max="15" width="11.85546875" style="49" customWidth="1"/>
    <col min="16" max="16" width="39.140625" style="50" customWidth="1"/>
    <col min="17" max="17" width="16.140625" style="50" customWidth="1"/>
    <col min="18" max="18" width="13.85546875" style="50" customWidth="1"/>
    <col min="19" max="19" width="14.7109375" style="49" customWidth="1"/>
    <col min="20" max="20" width="9.140625" style="49"/>
    <col min="21" max="21" width="11.5703125" style="49" bestFit="1" customWidth="1"/>
    <col min="22" max="22" width="9.140625" style="49"/>
    <col min="23" max="23" width="11.5703125" style="49" bestFit="1" customWidth="1"/>
    <col min="24" max="256" width="9.140625" style="49"/>
    <col min="257" max="257" width="4.140625" style="49" customWidth="1"/>
    <col min="258" max="266" width="13.5703125" style="49" customWidth="1"/>
    <col min="267" max="267" width="4.140625" style="49" customWidth="1"/>
    <col min="268" max="268" width="46.7109375" style="49" customWidth="1"/>
    <col min="269" max="269" width="25.85546875" style="49" customWidth="1"/>
    <col min="270" max="270" width="23.7109375" style="49" customWidth="1"/>
    <col min="271" max="271" width="11.85546875" style="49" customWidth="1"/>
    <col min="272" max="272" width="39.140625" style="49" customWidth="1"/>
    <col min="273" max="273" width="16.140625" style="49" customWidth="1"/>
    <col min="274" max="274" width="13.85546875" style="49" customWidth="1"/>
    <col min="275" max="275" width="14.7109375" style="49" customWidth="1"/>
    <col min="276" max="276" width="9.140625" style="49"/>
    <col min="277" max="277" width="11.5703125" style="49" bestFit="1" customWidth="1"/>
    <col min="278" max="278" width="9.140625" style="49"/>
    <col min="279" max="279" width="11.5703125" style="49" bestFit="1" customWidth="1"/>
    <col min="280" max="512" width="9.140625" style="49"/>
    <col min="513" max="513" width="4.140625" style="49" customWidth="1"/>
    <col min="514" max="522" width="13.5703125" style="49" customWidth="1"/>
    <col min="523" max="523" width="4.140625" style="49" customWidth="1"/>
    <col min="524" max="524" width="46.7109375" style="49" customWidth="1"/>
    <col min="525" max="525" width="25.85546875" style="49" customWidth="1"/>
    <col min="526" max="526" width="23.7109375" style="49" customWidth="1"/>
    <col min="527" max="527" width="11.85546875" style="49" customWidth="1"/>
    <col min="528" max="528" width="39.140625" style="49" customWidth="1"/>
    <col min="529" max="529" width="16.140625" style="49" customWidth="1"/>
    <col min="530" max="530" width="13.85546875" style="49" customWidth="1"/>
    <col min="531" max="531" width="14.7109375" style="49" customWidth="1"/>
    <col min="532" max="532" width="9.140625" style="49"/>
    <col min="533" max="533" width="11.5703125" style="49" bestFit="1" customWidth="1"/>
    <col min="534" max="534" width="9.140625" style="49"/>
    <col min="535" max="535" width="11.5703125" style="49" bestFit="1" customWidth="1"/>
    <col min="536" max="768" width="9.140625" style="49"/>
    <col min="769" max="769" width="4.140625" style="49" customWidth="1"/>
    <col min="770" max="778" width="13.5703125" style="49" customWidth="1"/>
    <col min="779" max="779" width="4.140625" style="49" customWidth="1"/>
    <col min="780" max="780" width="46.7109375" style="49" customWidth="1"/>
    <col min="781" max="781" width="25.85546875" style="49" customWidth="1"/>
    <col min="782" max="782" width="23.7109375" style="49" customWidth="1"/>
    <col min="783" max="783" width="11.85546875" style="49" customWidth="1"/>
    <col min="784" max="784" width="39.140625" style="49" customWidth="1"/>
    <col min="785" max="785" width="16.140625" style="49" customWidth="1"/>
    <col min="786" max="786" width="13.85546875" style="49" customWidth="1"/>
    <col min="787" max="787" width="14.7109375" style="49" customWidth="1"/>
    <col min="788" max="788" width="9.140625" style="49"/>
    <col min="789" max="789" width="11.5703125" style="49" bestFit="1" customWidth="1"/>
    <col min="790" max="790" width="9.140625" style="49"/>
    <col min="791" max="791" width="11.5703125" style="49" bestFit="1" customWidth="1"/>
    <col min="792" max="1024" width="9.140625" style="49"/>
    <col min="1025" max="1025" width="4.140625" style="49" customWidth="1"/>
    <col min="1026" max="1034" width="13.5703125" style="49" customWidth="1"/>
    <col min="1035" max="1035" width="4.140625" style="49" customWidth="1"/>
    <col min="1036" max="1036" width="46.7109375" style="49" customWidth="1"/>
    <col min="1037" max="1037" width="25.85546875" style="49" customWidth="1"/>
    <col min="1038" max="1038" width="23.7109375" style="49" customWidth="1"/>
    <col min="1039" max="1039" width="11.85546875" style="49" customWidth="1"/>
    <col min="1040" max="1040" width="39.140625" style="49" customWidth="1"/>
    <col min="1041" max="1041" width="16.140625" style="49" customWidth="1"/>
    <col min="1042" max="1042" width="13.85546875" style="49" customWidth="1"/>
    <col min="1043" max="1043" width="14.7109375" style="49" customWidth="1"/>
    <col min="1044" max="1044" width="9.140625" style="49"/>
    <col min="1045" max="1045" width="11.5703125" style="49" bestFit="1" customWidth="1"/>
    <col min="1046" max="1046" width="9.140625" style="49"/>
    <col min="1047" max="1047" width="11.5703125" style="49" bestFit="1" customWidth="1"/>
    <col min="1048" max="1280" width="9.140625" style="49"/>
    <col min="1281" max="1281" width="4.140625" style="49" customWidth="1"/>
    <col min="1282" max="1290" width="13.5703125" style="49" customWidth="1"/>
    <col min="1291" max="1291" width="4.140625" style="49" customWidth="1"/>
    <col min="1292" max="1292" width="46.7109375" style="49" customWidth="1"/>
    <col min="1293" max="1293" width="25.85546875" style="49" customWidth="1"/>
    <col min="1294" max="1294" width="23.7109375" style="49" customWidth="1"/>
    <col min="1295" max="1295" width="11.85546875" style="49" customWidth="1"/>
    <col min="1296" max="1296" width="39.140625" style="49" customWidth="1"/>
    <col min="1297" max="1297" width="16.140625" style="49" customWidth="1"/>
    <col min="1298" max="1298" width="13.85546875" style="49" customWidth="1"/>
    <col min="1299" max="1299" width="14.7109375" style="49" customWidth="1"/>
    <col min="1300" max="1300" width="9.140625" style="49"/>
    <col min="1301" max="1301" width="11.5703125" style="49" bestFit="1" customWidth="1"/>
    <col min="1302" max="1302" width="9.140625" style="49"/>
    <col min="1303" max="1303" width="11.5703125" style="49" bestFit="1" customWidth="1"/>
    <col min="1304" max="1536" width="9.140625" style="49"/>
    <col min="1537" max="1537" width="4.140625" style="49" customWidth="1"/>
    <col min="1538" max="1546" width="13.5703125" style="49" customWidth="1"/>
    <col min="1547" max="1547" width="4.140625" style="49" customWidth="1"/>
    <col min="1548" max="1548" width="46.7109375" style="49" customWidth="1"/>
    <col min="1549" max="1549" width="25.85546875" style="49" customWidth="1"/>
    <col min="1550" max="1550" width="23.7109375" style="49" customWidth="1"/>
    <col min="1551" max="1551" width="11.85546875" style="49" customWidth="1"/>
    <col min="1552" max="1552" width="39.140625" style="49" customWidth="1"/>
    <col min="1553" max="1553" width="16.140625" style="49" customWidth="1"/>
    <col min="1554" max="1554" width="13.85546875" style="49" customWidth="1"/>
    <col min="1555" max="1555" width="14.7109375" style="49" customWidth="1"/>
    <col min="1556" max="1556" width="9.140625" style="49"/>
    <col min="1557" max="1557" width="11.5703125" style="49" bestFit="1" customWidth="1"/>
    <col min="1558" max="1558" width="9.140625" style="49"/>
    <col min="1559" max="1559" width="11.5703125" style="49" bestFit="1" customWidth="1"/>
    <col min="1560" max="1792" width="9.140625" style="49"/>
    <col min="1793" max="1793" width="4.140625" style="49" customWidth="1"/>
    <col min="1794" max="1802" width="13.5703125" style="49" customWidth="1"/>
    <col min="1803" max="1803" width="4.140625" style="49" customWidth="1"/>
    <col min="1804" max="1804" width="46.7109375" style="49" customWidth="1"/>
    <col min="1805" max="1805" width="25.85546875" style="49" customWidth="1"/>
    <col min="1806" max="1806" width="23.7109375" style="49" customWidth="1"/>
    <col min="1807" max="1807" width="11.85546875" style="49" customWidth="1"/>
    <col min="1808" max="1808" width="39.140625" style="49" customWidth="1"/>
    <col min="1809" max="1809" width="16.140625" style="49" customWidth="1"/>
    <col min="1810" max="1810" width="13.85546875" style="49" customWidth="1"/>
    <col min="1811" max="1811" width="14.7109375" style="49" customWidth="1"/>
    <col min="1812" max="1812" width="9.140625" style="49"/>
    <col min="1813" max="1813" width="11.5703125" style="49" bestFit="1" customWidth="1"/>
    <col min="1814" max="1814" width="9.140625" style="49"/>
    <col min="1815" max="1815" width="11.5703125" style="49" bestFit="1" customWidth="1"/>
    <col min="1816" max="2048" width="9.140625" style="49"/>
    <col min="2049" max="2049" width="4.140625" style="49" customWidth="1"/>
    <col min="2050" max="2058" width="13.5703125" style="49" customWidth="1"/>
    <col min="2059" max="2059" width="4.140625" style="49" customWidth="1"/>
    <col min="2060" max="2060" width="46.7109375" style="49" customWidth="1"/>
    <col min="2061" max="2061" width="25.85546875" style="49" customWidth="1"/>
    <col min="2062" max="2062" width="23.7109375" style="49" customWidth="1"/>
    <col min="2063" max="2063" width="11.85546875" style="49" customWidth="1"/>
    <col min="2064" max="2064" width="39.140625" style="49" customWidth="1"/>
    <col min="2065" max="2065" width="16.140625" style="49" customWidth="1"/>
    <col min="2066" max="2066" width="13.85546875" style="49" customWidth="1"/>
    <col min="2067" max="2067" width="14.7109375" style="49" customWidth="1"/>
    <col min="2068" max="2068" width="9.140625" style="49"/>
    <col min="2069" max="2069" width="11.5703125" style="49" bestFit="1" customWidth="1"/>
    <col min="2070" max="2070" width="9.140625" style="49"/>
    <col min="2071" max="2071" width="11.5703125" style="49" bestFit="1" customWidth="1"/>
    <col min="2072" max="2304" width="9.140625" style="49"/>
    <col min="2305" max="2305" width="4.140625" style="49" customWidth="1"/>
    <col min="2306" max="2314" width="13.5703125" style="49" customWidth="1"/>
    <col min="2315" max="2315" width="4.140625" style="49" customWidth="1"/>
    <col min="2316" max="2316" width="46.7109375" style="49" customWidth="1"/>
    <col min="2317" max="2317" width="25.85546875" style="49" customWidth="1"/>
    <col min="2318" max="2318" width="23.7109375" style="49" customWidth="1"/>
    <col min="2319" max="2319" width="11.85546875" style="49" customWidth="1"/>
    <col min="2320" max="2320" width="39.140625" style="49" customWidth="1"/>
    <col min="2321" max="2321" width="16.140625" style="49" customWidth="1"/>
    <col min="2322" max="2322" width="13.85546875" style="49" customWidth="1"/>
    <col min="2323" max="2323" width="14.7109375" style="49" customWidth="1"/>
    <col min="2324" max="2324" width="9.140625" style="49"/>
    <col min="2325" max="2325" width="11.5703125" style="49" bestFit="1" customWidth="1"/>
    <col min="2326" max="2326" width="9.140625" style="49"/>
    <col min="2327" max="2327" width="11.5703125" style="49" bestFit="1" customWidth="1"/>
    <col min="2328" max="2560" width="9.140625" style="49"/>
    <col min="2561" max="2561" width="4.140625" style="49" customWidth="1"/>
    <col min="2562" max="2570" width="13.5703125" style="49" customWidth="1"/>
    <col min="2571" max="2571" width="4.140625" style="49" customWidth="1"/>
    <col min="2572" max="2572" width="46.7109375" style="49" customWidth="1"/>
    <col min="2573" max="2573" width="25.85546875" style="49" customWidth="1"/>
    <col min="2574" max="2574" width="23.7109375" style="49" customWidth="1"/>
    <col min="2575" max="2575" width="11.85546875" style="49" customWidth="1"/>
    <col min="2576" max="2576" width="39.140625" style="49" customWidth="1"/>
    <col min="2577" max="2577" width="16.140625" style="49" customWidth="1"/>
    <col min="2578" max="2578" width="13.85546875" style="49" customWidth="1"/>
    <col min="2579" max="2579" width="14.7109375" style="49" customWidth="1"/>
    <col min="2580" max="2580" width="9.140625" style="49"/>
    <col min="2581" max="2581" width="11.5703125" style="49" bestFit="1" customWidth="1"/>
    <col min="2582" max="2582" width="9.140625" style="49"/>
    <col min="2583" max="2583" width="11.5703125" style="49" bestFit="1" customWidth="1"/>
    <col min="2584" max="2816" width="9.140625" style="49"/>
    <col min="2817" max="2817" width="4.140625" style="49" customWidth="1"/>
    <col min="2818" max="2826" width="13.5703125" style="49" customWidth="1"/>
    <col min="2827" max="2827" width="4.140625" style="49" customWidth="1"/>
    <col min="2828" max="2828" width="46.7109375" style="49" customWidth="1"/>
    <col min="2829" max="2829" width="25.85546875" style="49" customWidth="1"/>
    <col min="2830" max="2830" width="23.7109375" style="49" customWidth="1"/>
    <col min="2831" max="2831" width="11.85546875" style="49" customWidth="1"/>
    <col min="2832" max="2832" width="39.140625" style="49" customWidth="1"/>
    <col min="2833" max="2833" width="16.140625" style="49" customWidth="1"/>
    <col min="2834" max="2834" width="13.85546875" style="49" customWidth="1"/>
    <col min="2835" max="2835" width="14.7109375" style="49" customWidth="1"/>
    <col min="2836" max="2836" width="9.140625" style="49"/>
    <col min="2837" max="2837" width="11.5703125" style="49" bestFit="1" customWidth="1"/>
    <col min="2838" max="2838" width="9.140625" style="49"/>
    <col min="2839" max="2839" width="11.5703125" style="49" bestFit="1" customWidth="1"/>
    <col min="2840" max="3072" width="9.140625" style="49"/>
    <col min="3073" max="3073" width="4.140625" style="49" customWidth="1"/>
    <col min="3074" max="3082" width="13.5703125" style="49" customWidth="1"/>
    <col min="3083" max="3083" width="4.140625" style="49" customWidth="1"/>
    <col min="3084" max="3084" width="46.7109375" style="49" customWidth="1"/>
    <col min="3085" max="3085" width="25.85546875" style="49" customWidth="1"/>
    <col min="3086" max="3086" width="23.7109375" style="49" customWidth="1"/>
    <col min="3087" max="3087" width="11.85546875" style="49" customWidth="1"/>
    <col min="3088" max="3088" width="39.140625" style="49" customWidth="1"/>
    <col min="3089" max="3089" width="16.140625" style="49" customWidth="1"/>
    <col min="3090" max="3090" width="13.85546875" style="49" customWidth="1"/>
    <col min="3091" max="3091" width="14.7109375" style="49" customWidth="1"/>
    <col min="3092" max="3092" width="9.140625" style="49"/>
    <col min="3093" max="3093" width="11.5703125" style="49" bestFit="1" customWidth="1"/>
    <col min="3094" max="3094" width="9.140625" style="49"/>
    <col min="3095" max="3095" width="11.5703125" style="49" bestFit="1" customWidth="1"/>
    <col min="3096" max="3328" width="9.140625" style="49"/>
    <col min="3329" max="3329" width="4.140625" style="49" customWidth="1"/>
    <col min="3330" max="3338" width="13.5703125" style="49" customWidth="1"/>
    <col min="3339" max="3339" width="4.140625" style="49" customWidth="1"/>
    <col min="3340" max="3340" width="46.7109375" style="49" customWidth="1"/>
    <col min="3341" max="3341" width="25.85546875" style="49" customWidth="1"/>
    <col min="3342" max="3342" width="23.7109375" style="49" customWidth="1"/>
    <col min="3343" max="3343" width="11.85546875" style="49" customWidth="1"/>
    <col min="3344" max="3344" width="39.140625" style="49" customWidth="1"/>
    <col min="3345" max="3345" width="16.140625" style="49" customWidth="1"/>
    <col min="3346" max="3346" width="13.85546875" style="49" customWidth="1"/>
    <col min="3347" max="3347" width="14.7109375" style="49" customWidth="1"/>
    <col min="3348" max="3348" width="9.140625" style="49"/>
    <col min="3349" max="3349" width="11.5703125" style="49" bestFit="1" customWidth="1"/>
    <col min="3350" max="3350" width="9.140625" style="49"/>
    <col min="3351" max="3351" width="11.5703125" style="49" bestFit="1" customWidth="1"/>
    <col min="3352" max="3584" width="9.140625" style="49"/>
    <col min="3585" max="3585" width="4.140625" style="49" customWidth="1"/>
    <col min="3586" max="3594" width="13.5703125" style="49" customWidth="1"/>
    <col min="3595" max="3595" width="4.140625" style="49" customWidth="1"/>
    <col min="3596" max="3596" width="46.7109375" style="49" customWidth="1"/>
    <col min="3597" max="3597" width="25.85546875" style="49" customWidth="1"/>
    <col min="3598" max="3598" width="23.7109375" style="49" customWidth="1"/>
    <col min="3599" max="3599" width="11.85546875" style="49" customWidth="1"/>
    <col min="3600" max="3600" width="39.140625" style="49" customWidth="1"/>
    <col min="3601" max="3601" width="16.140625" style="49" customWidth="1"/>
    <col min="3602" max="3602" width="13.85546875" style="49" customWidth="1"/>
    <col min="3603" max="3603" width="14.7109375" style="49" customWidth="1"/>
    <col min="3604" max="3604" width="9.140625" style="49"/>
    <col min="3605" max="3605" width="11.5703125" style="49" bestFit="1" customWidth="1"/>
    <col min="3606" max="3606" width="9.140625" style="49"/>
    <col min="3607" max="3607" width="11.5703125" style="49" bestFit="1" customWidth="1"/>
    <col min="3608" max="3840" width="9.140625" style="49"/>
    <col min="3841" max="3841" width="4.140625" style="49" customWidth="1"/>
    <col min="3842" max="3850" width="13.5703125" style="49" customWidth="1"/>
    <col min="3851" max="3851" width="4.140625" style="49" customWidth="1"/>
    <col min="3852" max="3852" width="46.7109375" style="49" customWidth="1"/>
    <col min="3853" max="3853" width="25.85546875" style="49" customWidth="1"/>
    <col min="3854" max="3854" width="23.7109375" style="49" customWidth="1"/>
    <col min="3855" max="3855" width="11.85546875" style="49" customWidth="1"/>
    <col min="3856" max="3856" width="39.140625" style="49" customWidth="1"/>
    <col min="3857" max="3857" width="16.140625" style="49" customWidth="1"/>
    <col min="3858" max="3858" width="13.85546875" style="49" customWidth="1"/>
    <col min="3859" max="3859" width="14.7109375" style="49" customWidth="1"/>
    <col min="3860" max="3860" width="9.140625" style="49"/>
    <col min="3861" max="3861" width="11.5703125" style="49" bestFit="1" customWidth="1"/>
    <col min="3862" max="3862" width="9.140625" style="49"/>
    <col min="3863" max="3863" width="11.5703125" style="49" bestFit="1" customWidth="1"/>
    <col min="3864" max="4096" width="9.140625" style="49"/>
    <col min="4097" max="4097" width="4.140625" style="49" customWidth="1"/>
    <col min="4098" max="4106" width="13.5703125" style="49" customWidth="1"/>
    <col min="4107" max="4107" width="4.140625" style="49" customWidth="1"/>
    <col min="4108" max="4108" width="46.7109375" style="49" customWidth="1"/>
    <col min="4109" max="4109" width="25.85546875" style="49" customWidth="1"/>
    <col min="4110" max="4110" width="23.7109375" style="49" customWidth="1"/>
    <col min="4111" max="4111" width="11.85546875" style="49" customWidth="1"/>
    <col min="4112" max="4112" width="39.140625" style="49" customWidth="1"/>
    <col min="4113" max="4113" width="16.140625" style="49" customWidth="1"/>
    <col min="4114" max="4114" width="13.85546875" style="49" customWidth="1"/>
    <col min="4115" max="4115" width="14.7109375" style="49" customWidth="1"/>
    <col min="4116" max="4116" width="9.140625" style="49"/>
    <col min="4117" max="4117" width="11.5703125" style="49" bestFit="1" customWidth="1"/>
    <col min="4118" max="4118" width="9.140625" style="49"/>
    <col min="4119" max="4119" width="11.5703125" style="49" bestFit="1" customWidth="1"/>
    <col min="4120" max="4352" width="9.140625" style="49"/>
    <col min="4353" max="4353" width="4.140625" style="49" customWidth="1"/>
    <col min="4354" max="4362" width="13.5703125" style="49" customWidth="1"/>
    <col min="4363" max="4363" width="4.140625" style="49" customWidth="1"/>
    <col min="4364" max="4364" width="46.7109375" style="49" customWidth="1"/>
    <col min="4365" max="4365" width="25.85546875" style="49" customWidth="1"/>
    <col min="4366" max="4366" width="23.7109375" style="49" customWidth="1"/>
    <col min="4367" max="4367" width="11.85546875" style="49" customWidth="1"/>
    <col min="4368" max="4368" width="39.140625" style="49" customWidth="1"/>
    <col min="4369" max="4369" width="16.140625" style="49" customWidth="1"/>
    <col min="4370" max="4370" width="13.85546875" style="49" customWidth="1"/>
    <col min="4371" max="4371" width="14.7109375" style="49" customWidth="1"/>
    <col min="4372" max="4372" width="9.140625" style="49"/>
    <col min="4373" max="4373" width="11.5703125" style="49" bestFit="1" customWidth="1"/>
    <col min="4374" max="4374" width="9.140625" style="49"/>
    <col min="4375" max="4375" width="11.5703125" style="49" bestFit="1" customWidth="1"/>
    <col min="4376" max="4608" width="9.140625" style="49"/>
    <col min="4609" max="4609" width="4.140625" style="49" customWidth="1"/>
    <col min="4610" max="4618" width="13.5703125" style="49" customWidth="1"/>
    <col min="4619" max="4619" width="4.140625" style="49" customWidth="1"/>
    <col min="4620" max="4620" width="46.7109375" style="49" customWidth="1"/>
    <col min="4621" max="4621" width="25.85546875" style="49" customWidth="1"/>
    <col min="4622" max="4622" width="23.7109375" style="49" customWidth="1"/>
    <col min="4623" max="4623" width="11.85546875" style="49" customWidth="1"/>
    <col min="4624" max="4624" width="39.140625" style="49" customWidth="1"/>
    <col min="4625" max="4625" width="16.140625" style="49" customWidth="1"/>
    <col min="4626" max="4626" width="13.85546875" style="49" customWidth="1"/>
    <col min="4627" max="4627" width="14.7109375" style="49" customWidth="1"/>
    <col min="4628" max="4628" width="9.140625" style="49"/>
    <col min="4629" max="4629" width="11.5703125" style="49" bestFit="1" customWidth="1"/>
    <col min="4630" max="4630" width="9.140625" style="49"/>
    <col min="4631" max="4631" width="11.5703125" style="49" bestFit="1" customWidth="1"/>
    <col min="4632" max="4864" width="9.140625" style="49"/>
    <col min="4865" max="4865" width="4.140625" style="49" customWidth="1"/>
    <col min="4866" max="4874" width="13.5703125" style="49" customWidth="1"/>
    <col min="4875" max="4875" width="4.140625" style="49" customWidth="1"/>
    <col min="4876" max="4876" width="46.7109375" style="49" customWidth="1"/>
    <col min="4877" max="4877" width="25.85546875" style="49" customWidth="1"/>
    <col min="4878" max="4878" width="23.7109375" style="49" customWidth="1"/>
    <col min="4879" max="4879" width="11.85546875" style="49" customWidth="1"/>
    <col min="4880" max="4880" width="39.140625" style="49" customWidth="1"/>
    <col min="4881" max="4881" width="16.140625" style="49" customWidth="1"/>
    <col min="4882" max="4882" width="13.85546875" style="49" customWidth="1"/>
    <col min="4883" max="4883" width="14.7109375" style="49" customWidth="1"/>
    <col min="4884" max="4884" width="9.140625" style="49"/>
    <col min="4885" max="4885" width="11.5703125" style="49" bestFit="1" customWidth="1"/>
    <col min="4886" max="4886" width="9.140625" style="49"/>
    <col min="4887" max="4887" width="11.5703125" style="49" bestFit="1" customWidth="1"/>
    <col min="4888" max="5120" width="9.140625" style="49"/>
    <col min="5121" max="5121" width="4.140625" style="49" customWidth="1"/>
    <col min="5122" max="5130" width="13.5703125" style="49" customWidth="1"/>
    <col min="5131" max="5131" width="4.140625" style="49" customWidth="1"/>
    <col min="5132" max="5132" width="46.7109375" style="49" customWidth="1"/>
    <col min="5133" max="5133" width="25.85546875" style="49" customWidth="1"/>
    <col min="5134" max="5134" width="23.7109375" style="49" customWidth="1"/>
    <col min="5135" max="5135" width="11.85546875" style="49" customWidth="1"/>
    <col min="5136" max="5136" width="39.140625" style="49" customWidth="1"/>
    <col min="5137" max="5137" width="16.140625" style="49" customWidth="1"/>
    <col min="5138" max="5138" width="13.85546875" style="49" customWidth="1"/>
    <col min="5139" max="5139" width="14.7109375" style="49" customWidth="1"/>
    <col min="5140" max="5140" width="9.140625" style="49"/>
    <col min="5141" max="5141" width="11.5703125" style="49" bestFit="1" customWidth="1"/>
    <col min="5142" max="5142" width="9.140625" style="49"/>
    <col min="5143" max="5143" width="11.5703125" style="49" bestFit="1" customWidth="1"/>
    <col min="5144" max="5376" width="9.140625" style="49"/>
    <col min="5377" max="5377" width="4.140625" style="49" customWidth="1"/>
    <col min="5378" max="5386" width="13.5703125" style="49" customWidth="1"/>
    <col min="5387" max="5387" width="4.140625" style="49" customWidth="1"/>
    <col min="5388" max="5388" width="46.7109375" style="49" customWidth="1"/>
    <col min="5389" max="5389" width="25.85546875" style="49" customWidth="1"/>
    <col min="5390" max="5390" width="23.7109375" style="49" customWidth="1"/>
    <col min="5391" max="5391" width="11.85546875" style="49" customWidth="1"/>
    <col min="5392" max="5392" width="39.140625" style="49" customWidth="1"/>
    <col min="5393" max="5393" width="16.140625" style="49" customWidth="1"/>
    <col min="5394" max="5394" width="13.85546875" style="49" customWidth="1"/>
    <col min="5395" max="5395" width="14.7109375" style="49" customWidth="1"/>
    <col min="5396" max="5396" width="9.140625" style="49"/>
    <col min="5397" max="5397" width="11.5703125" style="49" bestFit="1" customWidth="1"/>
    <col min="5398" max="5398" width="9.140625" style="49"/>
    <col min="5399" max="5399" width="11.5703125" style="49" bestFit="1" customWidth="1"/>
    <col min="5400" max="5632" width="9.140625" style="49"/>
    <col min="5633" max="5633" width="4.140625" style="49" customWidth="1"/>
    <col min="5634" max="5642" width="13.5703125" style="49" customWidth="1"/>
    <col min="5643" max="5643" width="4.140625" style="49" customWidth="1"/>
    <col min="5644" max="5644" width="46.7109375" style="49" customWidth="1"/>
    <col min="5645" max="5645" width="25.85546875" style="49" customWidth="1"/>
    <col min="5646" max="5646" width="23.7109375" style="49" customWidth="1"/>
    <col min="5647" max="5647" width="11.85546875" style="49" customWidth="1"/>
    <col min="5648" max="5648" width="39.140625" style="49" customWidth="1"/>
    <col min="5649" max="5649" width="16.140625" style="49" customWidth="1"/>
    <col min="5650" max="5650" width="13.85546875" style="49" customWidth="1"/>
    <col min="5651" max="5651" width="14.7109375" style="49" customWidth="1"/>
    <col min="5652" max="5652" width="9.140625" style="49"/>
    <col min="5653" max="5653" width="11.5703125" style="49" bestFit="1" customWidth="1"/>
    <col min="5654" max="5654" width="9.140625" style="49"/>
    <col min="5655" max="5655" width="11.5703125" style="49" bestFit="1" customWidth="1"/>
    <col min="5656" max="5888" width="9.140625" style="49"/>
    <col min="5889" max="5889" width="4.140625" style="49" customWidth="1"/>
    <col min="5890" max="5898" width="13.5703125" style="49" customWidth="1"/>
    <col min="5899" max="5899" width="4.140625" style="49" customWidth="1"/>
    <col min="5900" max="5900" width="46.7109375" style="49" customWidth="1"/>
    <col min="5901" max="5901" width="25.85546875" style="49" customWidth="1"/>
    <col min="5902" max="5902" width="23.7109375" style="49" customWidth="1"/>
    <col min="5903" max="5903" width="11.85546875" style="49" customWidth="1"/>
    <col min="5904" max="5904" width="39.140625" style="49" customWidth="1"/>
    <col min="5905" max="5905" width="16.140625" style="49" customWidth="1"/>
    <col min="5906" max="5906" width="13.85546875" style="49" customWidth="1"/>
    <col min="5907" max="5907" width="14.7109375" style="49" customWidth="1"/>
    <col min="5908" max="5908" width="9.140625" style="49"/>
    <col min="5909" max="5909" width="11.5703125" style="49" bestFit="1" customWidth="1"/>
    <col min="5910" max="5910" width="9.140625" style="49"/>
    <col min="5911" max="5911" width="11.5703125" style="49" bestFit="1" customWidth="1"/>
    <col min="5912" max="6144" width="9.140625" style="49"/>
    <col min="6145" max="6145" width="4.140625" style="49" customWidth="1"/>
    <col min="6146" max="6154" width="13.5703125" style="49" customWidth="1"/>
    <col min="6155" max="6155" width="4.140625" style="49" customWidth="1"/>
    <col min="6156" max="6156" width="46.7109375" style="49" customWidth="1"/>
    <col min="6157" max="6157" width="25.85546875" style="49" customWidth="1"/>
    <col min="6158" max="6158" width="23.7109375" style="49" customWidth="1"/>
    <col min="6159" max="6159" width="11.85546875" style="49" customWidth="1"/>
    <col min="6160" max="6160" width="39.140625" style="49" customWidth="1"/>
    <col min="6161" max="6161" width="16.140625" style="49" customWidth="1"/>
    <col min="6162" max="6162" width="13.85546875" style="49" customWidth="1"/>
    <col min="6163" max="6163" width="14.7109375" style="49" customWidth="1"/>
    <col min="6164" max="6164" width="9.140625" style="49"/>
    <col min="6165" max="6165" width="11.5703125" style="49" bestFit="1" customWidth="1"/>
    <col min="6166" max="6166" width="9.140625" style="49"/>
    <col min="6167" max="6167" width="11.5703125" style="49" bestFit="1" customWidth="1"/>
    <col min="6168" max="6400" width="9.140625" style="49"/>
    <col min="6401" max="6401" width="4.140625" style="49" customWidth="1"/>
    <col min="6402" max="6410" width="13.5703125" style="49" customWidth="1"/>
    <col min="6411" max="6411" width="4.140625" style="49" customWidth="1"/>
    <col min="6412" max="6412" width="46.7109375" style="49" customWidth="1"/>
    <col min="6413" max="6413" width="25.85546875" style="49" customWidth="1"/>
    <col min="6414" max="6414" width="23.7109375" style="49" customWidth="1"/>
    <col min="6415" max="6415" width="11.85546875" style="49" customWidth="1"/>
    <col min="6416" max="6416" width="39.140625" style="49" customWidth="1"/>
    <col min="6417" max="6417" width="16.140625" style="49" customWidth="1"/>
    <col min="6418" max="6418" width="13.85546875" style="49" customWidth="1"/>
    <col min="6419" max="6419" width="14.7109375" style="49" customWidth="1"/>
    <col min="6420" max="6420" width="9.140625" style="49"/>
    <col min="6421" max="6421" width="11.5703125" style="49" bestFit="1" customWidth="1"/>
    <col min="6422" max="6422" width="9.140625" style="49"/>
    <col min="6423" max="6423" width="11.5703125" style="49" bestFit="1" customWidth="1"/>
    <col min="6424" max="6656" width="9.140625" style="49"/>
    <col min="6657" max="6657" width="4.140625" style="49" customWidth="1"/>
    <col min="6658" max="6666" width="13.5703125" style="49" customWidth="1"/>
    <col min="6667" max="6667" width="4.140625" style="49" customWidth="1"/>
    <col min="6668" max="6668" width="46.7109375" style="49" customWidth="1"/>
    <col min="6669" max="6669" width="25.85546875" style="49" customWidth="1"/>
    <col min="6670" max="6670" width="23.7109375" style="49" customWidth="1"/>
    <col min="6671" max="6671" width="11.85546875" style="49" customWidth="1"/>
    <col min="6672" max="6672" width="39.140625" style="49" customWidth="1"/>
    <col min="6673" max="6673" width="16.140625" style="49" customWidth="1"/>
    <col min="6674" max="6674" width="13.85546875" style="49" customWidth="1"/>
    <col min="6675" max="6675" width="14.7109375" style="49" customWidth="1"/>
    <col min="6676" max="6676" width="9.140625" style="49"/>
    <col min="6677" max="6677" width="11.5703125" style="49" bestFit="1" customWidth="1"/>
    <col min="6678" max="6678" width="9.140625" style="49"/>
    <col min="6679" max="6679" width="11.5703125" style="49" bestFit="1" customWidth="1"/>
    <col min="6680" max="6912" width="9.140625" style="49"/>
    <col min="6913" max="6913" width="4.140625" style="49" customWidth="1"/>
    <col min="6914" max="6922" width="13.5703125" style="49" customWidth="1"/>
    <col min="6923" max="6923" width="4.140625" style="49" customWidth="1"/>
    <col min="6924" max="6924" width="46.7109375" style="49" customWidth="1"/>
    <col min="6925" max="6925" width="25.85546875" style="49" customWidth="1"/>
    <col min="6926" max="6926" width="23.7109375" style="49" customWidth="1"/>
    <col min="6927" max="6927" width="11.85546875" style="49" customWidth="1"/>
    <col min="6928" max="6928" width="39.140625" style="49" customWidth="1"/>
    <col min="6929" max="6929" width="16.140625" style="49" customWidth="1"/>
    <col min="6930" max="6930" width="13.85546875" style="49" customWidth="1"/>
    <col min="6931" max="6931" width="14.7109375" style="49" customWidth="1"/>
    <col min="6932" max="6932" width="9.140625" style="49"/>
    <col min="6933" max="6933" width="11.5703125" style="49" bestFit="1" customWidth="1"/>
    <col min="6934" max="6934" width="9.140625" style="49"/>
    <col min="6935" max="6935" width="11.5703125" style="49" bestFit="1" customWidth="1"/>
    <col min="6936" max="7168" width="9.140625" style="49"/>
    <col min="7169" max="7169" width="4.140625" style="49" customWidth="1"/>
    <col min="7170" max="7178" width="13.5703125" style="49" customWidth="1"/>
    <col min="7179" max="7179" width="4.140625" style="49" customWidth="1"/>
    <col min="7180" max="7180" width="46.7109375" style="49" customWidth="1"/>
    <col min="7181" max="7181" width="25.85546875" style="49" customWidth="1"/>
    <col min="7182" max="7182" width="23.7109375" style="49" customWidth="1"/>
    <col min="7183" max="7183" width="11.85546875" style="49" customWidth="1"/>
    <col min="7184" max="7184" width="39.140625" style="49" customWidth="1"/>
    <col min="7185" max="7185" width="16.140625" style="49" customWidth="1"/>
    <col min="7186" max="7186" width="13.85546875" style="49" customWidth="1"/>
    <col min="7187" max="7187" width="14.7109375" style="49" customWidth="1"/>
    <col min="7188" max="7188" width="9.140625" style="49"/>
    <col min="7189" max="7189" width="11.5703125" style="49" bestFit="1" customWidth="1"/>
    <col min="7190" max="7190" width="9.140625" style="49"/>
    <col min="7191" max="7191" width="11.5703125" style="49" bestFit="1" customWidth="1"/>
    <col min="7192" max="7424" width="9.140625" style="49"/>
    <col min="7425" max="7425" width="4.140625" style="49" customWidth="1"/>
    <col min="7426" max="7434" width="13.5703125" style="49" customWidth="1"/>
    <col min="7435" max="7435" width="4.140625" style="49" customWidth="1"/>
    <col min="7436" max="7436" width="46.7109375" style="49" customWidth="1"/>
    <col min="7437" max="7437" width="25.85546875" style="49" customWidth="1"/>
    <col min="7438" max="7438" width="23.7109375" style="49" customWidth="1"/>
    <col min="7439" max="7439" width="11.85546875" style="49" customWidth="1"/>
    <col min="7440" max="7440" width="39.140625" style="49" customWidth="1"/>
    <col min="7441" max="7441" width="16.140625" style="49" customWidth="1"/>
    <col min="7442" max="7442" width="13.85546875" style="49" customWidth="1"/>
    <col min="7443" max="7443" width="14.7109375" style="49" customWidth="1"/>
    <col min="7444" max="7444" width="9.140625" style="49"/>
    <col min="7445" max="7445" width="11.5703125" style="49" bestFit="1" customWidth="1"/>
    <col min="7446" max="7446" width="9.140625" style="49"/>
    <col min="7447" max="7447" width="11.5703125" style="49" bestFit="1" customWidth="1"/>
    <col min="7448" max="7680" width="9.140625" style="49"/>
    <col min="7681" max="7681" width="4.140625" style="49" customWidth="1"/>
    <col min="7682" max="7690" width="13.5703125" style="49" customWidth="1"/>
    <col min="7691" max="7691" width="4.140625" style="49" customWidth="1"/>
    <col min="7692" max="7692" width="46.7109375" style="49" customWidth="1"/>
    <col min="7693" max="7693" width="25.85546875" style="49" customWidth="1"/>
    <col min="7694" max="7694" width="23.7109375" style="49" customWidth="1"/>
    <col min="7695" max="7695" width="11.85546875" style="49" customWidth="1"/>
    <col min="7696" max="7696" width="39.140625" style="49" customWidth="1"/>
    <col min="7697" max="7697" width="16.140625" style="49" customWidth="1"/>
    <col min="7698" max="7698" width="13.85546875" style="49" customWidth="1"/>
    <col min="7699" max="7699" width="14.7109375" style="49" customWidth="1"/>
    <col min="7700" max="7700" width="9.140625" style="49"/>
    <col min="7701" max="7701" width="11.5703125" style="49" bestFit="1" customWidth="1"/>
    <col min="7702" max="7702" width="9.140625" style="49"/>
    <col min="7703" max="7703" width="11.5703125" style="49" bestFit="1" customWidth="1"/>
    <col min="7704" max="7936" width="9.140625" style="49"/>
    <col min="7937" max="7937" width="4.140625" style="49" customWidth="1"/>
    <col min="7938" max="7946" width="13.5703125" style="49" customWidth="1"/>
    <col min="7947" max="7947" width="4.140625" style="49" customWidth="1"/>
    <col min="7948" max="7948" width="46.7109375" style="49" customWidth="1"/>
    <col min="7949" max="7949" width="25.85546875" style="49" customWidth="1"/>
    <col min="7950" max="7950" width="23.7109375" style="49" customWidth="1"/>
    <col min="7951" max="7951" width="11.85546875" style="49" customWidth="1"/>
    <col min="7952" max="7952" width="39.140625" style="49" customWidth="1"/>
    <col min="7953" max="7953" width="16.140625" style="49" customWidth="1"/>
    <col min="7954" max="7954" width="13.85546875" style="49" customWidth="1"/>
    <col min="7955" max="7955" width="14.7109375" style="49" customWidth="1"/>
    <col min="7956" max="7956" width="9.140625" style="49"/>
    <col min="7957" max="7957" width="11.5703125" style="49" bestFit="1" customWidth="1"/>
    <col min="7958" max="7958" width="9.140625" style="49"/>
    <col min="7959" max="7959" width="11.5703125" style="49" bestFit="1" customWidth="1"/>
    <col min="7960" max="8192" width="9.140625" style="49"/>
    <col min="8193" max="8193" width="4.140625" style="49" customWidth="1"/>
    <col min="8194" max="8202" width="13.5703125" style="49" customWidth="1"/>
    <col min="8203" max="8203" width="4.140625" style="49" customWidth="1"/>
    <col min="8204" max="8204" width="46.7109375" style="49" customWidth="1"/>
    <col min="8205" max="8205" width="25.85546875" style="49" customWidth="1"/>
    <col min="8206" max="8206" width="23.7109375" style="49" customWidth="1"/>
    <col min="8207" max="8207" width="11.85546875" style="49" customWidth="1"/>
    <col min="8208" max="8208" width="39.140625" style="49" customWidth="1"/>
    <col min="8209" max="8209" width="16.140625" style="49" customWidth="1"/>
    <col min="8210" max="8210" width="13.85546875" style="49" customWidth="1"/>
    <col min="8211" max="8211" width="14.7109375" style="49" customWidth="1"/>
    <col min="8212" max="8212" width="9.140625" style="49"/>
    <col min="8213" max="8213" width="11.5703125" style="49" bestFit="1" customWidth="1"/>
    <col min="8214" max="8214" width="9.140625" style="49"/>
    <col min="8215" max="8215" width="11.5703125" style="49" bestFit="1" customWidth="1"/>
    <col min="8216" max="8448" width="9.140625" style="49"/>
    <col min="8449" max="8449" width="4.140625" style="49" customWidth="1"/>
    <col min="8450" max="8458" width="13.5703125" style="49" customWidth="1"/>
    <col min="8459" max="8459" width="4.140625" style="49" customWidth="1"/>
    <col min="8460" max="8460" width="46.7109375" style="49" customWidth="1"/>
    <col min="8461" max="8461" width="25.85546875" style="49" customWidth="1"/>
    <col min="8462" max="8462" width="23.7109375" style="49" customWidth="1"/>
    <col min="8463" max="8463" width="11.85546875" style="49" customWidth="1"/>
    <col min="8464" max="8464" width="39.140625" style="49" customWidth="1"/>
    <col min="8465" max="8465" width="16.140625" style="49" customWidth="1"/>
    <col min="8466" max="8466" width="13.85546875" style="49" customWidth="1"/>
    <col min="8467" max="8467" width="14.7109375" style="49" customWidth="1"/>
    <col min="8468" max="8468" width="9.140625" style="49"/>
    <col min="8469" max="8469" width="11.5703125" style="49" bestFit="1" customWidth="1"/>
    <col min="8470" max="8470" width="9.140625" style="49"/>
    <col min="8471" max="8471" width="11.5703125" style="49" bestFit="1" customWidth="1"/>
    <col min="8472" max="8704" width="9.140625" style="49"/>
    <col min="8705" max="8705" width="4.140625" style="49" customWidth="1"/>
    <col min="8706" max="8714" width="13.5703125" style="49" customWidth="1"/>
    <col min="8715" max="8715" width="4.140625" style="49" customWidth="1"/>
    <col min="8716" max="8716" width="46.7109375" style="49" customWidth="1"/>
    <col min="8717" max="8717" width="25.85546875" style="49" customWidth="1"/>
    <col min="8718" max="8718" width="23.7109375" style="49" customWidth="1"/>
    <col min="8719" max="8719" width="11.85546875" style="49" customWidth="1"/>
    <col min="8720" max="8720" width="39.140625" style="49" customWidth="1"/>
    <col min="8721" max="8721" width="16.140625" style="49" customWidth="1"/>
    <col min="8722" max="8722" width="13.85546875" style="49" customWidth="1"/>
    <col min="8723" max="8723" width="14.7109375" style="49" customWidth="1"/>
    <col min="8724" max="8724" width="9.140625" style="49"/>
    <col min="8725" max="8725" width="11.5703125" style="49" bestFit="1" customWidth="1"/>
    <col min="8726" max="8726" width="9.140625" style="49"/>
    <col min="8727" max="8727" width="11.5703125" style="49" bestFit="1" customWidth="1"/>
    <col min="8728" max="8960" width="9.140625" style="49"/>
    <col min="8961" max="8961" width="4.140625" style="49" customWidth="1"/>
    <col min="8962" max="8970" width="13.5703125" style="49" customWidth="1"/>
    <col min="8971" max="8971" width="4.140625" style="49" customWidth="1"/>
    <col min="8972" max="8972" width="46.7109375" style="49" customWidth="1"/>
    <col min="8973" max="8973" width="25.85546875" style="49" customWidth="1"/>
    <col min="8974" max="8974" width="23.7109375" style="49" customWidth="1"/>
    <col min="8975" max="8975" width="11.85546875" style="49" customWidth="1"/>
    <col min="8976" max="8976" width="39.140625" style="49" customWidth="1"/>
    <col min="8977" max="8977" width="16.140625" style="49" customWidth="1"/>
    <col min="8978" max="8978" width="13.85546875" style="49" customWidth="1"/>
    <col min="8979" max="8979" width="14.7109375" style="49" customWidth="1"/>
    <col min="8980" max="8980" width="9.140625" style="49"/>
    <col min="8981" max="8981" width="11.5703125" style="49" bestFit="1" customWidth="1"/>
    <col min="8982" max="8982" width="9.140625" style="49"/>
    <col min="8983" max="8983" width="11.5703125" style="49" bestFit="1" customWidth="1"/>
    <col min="8984" max="9216" width="9.140625" style="49"/>
    <col min="9217" max="9217" width="4.140625" style="49" customWidth="1"/>
    <col min="9218" max="9226" width="13.5703125" style="49" customWidth="1"/>
    <col min="9227" max="9227" width="4.140625" style="49" customWidth="1"/>
    <col min="9228" max="9228" width="46.7109375" style="49" customWidth="1"/>
    <col min="9229" max="9229" width="25.85546875" style="49" customWidth="1"/>
    <col min="9230" max="9230" width="23.7109375" style="49" customWidth="1"/>
    <col min="9231" max="9231" width="11.85546875" style="49" customWidth="1"/>
    <col min="9232" max="9232" width="39.140625" style="49" customWidth="1"/>
    <col min="9233" max="9233" width="16.140625" style="49" customWidth="1"/>
    <col min="9234" max="9234" width="13.85546875" style="49" customWidth="1"/>
    <col min="9235" max="9235" width="14.7109375" style="49" customWidth="1"/>
    <col min="9236" max="9236" width="9.140625" style="49"/>
    <col min="9237" max="9237" width="11.5703125" style="49" bestFit="1" customWidth="1"/>
    <col min="9238" max="9238" width="9.140625" style="49"/>
    <col min="9239" max="9239" width="11.5703125" style="49" bestFit="1" customWidth="1"/>
    <col min="9240" max="9472" width="9.140625" style="49"/>
    <col min="9473" max="9473" width="4.140625" style="49" customWidth="1"/>
    <col min="9474" max="9482" width="13.5703125" style="49" customWidth="1"/>
    <col min="9483" max="9483" width="4.140625" style="49" customWidth="1"/>
    <col min="9484" max="9484" width="46.7109375" style="49" customWidth="1"/>
    <col min="9485" max="9485" width="25.85546875" style="49" customWidth="1"/>
    <col min="9486" max="9486" width="23.7109375" style="49" customWidth="1"/>
    <col min="9487" max="9487" width="11.85546875" style="49" customWidth="1"/>
    <col min="9488" max="9488" width="39.140625" style="49" customWidth="1"/>
    <col min="9489" max="9489" width="16.140625" style="49" customWidth="1"/>
    <col min="9490" max="9490" width="13.85546875" style="49" customWidth="1"/>
    <col min="9491" max="9491" width="14.7109375" style="49" customWidth="1"/>
    <col min="9492" max="9492" width="9.140625" style="49"/>
    <col min="9493" max="9493" width="11.5703125" style="49" bestFit="1" customWidth="1"/>
    <col min="9494" max="9494" width="9.140625" style="49"/>
    <col min="9495" max="9495" width="11.5703125" style="49" bestFit="1" customWidth="1"/>
    <col min="9496" max="9728" width="9.140625" style="49"/>
    <col min="9729" max="9729" width="4.140625" style="49" customWidth="1"/>
    <col min="9730" max="9738" width="13.5703125" style="49" customWidth="1"/>
    <col min="9739" max="9739" width="4.140625" style="49" customWidth="1"/>
    <col min="9740" max="9740" width="46.7109375" style="49" customWidth="1"/>
    <col min="9741" max="9741" width="25.85546875" style="49" customWidth="1"/>
    <col min="9742" max="9742" width="23.7109375" style="49" customWidth="1"/>
    <col min="9743" max="9743" width="11.85546875" style="49" customWidth="1"/>
    <col min="9744" max="9744" width="39.140625" style="49" customWidth="1"/>
    <col min="9745" max="9745" width="16.140625" style="49" customWidth="1"/>
    <col min="9746" max="9746" width="13.85546875" style="49" customWidth="1"/>
    <col min="9747" max="9747" width="14.7109375" style="49" customWidth="1"/>
    <col min="9748" max="9748" width="9.140625" style="49"/>
    <col min="9749" max="9749" width="11.5703125" style="49" bestFit="1" customWidth="1"/>
    <col min="9750" max="9750" width="9.140625" style="49"/>
    <col min="9751" max="9751" width="11.5703125" style="49" bestFit="1" customWidth="1"/>
    <col min="9752" max="9984" width="9.140625" style="49"/>
    <col min="9985" max="9985" width="4.140625" style="49" customWidth="1"/>
    <col min="9986" max="9994" width="13.5703125" style="49" customWidth="1"/>
    <col min="9995" max="9995" width="4.140625" style="49" customWidth="1"/>
    <col min="9996" max="9996" width="46.7109375" style="49" customWidth="1"/>
    <col min="9997" max="9997" width="25.85546875" style="49" customWidth="1"/>
    <col min="9998" max="9998" width="23.7109375" style="49" customWidth="1"/>
    <col min="9999" max="9999" width="11.85546875" style="49" customWidth="1"/>
    <col min="10000" max="10000" width="39.140625" style="49" customWidth="1"/>
    <col min="10001" max="10001" width="16.140625" style="49" customWidth="1"/>
    <col min="10002" max="10002" width="13.85546875" style="49" customWidth="1"/>
    <col min="10003" max="10003" width="14.7109375" style="49" customWidth="1"/>
    <col min="10004" max="10004" width="9.140625" style="49"/>
    <col min="10005" max="10005" width="11.5703125" style="49" bestFit="1" customWidth="1"/>
    <col min="10006" max="10006" width="9.140625" style="49"/>
    <col min="10007" max="10007" width="11.5703125" style="49" bestFit="1" customWidth="1"/>
    <col min="10008" max="10240" width="9.140625" style="49"/>
    <col min="10241" max="10241" width="4.140625" style="49" customWidth="1"/>
    <col min="10242" max="10250" width="13.5703125" style="49" customWidth="1"/>
    <col min="10251" max="10251" width="4.140625" style="49" customWidth="1"/>
    <col min="10252" max="10252" width="46.7109375" style="49" customWidth="1"/>
    <col min="10253" max="10253" width="25.85546875" style="49" customWidth="1"/>
    <col min="10254" max="10254" width="23.7109375" style="49" customWidth="1"/>
    <col min="10255" max="10255" width="11.85546875" style="49" customWidth="1"/>
    <col min="10256" max="10256" width="39.140625" style="49" customWidth="1"/>
    <col min="10257" max="10257" width="16.140625" style="49" customWidth="1"/>
    <col min="10258" max="10258" width="13.85546875" style="49" customWidth="1"/>
    <col min="10259" max="10259" width="14.7109375" style="49" customWidth="1"/>
    <col min="10260" max="10260" width="9.140625" style="49"/>
    <col min="10261" max="10261" width="11.5703125" style="49" bestFit="1" customWidth="1"/>
    <col min="10262" max="10262" width="9.140625" style="49"/>
    <col min="10263" max="10263" width="11.5703125" style="49" bestFit="1" customWidth="1"/>
    <col min="10264" max="10496" width="9.140625" style="49"/>
    <col min="10497" max="10497" width="4.140625" style="49" customWidth="1"/>
    <col min="10498" max="10506" width="13.5703125" style="49" customWidth="1"/>
    <col min="10507" max="10507" width="4.140625" style="49" customWidth="1"/>
    <col min="10508" max="10508" width="46.7109375" style="49" customWidth="1"/>
    <col min="10509" max="10509" width="25.85546875" style="49" customWidth="1"/>
    <col min="10510" max="10510" width="23.7109375" style="49" customWidth="1"/>
    <col min="10511" max="10511" width="11.85546875" style="49" customWidth="1"/>
    <col min="10512" max="10512" width="39.140625" style="49" customWidth="1"/>
    <col min="10513" max="10513" width="16.140625" style="49" customWidth="1"/>
    <col min="10514" max="10514" width="13.85546875" style="49" customWidth="1"/>
    <col min="10515" max="10515" width="14.7109375" style="49" customWidth="1"/>
    <col min="10516" max="10516" width="9.140625" style="49"/>
    <col min="10517" max="10517" width="11.5703125" style="49" bestFit="1" customWidth="1"/>
    <col min="10518" max="10518" width="9.140625" style="49"/>
    <col min="10519" max="10519" width="11.5703125" style="49" bestFit="1" customWidth="1"/>
    <col min="10520" max="10752" width="9.140625" style="49"/>
    <col min="10753" max="10753" width="4.140625" style="49" customWidth="1"/>
    <col min="10754" max="10762" width="13.5703125" style="49" customWidth="1"/>
    <col min="10763" max="10763" width="4.140625" style="49" customWidth="1"/>
    <col min="10764" max="10764" width="46.7109375" style="49" customWidth="1"/>
    <col min="10765" max="10765" width="25.85546875" style="49" customWidth="1"/>
    <col min="10766" max="10766" width="23.7109375" style="49" customWidth="1"/>
    <col min="10767" max="10767" width="11.85546875" style="49" customWidth="1"/>
    <col min="10768" max="10768" width="39.140625" style="49" customWidth="1"/>
    <col min="10769" max="10769" width="16.140625" style="49" customWidth="1"/>
    <col min="10770" max="10770" width="13.85546875" style="49" customWidth="1"/>
    <col min="10771" max="10771" width="14.7109375" style="49" customWidth="1"/>
    <col min="10772" max="10772" width="9.140625" style="49"/>
    <col min="10773" max="10773" width="11.5703125" style="49" bestFit="1" customWidth="1"/>
    <col min="10774" max="10774" width="9.140625" style="49"/>
    <col min="10775" max="10775" width="11.5703125" style="49" bestFit="1" customWidth="1"/>
    <col min="10776" max="11008" width="9.140625" style="49"/>
    <col min="11009" max="11009" width="4.140625" style="49" customWidth="1"/>
    <col min="11010" max="11018" width="13.5703125" style="49" customWidth="1"/>
    <col min="11019" max="11019" width="4.140625" style="49" customWidth="1"/>
    <col min="11020" max="11020" width="46.7109375" style="49" customWidth="1"/>
    <col min="11021" max="11021" width="25.85546875" style="49" customWidth="1"/>
    <col min="11022" max="11022" width="23.7109375" style="49" customWidth="1"/>
    <col min="11023" max="11023" width="11.85546875" style="49" customWidth="1"/>
    <col min="11024" max="11024" width="39.140625" style="49" customWidth="1"/>
    <col min="11025" max="11025" width="16.140625" style="49" customWidth="1"/>
    <col min="11026" max="11026" width="13.85546875" style="49" customWidth="1"/>
    <col min="11027" max="11027" width="14.7109375" style="49" customWidth="1"/>
    <col min="11028" max="11028" width="9.140625" style="49"/>
    <col min="11029" max="11029" width="11.5703125" style="49" bestFit="1" customWidth="1"/>
    <col min="11030" max="11030" width="9.140625" style="49"/>
    <col min="11031" max="11031" width="11.5703125" style="49" bestFit="1" customWidth="1"/>
    <col min="11032" max="11264" width="9.140625" style="49"/>
    <col min="11265" max="11265" width="4.140625" style="49" customWidth="1"/>
    <col min="11266" max="11274" width="13.5703125" style="49" customWidth="1"/>
    <col min="11275" max="11275" width="4.140625" style="49" customWidth="1"/>
    <col min="11276" max="11276" width="46.7109375" style="49" customWidth="1"/>
    <col min="11277" max="11277" width="25.85546875" style="49" customWidth="1"/>
    <col min="11278" max="11278" width="23.7109375" style="49" customWidth="1"/>
    <col min="11279" max="11279" width="11.85546875" style="49" customWidth="1"/>
    <col min="11280" max="11280" width="39.140625" style="49" customWidth="1"/>
    <col min="11281" max="11281" width="16.140625" style="49" customWidth="1"/>
    <col min="11282" max="11282" width="13.85546875" style="49" customWidth="1"/>
    <col min="11283" max="11283" width="14.7109375" style="49" customWidth="1"/>
    <col min="11284" max="11284" width="9.140625" style="49"/>
    <col min="11285" max="11285" width="11.5703125" style="49" bestFit="1" customWidth="1"/>
    <col min="11286" max="11286" width="9.140625" style="49"/>
    <col min="11287" max="11287" width="11.5703125" style="49" bestFit="1" customWidth="1"/>
    <col min="11288" max="11520" width="9.140625" style="49"/>
    <col min="11521" max="11521" width="4.140625" style="49" customWidth="1"/>
    <col min="11522" max="11530" width="13.5703125" style="49" customWidth="1"/>
    <col min="11531" max="11531" width="4.140625" style="49" customWidth="1"/>
    <col min="11532" max="11532" width="46.7109375" style="49" customWidth="1"/>
    <col min="11533" max="11533" width="25.85546875" style="49" customWidth="1"/>
    <col min="11534" max="11534" width="23.7109375" style="49" customWidth="1"/>
    <col min="11535" max="11535" width="11.85546875" style="49" customWidth="1"/>
    <col min="11536" max="11536" width="39.140625" style="49" customWidth="1"/>
    <col min="11537" max="11537" width="16.140625" style="49" customWidth="1"/>
    <col min="11538" max="11538" width="13.85546875" style="49" customWidth="1"/>
    <col min="11539" max="11539" width="14.7109375" style="49" customWidth="1"/>
    <col min="11540" max="11540" width="9.140625" style="49"/>
    <col min="11541" max="11541" width="11.5703125" style="49" bestFit="1" customWidth="1"/>
    <col min="11542" max="11542" width="9.140625" style="49"/>
    <col min="11543" max="11543" width="11.5703125" style="49" bestFit="1" customWidth="1"/>
    <col min="11544" max="11776" width="9.140625" style="49"/>
    <col min="11777" max="11777" width="4.140625" style="49" customWidth="1"/>
    <col min="11778" max="11786" width="13.5703125" style="49" customWidth="1"/>
    <col min="11787" max="11787" width="4.140625" style="49" customWidth="1"/>
    <col min="11788" max="11788" width="46.7109375" style="49" customWidth="1"/>
    <col min="11789" max="11789" width="25.85546875" style="49" customWidth="1"/>
    <col min="11790" max="11790" width="23.7109375" style="49" customWidth="1"/>
    <col min="11791" max="11791" width="11.85546875" style="49" customWidth="1"/>
    <col min="11792" max="11792" width="39.140625" style="49" customWidth="1"/>
    <col min="11793" max="11793" width="16.140625" style="49" customWidth="1"/>
    <col min="11794" max="11794" width="13.85546875" style="49" customWidth="1"/>
    <col min="11795" max="11795" width="14.7109375" style="49" customWidth="1"/>
    <col min="11796" max="11796" width="9.140625" style="49"/>
    <col min="11797" max="11797" width="11.5703125" style="49" bestFit="1" customWidth="1"/>
    <col min="11798" max="11798" width="9.140625" style="49"/>
    <col min="11799" max="11799" width="11.5703125" style="49" bestFit="1" customWidth="1"/>
    <col min="11800" max="12032" width="9.140625" style="49"/>
    <col min="12033" max="12033" width="4.140625" style="49" customWidth="1"/>
    <col min="12034" max="12042" width="13.5703125" style="49" customWidth="1"/>
    <col min="12043" max="12043" width="4.140625" style="49" customWidth="1"/>
    <col min="12044" max="12044" width="46.7109375" style="49" customWidth="1"/>
    <col min="12045" max="12045" width="25.85546875" style="49" customWidth="1"/>
    <col min="12046" max="12046" width="23.7109375" style="49" customWidth="1"/>
    <col min="12047" max="12047" width="11.85546875" style="49" customWidth="1"/>
    <col min="12048" max="12048" width="39.140625" style="49" customWidth="1"/>
    <col min="12049" max="12049" width="16.140625" style="49" customWidth="1"/>
    <col min="12050" max="12050" width="13.85546875" style="49" customWidth="1"/>
    <col min="12051" max="12051" width="14.7109375" style="49" customWidth="1"/>
    <col min="12052" max="12052" width="9.140625" style="49"/>
    <col min="12053" max="12053" width="11.5703125" style="49" bestFit="1" customWidth="1"/>
    <col min="12054" max="12054" width="9.140625" style="49"/>
    <col min="12055" max="12055" width="11.5703125" style="49" bestFit="1" customWidth="1"/>
    <col min="12056" max="12288" width="9.140625" style="49"/>
    <col min="12289" max="12289" width="4.140625" style="49" customWidth="1"/>
    <col min="12290" max="12298" width="13.5703125" style="49" customWidth="1"/>
    <col min="12299" max="12299" width="4.140625" style="49" customWidth="1"/>
    <col min="12300" max="12300" width="46.7109375" style="49" customWidth="1"/>
    <col min="12301" max="12301" width="25.85546875" style="49" customWidth="1"/>
    <col min="12302" max="12302" width="23.7109375" style="49" customWidth="1"/>
    <col min="12303" max="12303" width="11.85546875" style="49" customWidth="1"/>
    <col min="12304" max="12304" width="39.140625" style="49" customWidth="1"/>
    <col min="12305" max="12305" width="16.140625" style="49" customWidth="1"/>
    <col min="12306" max="12306" width="13.85546875" style="49" customWidth="1"/>
    <col min="12307" max="12307" width="14.7109375" style="49" customWidth="1"/>
    <col min="12308" max="12308" width="9.140625" style="49"/>
    <col min="12309" max="12309" width="11.5703125" style="49" bestFit="1" customWidth="1"/>
    <col min="12310" max="12310" width="9.140625" style="49"/>
    <col min="12311" max="12311" width="11.5703125" style="49" bestFit="1" customWidth="1"/>
    <col min="12312" max="12544" width="9.140625" style="49"/>
    <col min="12545" max="12545" width="4.140625" style="49" customWidth="1"/>
    <col min="12546" max="12554" width="13.5703125" style="49" customWidth="1"/>
    <col min="12555" max="12555" width="4.140625" style="49" customWidth="1"/>
    <col min="12556" max="12556" width="46.7109375" style="49" customWidth="1"/>
    <col min="12557" max="12557" width="25.85546875" style="49" customWidth="1"/>
    <col min="12558" max="12558" width="23.7109375" style="49" customWidth="1"/>
    <col min="12559" max="12559" width="11.85546875" style="49" customWidth="1"/>
    <col min="12560" max="12560" width="39.140625" style="49" customWidth="1"/>
    <col min="12561" max="12561" width="16.140625" style="49" customWidth="1"/>
    <col min="12562" max="12562" width="13.85546875" style="49" customWidth="1"/>
    <col min="12563" max="12563" width="14.7109375" style="49" customWidth="1"/>
    <col min="12564" max="12564" width="9.140625" style="49"/>
    <col min="12565" max="12565" width="11.5703125" style="49" bestFit="1" customWidth="1"/>
    <col min="12566" max="12566" width="9.140625" style="49"/>
    <col min="12567" max="12567" width="11.5703125" style="49" bestFit="1" customWidth="1"/>
    <col min="12568" max="12800" width="9.140625" style="49"/>
    <col min="12801" max="12801" width="4.140625" style="49" customWidth="1"/>
    <col min="12802" max="12810" width="13.5703125" style="49" customWidth="1"/>
    <col min="12811" max="12811" width="4.140625" style="49" customWidth="1"/>
    <col min="12812" max="12812" width="46.7109375" style="49" customWidth="1"/>
    <col min="12813" max="12813" width="25.85546875" style="49" customWidth="1"/>
    <col min="12814" max="12814" width="23.7109375" style="49" customWidth="1"/>
    <col min="12815" max="12815" width="11.85546875" style="49" customWidth="1"/>
    <col min="12816" max="12816" width="39.140625" style="49" customWidth="1"/>
    <col min="12817" max="12817" width="16.140625" style="49" customWidth="1"/>
    <col min="12818" max="12818" width="13.85546875" style="49" customWidth="1"/>
    <col min="12819" max="12819" width="14.7109375" style="49" customWidth="1"/>
    <col min="12820" max="12820" width="9.140625" style="49"/>
    <col min="12821" max="12821" width="11.5703125" style="49" bestFit="1" customWidth="1"/>
    <col min="12822" max="12822" width="9.140625" style="49"/>
    <col min="12823" max="12823" width="11.5703125" style="49" bestFit="1" customWidth="1"/>
    <col min="12824" max="13056" width="9.140625" style="49"/>
    <col min="13057" max="13057" width="4.140625" style="49" customWidth="1"/>
    <col min="13058" max="13066" width="13.5703125" style="49" customWidth="1"/>
    <col min="13067" max="13067" width="4.140625" style="49" customWidth="1"/>
    <col min="13068" max="13068" width="46.7109375" style="49" customWidth="1"/>
    <col min="13069" max="13069" width="25.85546875" style="49" customWidth="1"/>
    <col min="13070" max="13070" width="23.7109375" style="49" customWidth="1"/>
    <col min="13071" max="13071" width="11.85546875" style="49" customWidth="1"/>
    <col min="13072" max="13072" width="39.140625" style="49" customWidth="1"/>
    <col min="13073" max="13073" width="16.140625" style="49" customWidth="1"/>
    <col min="13074" max="13074" width="13.85546875" style="49" customWidth="1"/>
    <col min="13075" max="13075" width="14.7109375" style="49" customWidth="1"/>
    <col min="13076" max="13076" width="9.140625" style="49"/>
    <col min="13077" max="13077" width="11.5703125" style="49" bestFit="1" customWidth="1"/>
    <col min="13078" max="13078" width="9.140625" style="49"/>
    <col min="13079" max="13079" width="11.5703125" style="49" bestFit="1" customWidth="1"/>
    <col min="13080" max="13312" width="9.140625" style="49"/>
    <col min="13313" max="13313" width="4.140625" style="49" customWidth="1"/>
    <col min="13314" max="13322" width="13.5703125" style="49" customWidth="1"/>
    <col min="13323" max="13323" width="4.140625" style="49" customWidth="1"/>
    <col min="13324" max="13324" width="46.7109375" style="49" customWidth="1"/>
    <col min="13325" max="13325" width="25.85546875" style="49" customWidth="1"/>
    <col min="13326" max="13326" width="23.7109375" style="49" customWidth="1"/>
    <col min="13327" max="13327" width="11.85546875" style="49" customWidth="1"/>
    <col min="13328" max="13328" width="39.140625" style="49" customWidth="1"/>
    <col min="13329" max="13329" width="16.140625" style="49" customWidth="1"/>
    <col min="13330" max="13330" width="13.85546875" style="49" customWidth="1"/>
    <col min="13331" max="13331" width="14.7109375" style="49" customWidth="1"/>
    <col min="13332" max="13332" width="9.140625" style="49"/>
    <col min="13333" max="13333" width="11.5703125" style="49" bestFit="1" customWidth="1"/>
    <col min="13334" max="13334" width="9.140625" style="49"/>
    <col min="13335" max="13335" width="11.5703125" style="49" bestFit="1" customWidth="1"/>
    <col min="13336" max="13568" width="9.140625" style="49"/>
    <col min="13569" max="13569" width="4.140625" style="49" customWidth="1"/>
    <col min="13570" max="13578" width="13.5703125" style="49" customWidth="1"/>
    <col min="13579" max="13579" width="4.140625" style="49" customWidth="1"/>
    <col min="13580" max="13580" width="46.7109375" style="49" customWidth="1"/>
    <col min="13581" max="13581" width="25.85546875" style="49" customWidth="1"/>
    <col min="13582" max="13582" width="23.7109375" style="49" customWidth="1"/>
    <col min="13583" max="13583" width="11.85546875" style="49" customWidth="1"/>
    <col min="13584" max="13584" width="39.140625" style="49" customWidth="1"/>
    <col min="13585" max="13585" width="16.140625" style="49" customWidth="1"/>
    <col min="13586" max="13586" width="13.85546875" style="49" customWidth="1"/>
    <col min="13587" max="13587" width="14.7109375" style="49" customWidth="1"/>
    <col min="13588" max="13588" width="9.140625" style="49"/>
    <col min="13589" max="13589" width="11.5703125" style="49" bestFit="1" customWidth="1"/>
    <col min="13590" max="13590" width="9.140625" style="49"/>
    <col min="13591" max="13591" width="11.5703125" style="49" bestFit="1" customWidth="1"/>
    <col min="13592" max="13824" width="9.140625" style="49"/>
    <col min="13825" max="13825" width="4.140625" style="49" customWidth="1"/>
    <col min="13826" max="13834" width="13.5703125" style="49" customWidth="1"/>
    <col min="13835" max="13835" width="4.140625" style="49" customWidth="1"/>
    <col min="13836" max="13836" width="46.7109375" style="49" customWidth="1"/>
    <col min="13837" max="13837" width="25.85546875" style="49" customWidth="1"/>
    <col min="13838" max="13838" width="23.7109375" style="49" customWidth="1"/>
    <col min="13839" max="13839" width="11.85546875" style="49" customWidth="1"/>
    <col min="13840" max="13840" width="39.140625" style="49" customWidth="1"/>
    <col min="13841" max="13841" width="16.140625" style="49" customWidth="1"/>
    <col min="13842" max="13842" width="13.85546875" style="49" customWidth="1"/>
    <col min="13843" max="13843" width="14.7109375" style="49" customWidth="1"/>
    <col min="13844" max="13844" width="9.140625" style="49"/>
    <col min="13845" max="13845" width="11.5703125" style="49" bestFit="1" customWidth="1"/>
    <col min="13846" max="13846" width="9.140625" style="49"/>
    <col min="13847" max="13847" width="11.5703125" style="49" bestFit="1" customWidth="1"/>
    <col min="13848" max="14080" width="9.140625" style="49"/>
    <col min="14081" max="14081" width="4.140625" style="49" customWidth="1"/>
    <col min="14082" max="14090" width="13.5703125" style="49" customWidth="1"/>
    <col min="14091" max="14091" width="4.140625" style="49" customWidth="1"/>
    <col min="14092" max="14092" width="46.7109375" style="49" customWidth="1"/>
    <col min="14093" max="14093" width="25.85546875" style="49" customWidth="1"/>
    <col min="14094" max="14094" width="23.7109375" style="49" customWidth="1"/>
    <col min="14095" max="14095" width="11.85546875" style="49" customWidth="1"/>
    <col min="14096" max="14096" width="39.140625" style="49" customWidth="1"/>
    <col min="14097" max="14097" width="16.140625" style="49" customWidth="1"/>
    <col min="14098" max="14098" width="13.85546875" style="49" customWidth="1"/>
    <col min="14099" max="14099" width="14.7109375" style="49" customWidth="1"/>
    <col min="14100" max="14100" width="9.140625" style="49"/>
    <col min="14101" max="14101" width="11.5703125" style="49" bestFit="1" customWidth="1"/>
    <col min="14102" max="14102" width="9.140625" style="49"/>
    <col min="14103" max="14103" width="11.5703125" style="49" bestFit="1" customWidth="1"/>
    <col min="14104" max="14336" width="9.140625" style="49"/>
    <col min="14337" max="14337" width="4.140625" style="49" customWidth="1"/>
    <col min="14338" max="14346" width="13.5703125" style="49" customWidth="1"/>
    <col min="14347" max="14347" width="4.140625" style="49" customWidth="1"/>
    <col min="14348" max="14348" width="46.7109375" style="49" customWidth="1"/>
    <col min="14349" max="14349" width="25.85546875" style="49" customWidth="1"/>
    <col min="14350" max="14350" width="23.7109375" style="49" customWidth="1"/>
    <col min="14351" max="14351" width="11.85546875" style="49" customWidth="1"/>
    <col min="14352" max="14352" width="39.140625" style="49" customWidth="1"/>
    <col min="14353" max="14353" width="16.140625" style="49" customWidth="1"/>
    <col min="14354" max="14354" width="13.85546875" style="49" customWidth="1"/>
    <col min="14355" max="14355" width="14.7109375" style="49" customWidth="1"/>
    <col min="14356" max="14356" width="9.140625" style="49"/>
    <col min="14357" max="14357" width="11.5703125" style="49" bestFit="1" customWidth="1"/>
    <col min="14358" max="14358" width="9.140625" style="49"/>
    <col min="14359" max="14359" width="11.5703125" style="49" bestFit="1" customWidth="1"/>
    <col min="14360" max="14592" width="9.140625" style="49"/>
    <col min="14593" max="14593" width="4.140625" style="49" customWidth="1"/>
    <col min="14594" max="14602" width="13.5703125" style="49" customWidth="1"/>
    <col min="14603" max="14603" width="4.140625" style="49" customWidth="1"/>
    <col min="14604" max="14604" width="46.7109375" style="49" customWidth="1"/>
    <col min="14605" max="14605" width="25.85546875" style="49" customWidth="1"/>
    <col min="14606" max="14606" width="23.7109375" style="49" customWidth="1"/>
    <col min="14607" max="14607" width="11.85546875" style="49" customWidth="1"/>
    <col min="14608" max="14608" width="39.140625" style="49" customWidth="1"/>
    <col min="14609" max="14609" width="16.140625" style="49" customWidth="1"/>
    <col min="14610" max="14610" width="13.85546875" style="49" customWidth="1"/>
    <col min="14611" max="14611" width="14.7109375" style="49" customWidth="1"/>
    <col min="14612" max="14612" width="9.140625" style="49"/>
    <col min="14613" max="14613" width="11.5703125" style="49" bestFit="1" customWidth="1"/>
    <col min="14614" max="14614" width="9.140625" style="49"/>
    <col min="14615" max="14615" width="11.5703125" style="49" bestFit="1" customWidth="1"/>
    <col min="14616" max="14848" width="9.140625" style="49"/>
    <col min="14849" max="14849" width="4.140625" style="49" customWidth="1"/>
    <col min="14850" max="14858" width="13.5703125" style="49" customWidth="1"/>
    <col min="14859" max="14859" width="4.140625" style="49" customWidth="1"/>
    <col min="14860" max="14860" width="46.7109375" style="49" customWidth="1"/>
    <col min="14861" max="14861" width="25.85546875" style="49" customWidth="1"/>
    <col min="14862" max="14862" width="23.7109375" style="49" customWidth="1"/>
    <col min="14863" max="14863" width="11.85546875" style="49" customWidth="1"/>
    <col min="14864" max="14864" width="39.140625" style="49" customWidth="1"/>
    <col min="14865" max="14865" width="16.140625" style="49" customWidth="1"/>
    <col min="14866" max="14866" width="13.85546875" style="49" customWidth="1"/>
    <col min="14867" max="14867" width="14.7109375" style="49" customWidth="1"/>
    <col min="14868" max="14868" width="9.140625" style="49"/>
    <col min="14869" max="14869" width="11.5703125" style="49" bestFit="1" customWidth="1"/>
    <col min="14870" max="14870" width="9.140625" style="49"/>
    <col min="14871" max="14871" width="11.5703125" style="49" bestFit="1" customWidth="1"/>
    <col min="14872" max="15104" width="9.140625" style="49"/>
    <col min="15105" max="15105" width="4.140625" style="49" customWidth="1"/>
    <col min="15106" max="15114" width="13.5703125" style="49" customWidth="1"/>
    <col min="15115" max="15115" width="4.140625" style="49" customWidth="1"/>
    <col min="15116" max="15116" width="46.7109375" style="49" customWidth="1"/>
    <col min="15117" max="15117" width="25.85546875" style="49" customWidth="1"/>
    <col min="15118" max="15118" width="23.7109375" style="49" customWidth="1"/>
    <col min="15119" max="15119" width="11.85546875" style="49" customWidth="1"/>
    <col min="15120" max="15120" width="39.140625" style="49" customWidth="1"/>
    <col min="15121" max="15121" width="16.140625" style="49" customWidth="1"/>
    <col min="15122" max="15122" width="13.85546875" style="49" customWidth="1"/>
    <col min="15123" max="15123" width="14.7109375" style="49" customWidth="1"/>
    <col min="15124" max="15124" width="9.140625" style="49"/>
    <col min="15125" max="15125" width="11.5703125" style="49" bestFit="1" customWidth="1"/>
    <col min="15126" max="15126" width="9.140625" style="49"/>
    <col min="15127" max="15127" width="11.5703125" style="49" bestFit="1" customWidth="1"/>
    <col min="15128" max="15360" width="9.140625" style="49"/>
    <col min="15361" max="15361" width="4.140625" style="49" customWidth="1"/>
    <col min="15362" max="15370" width="13.5703125" style="49" customWidth="1"/>
    <col min="15371" max="15371" width="4.140625" style="49" customWidth="1"/>
    <col min="15372" max="15372" width="46.7109375" style="49" customWidth="1"/>
    <col min="15373" max="15373" width="25.85546875" style="49" customWidth="1"/>
    <col min="15374" max="15374" width="23.7109375" style="49" customWidth="1"/>
    <col min="15375" max="15375" width="11.85546875" style="49" customWidth="1"/>
    <col min="15376" max="15376" width="39.140625" style="49" customWidth="1"/>
    <col min="15377" max="15377" width="16.140625" style="49" customWidth="1"/>
    <col min="15378" max="15378" width="13.85546875" style="49" customWidth="1"/>
    <col min="15379" max="15379" width="14.7109375" style="49" customWidth="1"/>
    <col min="15380" max="15380" width="9.140625" style="49"/>
    <col min="15381" max="15381" width="11.5703125" style="49" bestFit="1" customWidth="1"/>
    <col min="15382" max="15382" width="9.140625" style="49"/>
    <col min="15383" max="15383" width="11.5703125" style="49" bestFit="1" customWidth="1"/>
    <col min="15384" max="15616" width="9.140625" style="49"/>
    <col min="15617" max="15617" width="4.140625" style="49" customWidth="1"/>
    <col min="15618" max="15626" width="13.5703125" style="49" customWidth="1"/>
    <col min="15627" max="15627" width="4.140625" style="49" customWidth="1"/>
    <col min="15628" max="15628" width="46.7109375" style="49" customWidth="1"/>
    <col min="15629" max="15629" width="25.85546875" style="49" customWidth="1"/>
    <col min="15630" max="15630" width="23.7109375" style="49" customWidth="1"/>
    <col min="15631" max="15631" width="11.85546875" style="49" customWidth="1"/>
    <col min="15632" max="15632" width="39.140625" style="49" customWidth="1"/>
    <col min="15633" max="15633" width="16.140625" style="49" customWidth="1"/>
    <col min="15634" max="15634" width="13.85546875" style="49" customWidth="1"/>
    <col min="15635" max="15635" width="14.7109375" style="49" customWidth="1"/>
    <col min="15636" max="15636" width="9.140625" style="49"/>
    <col min="15637" max="15637" width="11.5703125" style="49" bestFit="1" customWidth="1"/>
    <col min="15638" max="15638" width="9.140625" style="49"/>
    <col min="15639" max="15639" width="11.5703125" style="49" bestFit="1" customWidth="1"/>
    <col min="15640" max="15872" width="9.140625" style="49"/>
    <col min="15873" max="15873" width="4.140625" style="49" customWidth="1"/>
    <col min="15874" max="15882" width="13.5703125" style="49" customWidth="1"/>
    <col min="15883" max="15883" width="4.140625" style="49" customWidth="1"/>
    <col min="15884" max="15884" width="46.7109375" style="49" customWidth="1"/>
    <col min="15885" max="15885" width="25.85546875" style="49" customWidth="1"/>
    <col min="15886" max="15886" width="23.7109375" style="49" customWidth="1"/>
    <col min="15887" max="15887" width="11.85546875" style="49" customWidth="1"/>
    <col min="15888" max="15888" width="39.140625" style="49" customWidth="1"/>
    <col min="15889" max="15889" width="16.140625" style="49" customWidth="1"/>
    <col min="15890" max="15890" width="13.85546875" style="49" customWidth="1"/>
    <col min="15891" max="15891" width="14.7109375" style="49" customWidth="1"/>
    <col min="15892" max="15892" width="9.140625" style="49"/>
    <col min="15893" max="15893" width="11.5703125" style="49" bestFit="1" customWidth="1"/>
    <col min="15894" max="15894" width="9.140625" style="49"/>
    <col min="15895" max="15895" width="11.5703125" style="49" bestFit="1" customWidth="1"/>
    <col min="15896" max="16128" width="9.140625" style="49"/>
    <col min="16129" max="16129" width="4.140625" style="49" customWidth="1"/>
    <col min="16130" max="16138" width="13.5703125" style="49" customWidth="1"/>
    <col min="16139" max="16139" width="4.140625" style="49" customWidth="1"/>
    <col min="16140" max="16140" width="46.7109375" style="49" customWidth="1"/>
    <col min="16141" max="16141" width="25.85546875" style="49" customWidth="1"/>
    <col min="16142" max="16142" width="23.7109375" style="49" customWidth="1"/>
    <col min="16143" max="16143" width="11.85546875" style="49" customWidth="1"/>
    <col min="16144" max="16144" width="39.140625" style="49" customWidth="1"/>
    <col min="16145" max="16145" width="16.140625" style="49" customWidth="1"/>
    <col min="16146" max="16146" width="13.85546875" style="49" customWidth="1"/>
    <col min="16147" max="16147" width="14.7109375" style="49" customWidth="1"/>
    <col min="16148" max="16148" width="9.140625" style="49"/>
    <col min="16149" max="16149" width="11.5703125" style="49" bestFit="1" customWidth="1"/>
    <col min="16150" max="16150" width="9.140625" style="49"/>
    <col min="16151" max="16151" width="11.5703125" style="49" bestFit="1" customWidth="1"/>
    <col min="16152" max="16384" width="9.140625" style="49"/>
  </cols>
  <sheetData>
    <row r="1" spans="2:23" ht="7.9" customHeight="1" x14ac:dyDescent="0.25">
      <c r="L1" s="47"/>
      <c r="M1" s="47"/>
      <c r="N1" s="48"/>
    </row>
    <row r="2" spans="2:23" x14ac:dyDescent="0.25">
      <c r="B2" s="170" t="s">
        <v>64</v>
      </c>
      <c r="C2" s="170"/>
      <c r="D2" s="170"/>
      <c r="E2" s="170"/>
      <c r="F2" s="170"/>
      <c r="G2" s="170"/>
      <c r="H2" s="170"/>
      <c r="I2" s="170"/>
      <c r="J2" s="170"/>
      <c r="L2" s="170" t="s">
        <v>65</v>
      </c>
      <c r="M2" s="170"/>
      <c r="N2" s="170"/>
      <c r="P2" s="148" t="s">
        <v>66</v>
      </c>
      <c r="Q2" s="148"/>
      <c r="R2" s="148"/>
      <c r="S2" s="148"/>
    </row>
    <row r="3" spans="2:23" ht="13.5" customHeight="1" x14ac:dyDescent="0.25">
      <c r="B3" s="51"/>
      <c r="C3" s="51"/>
      <c r="D3" s="51"/>
      <c r="E3" s="51"/>
      <c r="F3" s="51"/>
      <c r="G3" s="51"/>
      <c r="H3" s="51"/>
      <c r="I3" s="51"/>
      <c r="J3" s="51"/>
      <c r="L3" s="52" t="s">
        <v>67</v>
      </c>
      <c r="M3" s="26" t="s">
        <v>68</v>
      </c>
      <c r="N3" s="26" t="s">
        <v>69</v>
      </c>
      <c r="P3" s="53"/>
      <c r="Q3" s="53"/>
      <c r="R3" s="53"/>
      <c r="S3" s="53"/>
    </row>
    <row r="4" spans="2:23" ht="15" customHeight="1" x14ac:dyDescent="0.25">
      <c r="B4" s="51"/>
      <c r="C4" s="51"/>
      <c r="D4" s="51"/>
      <c r="E4" s="51"/>
      <c r="F4" s="51"/>
      <c r="G4" s="51"/>
      <c r="H4" s="51"/>
      <c r="I4" s="51"/>
      <c r="J4" s="51"/>
      <c r="L4" s="54" t="s">
        <v>70</v>
      </c>
      <c r="M4" s="29">
        <v>0.94</v>
      </c>
      <c r="N4" s="29" t="s">
        <v>71</v>
      </c>
      <c r="P4" s="148" t="s">
        <v>72</v>
      </c>
      <c r="Q4" s="148"/>
      <c r="R4" s="148"/>
      <c r="S4" s="148"/>
      <c r="U4" s="53"/>
      <c r="V4" s="53"/>
      <c r="W4" s="53"/>
    </row>
    <row r="5" spans="2:23" ht="15.75" x14ac:dyDescent="0.25">
      <c r="B5" s="170" t="s">
        <v>73</v>
      </c>
      <c r="C5" s="170"/>
      <c r="D5" s="170"/>
      <c r="E5" s="170"/>
      <c r="F5" s="170"/>
      <c r="G5" s="170"/>
      <c r="H5" s="170"/>
      <c r="I5" s="170"/>
      <c r="J5" s="170"/>
      <c r="L5" s="55" t="s">
        <v>74</v>
      </c>
      <c r="M5" s="56">
        <v>6.7000000000000002E-4</v>
      </c>
      <c r="N5" s="29" t="s">
        <v>75</v>
      </c>
      <c r="P5" s="52" t="s">
        <v>76</v>
      </c>
      <c r="Q5" s="26">
        <v>2019</v>
      </c>
      <c r="R5" s="26">
        <v>2020</v>
      </c>
      <c r="S5" s="26" t="s">
        <v>77</v>
      </c>
      <c r="U5" s="53"/>
      <c r="V5" s="53"/>
      <c r="W5" s="53"/>
    </row>
    <row r="6" spans="2:23" ht="28.5" x14ac:dyDescent="0.25">
      <c r="B6" s="21" t="s">
        <v>15</v>
      </c>
      <c r="C6" s="21" t="s">
        <v>26</v>
      </c>
      <c r="D6" s="26" t="s">
        <v>27</v>
      </c>
      <c r="E6" s="21" t="s">
        <v>28</v>
      </c>
      <c r="F6" s="21" t="s">
        <v>29</v>
      </c>
      <c r="G6" s="21" t="s">
        <v>30</v>
      </c>
      <c r="H6" s="21" t="s">
        <v>78</v>
      </c>
      <c r="I6" s="21" t="s">
        <v>24</v>
      </c>
      <c r="J6" s="26" t="s">
        <v>16</v>
      </c>
      <c r="L6" s="55" t="s">
        <v>79</v>
      </c>
      <c r="M6" s="56">
        <v>0.77</v>
      </c>
      <c r="N6" s="29" t="s">
        <v>71</v>
      </c>
      <c r="P6" s="11" t="s">
        <v>26</v>
      </c>
      <c r="Q6" s="14">
        <f>SUMIFS('Animal Data - Granja Silva'!$H$5:$H$19,'Animal Data - Granja Silva'!$I$5:$I$19,'BE - Granja Silva'!$P6,'Animal Data - Granja Silva'!$G$5:$G$19,'BE - Granja Silva'!Q$5)</f>
        <v>0</v>
      </c>
      <c r="R6" s="14">
        <f>SUMIFS('Animal Data - Granja Silva'!$H$5:$H$19,'Animal Data - Granja Silva'!$I$5:$I$19,'BE - Granja Silva'!$P6,'Animal Data - Granja Silva'!$G$5:$G$19,'BE - Granja Silva'!R$5)</f>
        <v>0</v>
      </c>
      <c r="S6" s="13">
        <f t="shared" ref="S6:S12" si="0">AVERAGE(Q6:R6)</f>
        <v>0</v>
      </c>
      <c r="U6" s="53"/>
      <c r="V6" s="53"/>
      <c r="W6" s="53"/>
    </row>
    <row r="7" spans="2:23" ht="15.75" x14ac:dyDescent="0.25">
      <c r="B7" s="19">
        <v>2019</v>
      </c>
      <c r="C7" s="13">
        <f>$M$7*$M$5*$M$4*$M$6*$M$22*$Q$24*$Q$42*$M$8</f>
        <v>0</v>
      </c>
      <c r="D7" s="13">
        <f>$M$7*$M$5*$M$4*$M$6*$M$22*$Q$25*$Q$43*$M$8</f>
        <v>75.377494086858093</v>
      </c>
      <c r="E7" s="13">
        <f>$M$7*$M$5*$M$4*$M$6*$M$22*$Q$26*$Q$44*$M$8</f>
        <v>0</v>
      </c>
      <c r="F7" s="13">
        <f>$M$7*$M$5*$M$4*$M$6*$M$22*$Q$27*$Q$45*$M$8</f>
        <v>0.77708756790575328</v>
      </c>
      <c r="G7" s="13">
        <f>$M$7*$M$5*$M$4*$M$6*$M$39*$Q$28*$Q$46*$M$8</f>
        <v>15.123425399523928</v>
      </c>
      <c r="H7" s="13">
        <f>$M$7*$M$5*$M$4*$M$6*$M$39*$Q$29*$Q$47*$M$8</f>
        <v>0</v>
      </c>
      <c r="I7" s="57">
        <f>$M$7*$M$5*$M$4*$M$6*$M$39*$Q$30*$Q$48*$M$8</f>
        <v>0</v>
      </c>
      <c r="J7" s="13">
        <f>SUM(C7:I7)</f>
        <v>91.27800705428777</v>
      </c>
      <c r="L7" s="55" t="s">
        <v>80</v>
      </c>
      <c r="M7" s="56">
        <v>28</v>
      </c>
      <c r="N7" s="29" t="s">
        <v>81</v>
      </c>
      <c r="P7" s="11" t="s">
        <v>27</v>
      </c>
      <c r="Q7" s="14">
        <f>SUMIFS('Animal Data - Granja Silva'!$H$5:$H$43,'Animal Data - Granja Silva'!$I$5:$I$43,'BE - Granja Silva'!$P7,'Animal Data - Granja Silva'!$G$5:$G$43,'BE - Granja Silva'!Q$5)</f>
        <v>388</v>
      </c>
      <c r="R7" s="14">
        <f>SUMIFS('Animal Data - Granja Silva'!$H$5:$H$43,'Animal Data - Granja Silva'!$I$5:$I$43,'BE - Granja Silva'!$P7,'Animal Data - Granja Silva'!$G$5:$G$43,'BE - Granja Silva'!R$5)</f>
        <v>388</v>
      </c>
      <c r="S7" s="13">
        <f t="shared" si="0"/>
        <v>388</v>
      </c>
      <c r="U7" s="53"/>
      <c r="V7" s="53"/>
      <c r="W7" s="53"/>
    </row>
    <row r="8" spans="2:23" ht="28.5" x14ac:dyDescent="0.25">
      <c r="B8" s="19">
        <v>2020</v>
      </c>
      <c r="C8" s="13">
        <f>$M$7*$M$5*$M$4*$M$6*$M$22*$R$24*$R$42*$M$8</f>
        <v>0</v>
      </c>
      <c r="D8" s="13">
        <f>$M$7*$M$5*$M$4*$M$6*$M$22*$R$25*$R$43*$M$8</f>
        <v>168.21770258890729</v>
      </c>
      <c r="E8" s="13">
        <f>$M$7*$M$5*$M$4*$M$6*$M$22*$R$26*$R$44*$M$8</f>
        <v>0</v>
      </c>
      <c r="F8" s="13">
        <f>$M$7*$M$5*$M$4*$M$6*$M$22*$R$27*$R$45*$M$8</f>
        <v>1.734203119473271</v>
      </c>
      <c r="G8" s="13">
        <f>$M$7*$M$5*$M$4*$M$6*$M$39*$R$28*$R$46*$M$8</f>
        <v>39.725246000914304</v>
      </c>
      <c r="H8" s="13">
        <f>$M$7*$M$5*$M$4*$M$6*$M$39*$R$29*$R$47*$M$8</f>
        <v>0</v>
      </c>
      <c r="I8" s="57">
        <f>$M$7*$M$5*$M$4*$M$6*$M$39*$R$30*$R$48*$M$8</f>
        <v>0</v>
      </c>
      <c r="J8" s="13">
        <f>SUM(C8:I8)</f>
        <v>209.67715170929486</v>
      </c>
      <c r="L8" s="55" t="s">
        <v>82</v>
      </c>
      <c r="M8" s="56">
        <v>1</v>
      </c>
      <c r="N8" s="29" t="s">
        <v>71</v>
      </c>
      <c r="P8" s="11" t="s">
        <v>28</v>
      </c>
      <c r="Q8" s="14">
        <f>SUMIFS('Animal Data - Granja Silva'!$H$5:$H$43,'Animal Data - Granja Silva'!$I$5:$I$43,'BE - Granja Silva'!$P8,'Animal Data - Granja Silva'!$G$5:$G$43,'BE - Granja Silva'!Q$5)</f>
        <v>0</v>
      </c>
      <c r="R8" s="14">
        <f>SUMIFS('Animal Data - Granja Silva'!$H$5:$H$43,'Animal Data - Granja Silva'!$I$5:$I$43,'BE - Granja Silva'!$P8,'Animal Data - Granja Silva'!$G$5:$G$43,'BE - Granja Silva'!R$5)</f>
        <v>0</v>
      </c>
      <c r="S8" s="13">
        <f t="shared" si="0"/>
        <v>0</v>
      </c>
      <c r="U8" s="53"/>
      <c r="V8" s="53"/>
      <c r="W8" s="53"/>
    </row>
    <row r="9" spans="2:23" x14ac:dyDescent="0.25">
      <c r="B9" s="43" t="s">
        <v>16</v>
      </c>
      <c r="C9" s="13">
        <f t="shared" ref="C9:J9" si="1">SUM(C7:C8)</f>
        <v>0</v>
      </c>
      <c r="D9" s="13">
        <f t="shared" si="1"/>
        <v>243.59519667576538</v>
      </c>
      <c r="E9" s="13">
        <f t="shared" si="1"/>
        <v>0</v>
      </c>
      <c r="F9" s="13">
        <f t="shared" si="1"/>
        <v>2.5112906873790242</v>
      </c>
      <c r="G9" s="13">
        <f t="shared" si="1"/>
        <v>54.848671400438235</v>
      </c>
      <c r="H9" s="13">
        <f t="shared" si="1"/>
        <v>0</v>
      </c>
      <c r="I9" s="13">
        <f t="shared" si="1"/>
        <v>0</v>
      </c>
      <c r="J9" s="13">
        <f t="shared" si="1"/>
        <v>300.95515876358263</v>
      </c>
      <c r="P9" s="11" t="s">
        <v>29</v>
      </c>
      <c r="Q9" s="14">
        <f>SUMIFS('Animal Data - Granja Silva'!$H$5:$H$43,'Animal Data - Granja Silva'!$I$5:$I$43,'BE - Granja Silva'!$P9,'Animal Data - Granja Silva'!$G$5:$G$43,'BE - Granja Silva'!Q$5)</f>
        <v>4</v>
      </c>
      <c r="R9" s="14">
        <f>SUMIFS('Animal Data - Granja Silva'!$H$5:$H$43,'Animal Data - Granja Silva'!$I$5:$I$43,'BE - Granja Silva'!$P9,'Animal Data - Granja Silva'!$G$5:$G$43,'BE - Granja Silva'!R$5)</f>
        <v>4</v>
      </c>
      <c r="S9" s="13">
        <f t="shared" si="0"/>
        <v>4</v>
      </c>
      <c r="U9" s="53"/>
      <c r="V9" s="53"/>
      <c r="W9" s="53"/>
    </row>
    <row r="10" spans="2:23" x14ac:dyDescent="0.25">
      <c r="B10" s="53"/>
      <c r="C10" s="53"/>
      <c r="D10" s="53"/>
      <c r="E10" s="53"/>
      <c r="F10" s="53"/>
      <c r="G10" s="53"/>
      <c r="H10" s="53"/>
      <c r="I10" s="53"/>
      <c r="J10" s="53"/>
      <c r="L10" s="170" t="s">
        <v>83</v>
      </c>
      <c r="M10" s="170"/>
      <c r="N10" s="170"/>
      <c r="P10" s="11" t="s">
        <v>30</v>
      </c>
      <c r="Q10" s="14">
        <f>SUMIFS('Animal Data - Granja Silva'!$H$5:$H$43,'Animal Data - Granja Silva'!$I$5:$I$43,'BE - Granja Silva'!$P10,'Animal Data - Granja Silva'!$G$5:$G$43,'BE - Granja Silva'!Q$5)</f>
        <v>5234.7714285714292</v>
      </c>
      <c r="R10" s="14">
        <f>SUMIFS('Animal Data - Granja Silva'!$H$5:$H$43,'Animal Data - Granja Silva'!$I$5:$I$43,'BE - Granja Silva'!$P10,'Animal Data - Granja Silva'!$G$5:$G$43,'BE - Granja Silva'!R$5)</f>
        <v>8049.7</v>
      </c>
      <c r="S10" s="13">
        <f t="shared" si="0"/>
        <v>6642.2357142857145</v>
      </c>
      <c r="U10" s="53"/>
      <c r="V10" s="53"/>
      <c r="W10" s="53"/>
    </row>
    <row r="11" spans="2:23" x14ac:dyDescent="0.25">
      <c r="C11" s="53"/>
      <c r="D11" s="53"/>
      <c r="E11" s="53"/>
      <c r="F11" s="53"/>
      <c r="G11" s="53"/>
      <c r="H11" s="53"/>
      <c r="I11" s="53"/>
      <c r="J11" s="53"/>
      <c r="L11" s="170" t="s">
        <v>84</v>
      </c>
      <c r="M11" s="170"/>
      <c r="N11" s="170"/>
      <c r="P11" s="11" t="s">
        <v>78</v>
      </c>
      <c r="Q11" s="14">
        <f>SUMIFS('Animal Data - Granja Silva'!$H$5:$H$19,'Animal Data - Granja Silva'!$I$5:$I$19,'BE - Granja Silva'!$P11,'Animal Data - Granja Silva'!$G$5:$G$19,'BE - Granja Silva'!Q$5)</f>
        <v>0</v>
      </c>
      <c r="R11" s="14">
        <f>SUMIFS('Animal Data - Granja Silva'!$H$5:$H$19,'Animal Data - Granja Silva'!$I$5:$I$19,'BE - Granja Silva'!$P11,'Animal Data - Granja Silva'!$G$5:$G$19,'BE - Granja Silva'!R$5)</f>
        <v>0</v>
      </c>
      <c r="S11" s="13">
        <f t="shared" si="0"/>
        <v>0</v>
      </c>
      <c r="U11" s="53"/>
      <c r="V11" s="53"/>
      <c r="W11" s="53"/>
    </row>
    <row r="12" spans="2:23" x14ac:dyDescent="0.25">
      <c r="C12" s="53"/>
      <c r="D12" s="53"/>
      <c r="E12" s="53"/>
      <c r="F12" s="53"/>
      <c r="G12" s="53"/>
      <c r="H12" s="53"/>
      <c r="I12" s="53"/>
      <c r="J12" s="53"/>
      <c r="L12" s="52" t="s">
        <v>67</v>
      </c>
      <c r="M12" s="26" t="s">
        <v>68</v>
      </c>
      <c r="N12" s="26" t="s">
        <v>69</v>
      </c>
      <c r="P12" s="11" t="s">
        <v>24</v>
      </c>
      <c r="Q12" s="14">
        <f>SUMIFS('Animal Data - Granja Silva'!$H$5:$H$19,'Animal Data - Granja Silva'!$I$5:$I$19,'BE - Granja Silva'!$P12,'Animal Data - Granja Silva'!$G$5:$G$19,'BE - Granja Silva'!Q$5)</f>
        <v>0</v>
      </c>
      <c r="R12" s="14">
        <f>SUMIFS('Animal Data - Granja Silva'!$H$5:$H$19,'Animal Data - Granja Silva'!$I$5:$I$19,'BE - Granja Silva'!$P12,'Animal Data - Granja Silva'!$G$5:$G$19,'BE - Granja Silva'!R$5)</f>
        <v>0</v>
      </c>
      <c r="S12" s="13">
        <f t="shared" si="0"/>
        <v>0</v>
      </c>
      <c r="U12" s="53"/>
      <c r="V12" s="53"/>
      <c r="W12" s="53"/>
    </row>
    <row r="13" spans="2:23" ht="15.75" x14ac:dyDescent="0.25">
      <c r="B13" s="53"/>
      <c r="C13" s="53"/>
      <c r="D13" s="53"/>
      <c r="E13" s="53"/>
      <c r="F13" s="53"/>
      <c r="G13" s="53"/>
      <c r="H13" s="53"/>
      <c r="I13" s="53"/>
      <c r="J13" s="53"/>
      <c r="L13" s="170" t="s">
        <v>85</v>
      </c>
      <c r="M13" s="170"/>
      <c r="N13" s="170"/>
      <c r="P13" s="148" t="s">
        <v>86</v>
      </c>
      <c r="Q13" s="148"/>
      <c r="R13" s="148"/>
      <c r="S13" s="148"/>
      <c r="U13" s="53"/>
      <c r="V13" s="53"/>
      <c r="W13" s="53"/>
    </row>
    <row r="14" spans="2:23" x14ac:dyDescent="0.25">
      <c r="B14" s="53"/>
      <c r="C14" s="53"/>
      <c r="D14" s="53"/>
      <c r="E14" s="53"/>
      <c r="F14" s="53"/>
      <c r="G14" s="53"/>
      <c r="H14" s="53"/>
      <c r="I14" s="53"/>
      <c r="J14" s="53"/>
      <c r="L14" s="59" t="s">
        <v>87</v>
      </c>
      <c r="M14" s="29">
        <v>0.5</v>
      </c>
      <c r="N14" s="29" t="s">
        <v>88</v>
      </c>
      <c r="P14" s="52" t="s">
        <v>76</v>
      </c>
      <c r="Q14" s="26">
        <v>2019</v>
      </c>
      <c r="R14" s="26">
        <v>2020</v>
      </c>
      <c r="S14" s="26" t="s">
        <v>77</v>
      </c>
      <c r="U14" s="53"/>
      <c r="V14" s="53"/>
      <c r="W14" s="53"/>
    </row>
    <row r="15" spans="2:23" x14ac:dyDescent="0.25">
      <c r="B15" s="53"/>
      <c r="C15" s="53"/>
      <c r="D15" s="53"/>
      <c r="E15" s="53"/>
      <c r="F15" s="53"/>
      <c r="G15" s="53"/>
      <c r="H15" s="53"/>
      <c r="I15" s="53"/>
      <c r="J15" s="53"/>
      <c r="L15" s="59" t="s">
        <v>89</v>
      </c>
      <c r="M15" s="29">
        <v>0.46</v>
      </c>
      <c r="N15" s="29" t="s">
        <v>88</v>
      </c>
      <c r="P15" s="11" t="s">
        <v>26</v>
      </c>
      <c r="Q15" s="14">
        <f>'Animal Data - Granja Silva'!D47</f>
        <v>0</v>
      </c>
      <c r="R15" s="14">
        <f>'Animal Data - Granja Silva'!E47</f>
        <v>0</v>
      </c>
      <c r="S15" s="13">
        <f t="shared" ref="S15:S21" si="2">AVERAGE(Q15:R15)</f>
        <v>0</v>
      </c>
      <c r="U15" s="53"/>
      <c r="V15" s="53"/>
      <c r="W15" s="53"/>
    </row>
    <row r="16" spans="2:23" x14ac:dyDescent="0.25">
      <c r="B16" s="53"/>
      <c r="C16" s="53"/>
      <c r="D16" s="53"/>
      <c r="E16" s="53"/>
      <c r="F16" s="53"/>
      <c r="G16" s="53"/>
      <c r="H16" s="53"/>
      <c r="I16" s="53"/>
      <c r="J16" s="53"/>
      <c r="L16" s="59" t="s">
        <v>90</v>
      </c>
      <c r="M16" s="29">
        <v>0.5</v>
      </c>
      <c r="N16" s="29" t="s">
        <v>88</v>
      </c>
      <c r="P16" s="11" t="s">
        <v>27</v>
      </c>
      <c r="Q16" s="14">
        <f>'Animal Data - Granja Silva'!D48</f>
        <v>245</v>
      </c>
      <c r="R16" s="14">
        <f>'Animal Data - Granja Silva'!E48</f>
        <v>366</v>
      </c>
      <c r="S16" s="13">
        <f t="shared" si="2"/>
        <v>305.5</v>
      </c>
      <c r="U16" s="53"/>
      <c r="V16" s="53"/>
      <c r="W16" s="53"/>
    </row>
    <row r="17" spans="2:23" x14ac:dyDescent="0.25">
      <c r="B17" s="53"/>
      <c r="C17" s="53"/>
      <c r="D17" s="53"/>
      <c r="E17" s="53"/>
      <c r="F17" s="53"/>
      <c r="G17" s="53"/>
      <c r="H17" s="53"/>
      <c r="I17" s="53"/>
      <c r="J17" s="53"/>
      <c r="L17" s="59" t="s">
        <v>91</v>
      </c>
      <c r="M17" s="29">
        <v>0.3</v>
      </c>
      <c r="N17" s="29" t="s">
        <v>88</v>
      </c>
      <c r="P17" s="11" t="s">
        <v>56</v>
      </c>
      <c r="Q17" s="14">
        <f>'Animal Data - Granja Silva'!D49</f>
        <v>0</v>
      </c>
      <c r="R17" s="14">
        <f>'Animal Data - Granja Silva'!E49</f>
        <v>0</v>
      </c>
      <c r="S17" s="13">
        <f t="shared" si="2"/>
        <v>0</v>
      </c>
      <c r="U17" s="53"/>
      <c r="V17" s="53"/>
      <c r="W17" s="53"/>
    </row>
    <row r="18" spans="2:23" x14ac:dyDescent="0.25">
      <c r="B18" s="53"/>
      <c r="C18" s="53"/>
      <c r="D18" s="53"/>
      <c r="E18" s="53"/>
      <c r="F18" s="53"/>
      <c r="G18" s="53"/>
      <c r="H18" s="53"/>
      <c r="I18" s="53"/>
      <c r="J18" s="53"/>
      <c r="L18" s="170" t="s">
        <v>92</v>
      </c>
      <c r="M18" s="170"/>
      <c r="N18" s="170"/>
      <c r="P18" s="11" t="s">
        <v>93</v>
      </c>
      <c r="Q18" s="14">
        <f>'Animal Data - Granja Silva'!D50</f>
        <v>245</v>
      </c>
      <c r="R18" s="14">
        <f>'Animal Data - Granja Silva'!E50</f>
        <v>366</v>
      </c>
      <c r="S18" s="13">
        <f t="shared" si="2"/>
        <v>305.5</v>
      </c>
      <c r="U18" s="53"/>
      <c r="V18" s="53"/>
      <c r="W18" s="53"/>
    </row>
    <row r="19" spans="2:23" ht="15.75" x14ac:dyDescent="0.25">
      <c r="B19" s="53"/>
      <c r="C19" s="53"/>
      <c r="D19" s="53"/>
      <c r="E19" s="53"/>
      <c r="F19" s="53"/>
      <c r="G19" s="53"/>
      <c r="H19" s="53"/>
      <c r="I19" s="53"/>
      <c r="J19" s="53"/>
      <c r="L19" s="59" t="s">
        <v>87</v>
      </c>
      <c r="M19" s="29">
        <v>0.48</v>
      </c>
      <c r="N19" s="29" t="s">
        <v>94</v>
      </c>
      <c r="P19" s="11" t="s">
        <v>30</v>
      </c>
      <c r="Q19" s="14">
        <f>'Animal Data - Granja Silva'!D51</f>
        <v>27.100918582882585</v>
      </c>
      <c r="R19" s="14">
        <f>'Animal Data - Granja Silva'!E51</f>
        <v>28.377552668333696</v>
      </c>
      <c r="S19" s="13">
        <f t="shared" si="2"/>
        <v>27.739235625608138</v>
      </c>
      <c r="U19" s="53"/>
      <c r="V19" s="53"/>
      <c r="W19" s="53"/>
    </row>
    <row r="20" spans="2:23" ht="15.75" x14ac:dyDescent="0.25">
      <c r="B20" s="53"/>
      <c r="C20" s="53"/>
      <c r="D20" s="53"/>
      <c r="E20" s="53"/>
      <c r="F20" s="53"/>
      <c r="G20" s="53"/>
      <c r="H20" s="53"/>
      <c r="I20" s="53"/>
      <c r="J20" s="53"/>
      <c r="L20" s="59" t="s">
        <v>89</v>
      </c>
      <c r="M20" s="29">
        <v>0.45</v>
      </c>
      <c r="N20" s="29" t="s">
        <v>94</v>
      </c>
      <c r="P20" s="11" t="s">
        <v>95</v>
      </c>
      <c r="Q20" s="14">
        <f>'Animal Data - Granja Silva'!D52</f>
        <v>0</v>
      </c>
      <c r="R20" s="14">
        <f>'Animal Data - Granja Silva'!E52</f>
        <v>0</v>
      </c>
      <c r="S20" s="13">
        <f t="shared" si="2"/>
        <v>0</v>
      </c>
      <c r="U20" s="53"/>
      <c r="V20" s="53"/>
      <c r="W20" s="53"/>
    </row>
    <row r="21" spans="2:23" ht="15.75" x14ac:dyDescent="0.25">
      <c r="B21" s="53"/>
      <c r="C21" s="53"/>
      <c r="D21" s="53"/>
      <c r="E21" s="53"/>
      <c r="F21" s="53"/>
      <c r="G21" s="53"/>
      <c r="H21" s="53"/>
      <c r="I21" s="53"/>
      <c r="J21" s="53"/>
      <c r="L21" s="59" t="s">
        <v>90</v>
      </c>
      <c r="M21" s="29">
        <v>0.45</v>
      </c>
      <c r="N21" s="29" t="s">
        <v>94</v>
      </c>
      <c r="P21" s="11" t="s">
        <v>24</v>
      </c>
      <c r="Q21" s="14">
        <f>'Animal Data - Granja Silva'!D53</f>
        <v>0</v>
      </c>
      <c r="R21" s="14">
        <f>'Animal Data - Granja Silva'!E53</f>
        <v>0</v>
      </c>
      <c r="S21" s="13">
        <f t="shared" si="2"/>
        <v>0</v>
      </c>
      <c r="U21" s="53"/>
      <c r="V21" s="53"/>
      <c r="W21" s="53"/>
    </row>
    <row r="22" spans="2:23" ht="15.75" x14ac:dyDescent="0.25">
      <c r="B22" s="53"/>
      <c r="C22" s="53"/>
      <c r="D22" s="53"/>
      <c r="E22" s="53"/>
      <c r="F22" s="53"/>
      <c r="G22" s="53"/>
      <c r="H22" s="53"/>
      <c r="I22" s="53"/>
      <c r="J22" s="53"/>
      <c r="L22" s="59" t="s">
        <v>91</v>
      </c>
      <c r="M22" s="29">
        <v>0.28999999999999998</v>
      </c>
      <c r="N22" s="29" t="s">
        <v>94</v>
      </c>
      <c r="P22" s="148" t="s">
        <v>96</v>
      </c>
      <c r="Q22" s="148"/>
      <c r="R22" s="148"/>
      <c r="S22" s="148"/>
      <c r="U22" s="53"/>
      <c r="V22" s="53"/>
      <c r="W22" s="53"/>
    </row>
    <row r="23" spans="2:23" x14ac:dyDescent="0.25">
      <c r="B23" s="53"/>
      <c r="C23" s="53"/>
      <c r="D23" s="53"/>
      <c r="E23" s="53"/>
      <c r="F23" s="53"/>
      <c r="G23" s="53"/>
      <c r="H23" s="53"/>
      <c r="I23" s="53"/>
      <c r="J23" s="53"/>
      <c r="L23" s="170" t="s">
        <v>97</v>
      </c>
      <c r="M23" s="170"/>
      <c r="N23" s="170"/>
      <c r="P23" s="52" t="s">
        <v>76</v>
      </c>
      <c r="Q23" s="26">
        <v>2019</v>
      </c>
      <c r="R23" s="26">
        <v>2020</v>
      </c>
      <c r="S23" s="26" t="s">
        <v>77</v>
      </c>
      <c r="U23" s="53"/>
      <c r="V23" s="53"/>
      <c r="W23" s="53"/>
    </row>
    <row r="24" spans="2:23" x14ac:dyDescent="0.25">
      <c r="B24" s="53"/>
      <c r="C24" s="53"/>
      <c r="D24" s="53"/>
      <c r="E24" s="53"/>
      <c r="F24" s="53"/>
      <c r="G24" s="53"/>
      <c r="H24" s="53"/>
      <c r="I24" s="53"/>
      <c r="J24" s="53"/>
      <c r="L24" s="59" t="s">
        <v>87</v>
      </c>
      <c r="M24" s="29">
        <v>198</v>
      </c>
      <c r="N24" s="29" t="s">
        <v>98</v>
      </c>
      <c r="P24" s="11" t="s">
        <v>26</v>
      </c>
      <c r="Q24" s="45">
        <f>Q15*(Q6/365)</f>
        <v>0</v>
      </c>
      <c r="R24" s="45">
        <f>R15*(R6/365)</f>
        <v>0</v>
      </c>
      <c r="S24" s="13">
        <f t="shared" ref="S24:S30" si="3">AVERAGE(Q24:R24)</f>
        <v>0</v>
      </c>
      <c r="U24" s="53"/>
      <c r="V24" s="53"/>
      <c r="W24" s="53"/>
    </row>
    <row r="25" spans="2:23" x14ac:dyDescent="0.25">
      <c r="B25" s="53"/>
      <c r="C25" s="53"/>
      <c r="D25" s="53"/>
      <c r="E25" s="53"/>
      <c r="F25" s="53"/>
      <c r="G25" s="53"/>
      <c r="H25" s="53"/>
      <c r="I25" s="53"/>
      <c r="J25" s="53"/>
      <c r="L25" s="59" t="s">
        <v>89</v>
      </c>
      <c r="M25" s="29">
        <v>198</v>
      </c>
      <c r="N25" s="29" t="s">
        <v>98</v>
      </c>
      <c r="P25" s="11" t="s">
        <v>27</v>
      </c>
      <c r="Q25" s="45">
        <f t="shared" ref="Q25:R30" si="4">Q16*(Q7/365)</f>
        <v>260.43835616438361</v>
      </c>
      <c r="R25" s="45">
        <f t="shared" si="4"/>
        <v>389.06301369863019</v>
      </c>
      <c r="S25" s="13">
        <f t="shared" si="3"/>
        <v>324.7506849315069</v>
      </c>
      <c r="U25" s="53"/>
      <c r="V25" s="53"/>
      <c r="W25" s="53"/>
    </row>
    <row r="26" spans="2:23" ht="12.75" customHeight="1" x14ac:dyDescent="0.25">
      <c r="B26" s="53"/>
      <c r="C26" s="53"/>
      <c r="D26" s="53"/>
      <c r="E26" s="53"/>
      <c r="F26" s="53"/>
      <c r="G26" s="53"/>
      <c r="H26" s="53"/>
      <c r="I26" s="53"/>
      <c r="J26" s="53"/>
      <c r="L26" s="59" t="s">
        <v>90</v>
      </c>
      <c r="M26" s="29">
        <v>180</v>
      </c>
      <c r="N26" s="29" t="s">
        <v>98</v>
      </c>
      <c r="P26" s="11" t="s">
        <v>56</v>
      </c>
      <c r="Q26" s="45">
        <f t="shared" si="4"/>
        <v>0</v>
      </c>
      <c r="R26" s="45">
        <f t="shared" si="4"/>
        <v>0</v>
      </c>
      <c r="S26" s="13">
        <f t="shared" si="3"/>
        <v>0</v>
      </c>
      <c r="U26" s="53"/>
      <c r="V26" s="53"/>
      <c r="W26" s="53"/>
    </row>
    <row r="27" spans="2:23" ht="12.75" customHeight="1" x14ac:dyDescent="0.25">
      <c r="B27" s="53"/>
      <c r="C27" s="53"/>
      <c r="D27" s="53"/>
      <c r="E27" s="53"/>
      <c r="F27" s="53"/>
      <c r="G27" s="53"/>
      <c r="H27" s="53"/>
      <c r="I27" s="53"/>
      <c r="J27" s="53"/>
      <c r="L27" s="59" t="s">
        <v>91</v>
      </c>
      <c r="M27" s="29">
        <v>28</v>
      </c>
      <c r="N27" s="29" t="s">
        <v>98</v>
      </c>
      <c r="P27" s="11" t="s">
        <v>93</v>
      </c>
      <c r="Q27" s="45">
        <f t="shared" si="4"/>
        <v>2.6849315068493151</v>
      </c>
      <c r="R27" s="45">
        <f t="shared" si="4"/>
        <v>4.0109589041095894</v>
      </c>
      <c r="S27" s="13">
        <f t="shared" si="3"/>
        <v>3.3479452054794523</v>
      </c>
      <c r="U27" s="53"/>
      <c r="V27" s="53"/>
      <c r="W27" s="53"/>
    </row>
    <row r="28" spans="2:23" x14ac:dyDescent="0.25">
      <c r="B28" s="53"/>
      <c r="C28" s="53"/>
      <c r="D28" s="53"/>
      <c r="E28" s="53"/>
      <c r="F28" s="53"/>
      <c r="G28" s="53"/>
      <c r="H28" s="53"/>
      <c r="I28" s="53"/>
      <c r="J28" s="53"/>
      <c r="L28" s="170" t="s">
        <v>99</v>
      </c>
      <c r="M28" s="170"/>
      <c r="N28" s="170"/>
      <c r="P28" s="11" t="s">
        <v>30</v>
      </c>
      <c r="Q28" s="45">
        <f t="shared" si="4"/>
        <v>388.67702544031306</v>
      </c>
      <c r="R28" s="45">
        <f t="shared" si="4"/>
        <v>625.83776908023492</v>
      </c>
      <c r="S28" s="13">
        <f t="shared" si="3"/>
        <v>507.25739726027399</v>
      </c>
      <c r="U28" s="53"/>
      <c r="V28" s="53"/>
      <c r="W28" s="53"/>
    </row>
    <row r="29" spans="2:23" x14ac:dyDescent="0.25">
      <c r="B29" s="53"/>
      <c r="C29" s="53"/>
      <c r="D29" s="53"/>
      <c r="E29" s="53"/>
      <c r="F29" s="53"/>
      <c r="G29" s="53"/>
      <c r="H29" s="53"/>
      <c r="I29" s="53"/>
      <c r="J29" s="53"/>
      <c r="L29" s="52" t="s">
        <v>67</v>
      </c>
      <c r="M29" s="26" t="s">
        <v>68</v>
      </c>
      <c r="N29" s="26" t="s">
        <v>69</v>
      </c>
      <c r="P29" s="11" t="s">
        <v>95</v>
      </c>
      <c r="Q29" s="45">
        <f t="shared" si="4"/>
        <v>0</v>
      </c>
      <c r="R29" s="45">
        <f t="shared" si="4"/>
        <v>0</v>
      </c>
      <c r="S29" s="13">
        <f t="shared" si="3"/>
        <v>0</v>
      </c>
      <c r="U29" s="53"/>
      <c r="V29" s="53"/>
      <c r="W29" s="53"/>
    </row>
    <row r="30" spans="2:23" x14ac:dyDescent="0.25">
      <c r="B30" s="53"/>
      <c r="C30" s="53"/>
      <c r="D30" s="53"/>
      <c r="E30" s="53"/>
      <c r="F30" s="53"/>
      <c r="G30" s="53"/>
      <c r="H30" s="53"/>
      <c r="I30" s="53"/>
      <c r="J30" s="53"/>
      <c r="L30" s="170" t="s">
        <v>85</v>
      </c>
      <c r="M30" s="170"/>
      <c r="N30" s="170"/>
      <c r="P30" s="11" t="s">
        <v>24</v>
      </c>
      <c r="Q30" s="45">
        <f t="shared" si="4"/>
        <v>0</v>
      </c>
      <c r="R30" s="45">
        <f t="shared" si="4"/>
        <v>0</v>
      </c>
      <c r="S30" s="13">
        <f t="shared" si="3"/>
        <v>0</v>
      </c>
      <c r="U30" s="53"/>
      <c r="V30" s="53"/>
      <c r="W30" s="53"/>
    </row>
    <row r="31" spans="2:23" ht="15.75" x14ac:dyDescent="0.25">
      <c r="C31" s="53"/>
      <c r="D31" s="53"/>
      <c r="E31" s="53"/>
      <c r="F31" s="53"/>
      <c r="G31" s="53"/>
      <c r="H31" s="53"/>
      <c r="I31" s="53"/>
      <c r="J31" s="53"/>
      <c r="L31" s="60" t="s">
        <v>87</v>
      </c>
      <c r="M31" s="61">
        <v>0.27</v>
      </c>
      <c r="N31" s="61" t="s">
        <v>88</v>
      </c>
      <c r="P31" s="148" t="s">
        <v>100</v>
      </c>
      <c r="Q31" s="148"/>
      <c r="R31" s="148"/>
      <c r="S31" s="148"/>
      <c r="U31" s="53"/>
      <c r="V31" s="53"/>
      <c r="W31" s="53"/>
    </row>
    <row r="32" spans="2:23" x14ac:dyDescent="0.25">
      <c r="C32" s="53"/>
      <c r="D32" s="53"/>
      <c r="E32" s="53"/>
      <c r="F32" s="53"/>
      <c r="G32" s="53"/>
      <c r="H32" s="53"/>
      <c r="I32" s="53"/>
      <c r="J32" s="53"/>
      <c r="L32" s="60" t="s">
        <v>89</v>
      </c>
      <c r="M32" s="61">
        <v>0.3</v>
      </c>
      <c r="N32" s="61" t="s">
        <v>88</v>
      </c>
      <c r="P32" s="52" t="s">
        <v>76</v>
      </c>
      <c r="Q32" s="26">
        <v>2019</v>
      </c>
      <c r="R32" s="26">
        <v>2020</v>
      </c>
      <c r="S32" s="26" t="s">
        <v>77</v>
      </c>
      <c r="U32" s="53"/>
      <c r="V32" s="53"/>
      <c r="W32" s="53"/>
    </row>
    <row r="33" spans="3:25" x14ac:dyDescent="0.25">
      <c r="C33" s="53"/>
      <c r="D33" s="53"/>
      <c r="E33" s="53"/>
      <c r="F33" s="53"/>
      <c r="G33" s="53"/>
      <c r="H33" s="53"/>
      <c r="I33" s="53"/>
      <c r="J33" s="53"/>
      <c r="L33" s="60" t="s">
        <v>90</v>
      </c>
      <c r="M33" s="61">
        <v>0.3</v>
      </c>
      <c r="N33" s="61" t="s">
        <v>88</v>
      </c>
      <c r="P33" s="11" t="s">
        <v>101</v>
      </c>
      <c r="Q33" s="14">
        <f>'Animal Data - Granja Silva'!D54</f>
        <v>0</v>
      </c>
      <c r="R33" s="14">
        <f>'Animal Data - Granja Silva'!E54</f>
        <v>0</v>
      </c>
      <c r="S33" s="13">
        <f t="shared" ref="S33:S39" si="5">AVERAGE(Q33:R33)</f>
        <v>0</v>
      </c>
      <c r="U33" s="53"/>
      <c r="V33" s="53"/>
      <c r="W33" s="53"/>
    </row>
    <row r="34" spans="3:25" ht="14.25" customHeight="1" x14ac:dyDescent="0.25">
      <c r="C34" s="53"/>
      <c r="D34" s="53"/>
      <c r="E34" s="53"/>
      <c r="F34" s="53"/>
      <c r="G34" s="53"/>
      <c r="H34" s="53"/>
      <c r="I34" s="53"/>
      <c r="J34" s="53"/>
      <c r="L34" s="60" t="s">
        <v>91</v>
      </c>
      <c r="M34" s="61">
        <v>0.3</v>
      </c>
      <c r="N34" s="61" t="s">
        <v>88</v>
      </c>
      <c r="P34" s="11" t="s">
        <v>27</v>
      </c>
      <c r="Q34" s="14">
        <f>'Animal Data - Granja Silva'!D55</f>
        <v>28</v>
      </c>
      <c r="R34" s="14">
        <f>'Animal Data - Granja Silva'!E55</f>
        <v>28</v>
      </c>
      <c r="S34" s="13">
        <f t="shared" si="5"/>
        <v>28</v>
      </c>
      <c r="U34" s="53"/>
      <c r="V34" s="53"/>
      <c r="W34" s="53"/>
    </row>
    <row r="35" spans="3:25" ht="12.75" customHeight="1" x14ac:dyDescent="0.25">
      <c r="C35" s="53"/>
      <c r="D35" s="53"/>
      <c r="E35" s="53"/>
      <c r="F35" s="53"/>
      <c r="G35" s="53"/>
      <c r="H35" s="53"/>
      <c r="I35" s="53"/>
      <c r="J35" s="53"/>
      <c r="L35" s="170" t="s">
        <v>92</v>
      </c>
      <c r="M35" s="170"/>
      <c r="N35" s="170"/>
      <c r="P35" s="11" t="s">
        <v>56</v>
      </c>
      <c r="Q35" s="14">
        <f>'Animal Data - Granja Silva'!D56</f>
        <v>0</v>
      </c>
      <c r="R35" s="14">
        <f>'Animal Data - Granja Silva'!E56</f>
        <v>0</v>
      </c>
      <c r="S35" s="13">
        <f t="shared" si="5"/>
        <v>0</v>
      </c>
      <c r="U35" s="53"/>
      <c r="V35" s="53"/>
      <c r="W35" s="53"/>
    </row>
    <row r="36" spans="3:25" ht="15.75" x14ac:dyDescent="0.25">
      <c r="C36" s="53"/>
      <c r="D36" s="53"/>
      <c r="E36" s="53"/>
      <c r="F36" s="53"/>
      <c r="G36" s="53"/>
      <c r="H36" s="53"/>
      <c r="I36" s="53"/>
      <c r="J36" s="53"/>
      <c r="L36" s="60" t="s">
        <v>87</v>
      </c>
      <c r="M36" s="61">
        <v>0.48</v>
      </c>
      <c r="N36" s="29" t="s">
        <v>94</v>
      </c>
      <c r="P36" s="11" t="s">
        <v>93</v>
      </c>
      <c r="Q36" s="14">
        <f>'Animal Data - Granja Silva'!D57</f>
        <v>28</v>
      </c>
      <c r="R36" s="14">
        <f>'Animal Data - Granja Silva'!E57</f>
        <v>28</v>
      </c>
      <c r="S36" s="13">
        <f t="shared" si="5"/>
        <v>28</v>
      </c>
      <c r="U36" s="53"/>
      <c r="V36" s="53"/>
      <c r="W36" s="53"/>
      <c r="X36" s="53"/>
      <c r="Y36" s="53"/>
    </row>
    <row r="37" spans="3:25" ht="15" customHeight="1" x14ac:dyDescent="0.25">
      <c r="C37" s="53"/>
      <c r="D37" s="53"/>
      <c r="E37" s="53"/>
      <c r="F37" s="53"/>
      <c r="G37" s="53"/>
      <c r="H37" s="53"/>
      <c r="I37" s="53"/>
      <c r="J37" s="53"/>
      <c r="L37" s="60" t="s">
        <v>89</v>
      </c>
      <c r="M37" s="61">
        <v>0.45</v>
      </c>
      <c r="N37" s="29" t="s">
        <v>94</v>
      </c>
      <c r="P37" s="11" t="s">
        <v>102</v>
      </c>
      <c r="Q37" s="38">
        <f>'Animal Data - Granja Silva'!D58</f>
        <v>4.2499999999999991</v>
      </c>
      <c r="R37" s="38">
        <f>'Animal Data - Granja Silva'!E58</f>
        <v>4.25</v>
      </c>
      <c r="S37" s="9">
        <f t="shared" si="5"/>
        <v>4.25</v>
      </c>
      <c r="U37" s="53"/>
      <c r="V37" s="53"/>
      <c r="W37" s="53"/>
      <c r="X37" s="53"/>
      <c r="Y37" s="53"/>
    </row>
    <row r="38" spans="3:25" ht="15.75" x14ac:dyDescent="0.25">
      <c r="C38" s="53"/>
      <c r="D38" s="53"/>
      <c r="E38" s="53"/>
      <c r="F38" s="53"/>
      <c r="G38" s="53"/>
      <c r="H38" s="53"/>
      <c r="I38" s="53"/>
      <c r="J38" s="53"/>
      <c r="L38" s="60" t="s">
        <v>90</v>
      </c>
      <c r="M38" s="61">
        <v>0.45</v>
      </c>
      <c r="N38" s="29" t="s">
        <v>94</v>
      </c>
      <c r="P38" s="11" t="s">
        <v>78</v>
      </c>
      <c r="Q38" s="14">
        <f>'Animal Data - Granja Silva'!D59</f>
        <v>0</v>
      </c>
      <c r="R38" s="14">
        <f>'Animal Data - Granja Silva'!E59</f>
        <v>0</v>
      </c>
      <c r="S38" s="13">
        <f t="shared" si="5"/>
        <v>0</v>
      </c>
      <c r="U38" s="53"/>
      <c r="V38" s="53"/>
      <c r="W38" s="53"/>
      <c r="X38" s="53"/>
      <c r="Y38" s="53"/>
    </row>
    <row r="39" spans="3:25" ht="15.75" x14ac:dyDescent="0.25">
      <c r="C39" s="53"/>
      <c r="D39" s="53"/>
      <c r="E39" s="53"/>
      <c r="F39" s="53"/>
      <c r="G39" s="53"/>
      <c r="H39" s="53"/>
      <c r="I39" s="53"/>
      <c r="J39" s="53"/>
      <c r="L39" s="60" t="s">
        <v>91</v>
      </c>
      <c r="M39" s="61">
        <v>0.28999999999999998</v>
      </c>
      <c r="N39" s="29" t="s">
        <v>94</v>
      </c>
      <c r="P39" s="11" t="s">
        <v>24</v>
      </c>
      <c r="Q39" s="14">
        <f>'Animal Data - Granja Silva'!D60</f>
        <v>0</v>
      </c>
      <c r="R39" s="14">
        <f>'Animal Data - Granja Silva'!E60</f>
        <v>0</v>
      </c>
      <c r="S39" s="13">
        <f t="shared" si="5"/>
        <v>0</v>
      </c>
      <c r="U39" s="53"/>
    </row>
    <row r="40" spans="3:25" ht="32.25" customHeight="1" x14ac:dyDescent="0.25">
      <c r="C40" s="53"/>
      <c r="D40" s="53"/>
      <c r="E40" s="53"/>
      <c r="F40" s="53"/>
      <c r="G40" s="53"/>
      <c r="H40" s="53"/>
      <c r="I40" s="53"/>
      <c r="J40" s="53"/>
      <c r="L40" s="170" t="s">
        <v>97</v>
      </c>
      <c r="M40" s="170"/>
      <c r="N40" s="170"/>
      <c r="P40" s="170" t="s">
        <v>103</v>
      </c>
      <c r="Q40" s="170"/>
      <c r="R40" s="170"/>
      <c r="S40" s="170"/>
      <c r="U40" s="53"/>
      <c r="V40" s="53"/>
      <c r="W40" s="53"/>
    </row>
    <row r="41" spans="3:25" x14ac:dyDescent="0.25">
      <c r="C41" s="53"/>
      <c r="D41" s="53"/>
      <c r="E41" s="53"/>
      <c r="F41" s="53"/>
      <c r="G41" s="53"/>
      <c r="H41" s="53"/>
      <c r="I41" s="53"/>
      <c r="J41" s="53"/>
      <c r="L41" s="60" t="s">
        <v>87</v>
      </c>
      <c r="M41" s="61">
        <v>46</v>
      </c>
      <c r="N41" s="61" t="s">
        <v>98</v>
      </c>
      <c r="P41" s="52" t="s">
        <v>76</v>
      </c>
      <c r="Q41" s="26">
        <v>2019</v>
      </c>
      <c r="R41" s="26">
        <v>2020</v>
      </c>
      <c r="S41" s="26" t="s">
        <v>77</v>
      </c>
      <c r="U41" s="53"/>
      <c r="V41" s="53"/>
      <c r="W41" s="53"/>
    </row>
    <row r="42" spans="3:25" x14ac:dyDescent="0.25">
      <c r="L42" s="60" t="s">
        <v>89</v>
      </c>
      <c r="M42" s="61">
        <v>50</v>
      </c>
      <c r="N42" s="61" t="s">
        <v>98</v>
      </c>
      <c r="P42" s="11" t="s">
        <v>101</v>
      </c>
      <c r="Q42" s="45">
        <f>(Q33/$M$27)*$M$17*Q$51</f>
        <v>0</v>
      </c>
      <c r="R42" s="45">
        <f>(R33/$M$27)*$M$17*R$51</f>
        <v>0</v>
      </c>
      <c r="S42" s="64">
        <f t="shared" ref="S42:S48" si="6">AVERAGE(Q42:R42)</f>
        <v>0</v>
      </c>
      <c r="U42" s="53"/>
      <c r="V42" s="53"/>
      <c r="W42" s="53"/>
    </row>
    <row r="43" spans="3:25" x14ac:dyDescent="0.25">
      <c r="L43" s="60" t="s">
        <v>90</v>
      </c>
      <c r="M43" s="61">
        <v>50</v>
      </c>
      <c r="N43" s="61" t="s">
        <v>98</v>
      </c>
      <c r="P43" s="11" t="s">
        <v>27</v>
      </c>
      <c r="Q43" s="45">
        <f>(Q34/$M$27)*$M$17*Q$52</f>
        <v>73.5</v>
      </c>
      <c r="R43" s="45">
        <f>(R34/$M$27)*$M$17*R$52</f>
        <v>109.8</v>
      </c>
      <c r="S43" s="64">
        <f t="shared" si="6"/>
        <v>91.65</v>
      </c>
      <c r="U43" s="53"/>
      <c r="V43" s="53"/>
      <c r="W43" s="53"/>
    </row>
    <row r="44" spans="3:25" x14ac:dyDescent="0.25">
      <c r="L44" s="60" t="s">
        <v>91</v>
      </c>
      <c r="M44" s="61">
        <v>28</v>
      </c>
      <c r="N44" s="61" t="s">
        <v>98</v>
      </c>
      <c r="P44" s="11" t="s">
        <v>56</v>
      </c>
      <c r="Q44" s="45">
        <f>(Q35/$M$27)*$M$17*Q$52</f>
        <v>0</v>
      </c>
      <c r="R44" s="45">
        <f>(R35/$M$27)*$M$17*R$52</f>
        <v>0</v>
      </c>
      <c r="S44" s="64">
        <f t="shared" si="6"/>
        <v>0</v>
      </c>
    </row>
    <row r="45" spans="3:25" x14ac:dyDescent="0.25">
      <c r="P45" s="11" t="s">
        <v>93</v>
      </c>
      <c r="Q45" s="45">
        <f>(Q36/$M$27)*$M$17*Q$53</f>
        <v>73.5</v>
      </c>
      <c r="R45" s="45">
        <f>(R36/$M$27)*$M$17*R$53</f>
        <v>109.8</v>
      </c>
      <c r="S45" s="64">
        <f t="shared" si="6"/>
        <v>91.65</v>
      </c>
    </row>
    <row r="46" spans="3:25" x14ac:dyDescent="0.25">
      <c r="P46" s="11" t="s">
        <v>102</v>
      </c>
      <c r="Q46" s="45">
        <f t="shared" ref="Q46:R48" si="7">(Q37/$M$44)*$M$34*Q$51</f>
        <v>9.8812499999999961</v>
      </c>
      <c r="R46" s="45">
        <f t="shared" si="7"/>
        <v>16.119642857142857</v>
      </c>
      <c r="S46" s="64">
        <f t="shared" si="6"/>
        <v>13.000446428571426</v>
      </c>
    </row>
    <row r="47" spans="3:25" x14ac:dyDescent="0.25">
      <c r="P47" s="11" t="s">
        <v>78</v>
      </c>
      <c r="Q47" s="45">
        <f t="shared" si="7"/>
        <v>0</v>
      </c>
      <c r="R47" s="45">
        <f t="shared" si="7"/>
        <v>0</v>
      </c>
      <c r="S47" s="64">
        <f t="shared" si="6"/>
        <v>0</v>
      </c>
    </row>
    <row r="48" spans="3:25" x14ac:dyDescent="0.25">
      <c r="O48" s="53"/>
      <c r="P48" s="11" t="s">
        <v>24</v>
      </c>
      <c r="Q48" s="64">
        <f t="shared" si="7"/>
        <v>0</v>
      </c>
      <c r="R48" s="64">
        <f t="shared" si="7"/>
        <v>0</v>
      </c>
      <c r="S48" s="64">
        <f t="shared" si="6"/>
        <v>0</v>
      </c>
    </row>
    <row r="49" spans="15:20" ht="15.75" x14ac:dyDescent="0.25">
      <c r="O49" s="53"/>
      <c r="P49" s="148" t="s">
        <v>104</v>
      </c>
      <c r="Q49" s="148"/>
      <c r="R49" s="148"/>
      <c r="S49" s="148"/>
      <c r="T49" s="53"/>
    </row>
    <row r="50" spans="15:20" x14ac:dyDescent="0.25">
      <c r="O50" s="53"/>
      <c r="P50" s="52" t="s">
        <v>76</v>
      </c>
      <c r="Q50" s="26">
        <v>2019</v>
      </c>
      <c r="R50" s="26">
        <v>2020</v>
      </c>
      <c r="S50" s="26" t="s">
        <v>77</v>
      </c>
    </row>
    <row r="51" spans="15:20" x14ac:dyDescent="0.25">
      <c r="O51" s="53"/>
      <c r="P51" s="11" t="s">
        <v>30</v>
      </c>
      <c r="Q51" s="29">
        <f>('Animal Data - Granja Silva'!$D$1-'Animal Data - Granja Silva'!C5+1)</f>
        <v>217</v>
      </c>
      <c r="R51" s="29">
        <f>('Animal Data - Granja Silva'!F31-'Animal Data - Granja Silva'!$C$2+1)+('Animal Data - Granja Silva'!$D$2-'Animal Data - Granja Silva'!C32+1)</f>
        <v>354</v>
      </c>
      <c r="S51" s="13">
        <f>AVERAGE(Q51:R51)</f>
        <v>285.5</v>
      </c>
    </row>
    <row r="52" spans="15:20" x14ac:dyDescent="0.25">
      <c r="O52" s="53"/>
      <c r="P52" s="11" t="s">
        <v>27</v>
      </c>
      <c r="Q52" s="29">
        <f>('Animal Data - Granja Silva'!F40-'Animal Data - Granja Silva'!C1+1)</f>
        <v>245</v>
      </c>
      <c r="R52" s="29">
        <f>('Animal Data - Granja Silva'!F42-'Animal Data - Granja Silva'!C42+1)</f>
        <v>366</v>
      </c>
      <c r="S52" s="13">
        <f>AVERAGE(Q52:R52)</f>
        <v>305.5</v>
      </c>
    </row>
    <row r="53" spans="15:20" x14ac:dyDescent="0.25">
      <c r="O53" s="53"/>
      <c r="P53" s="11" t="s">
        <v>93</v>
      </c>
      <c r="Q53" s="29">
        <f>('Animal Data - Granja Silva'!F41-'Animal Data - Granja Silva'!C1+1)</f>
        <v>245</v>
      </c>
      <c r="R53" s="29">
        <f>('Animal Data - Granja Silva'!F43-'Animal Data - Granja Silva'!C43+1)</f>
        <v>366</v>
      </c>
      <c r="S53" s="13">
        <f>AVERAGE(Q53:R53)</f>
        <v>305.5</v>
      </c>
    </row>
    <row r="54" spans="15:20" x14ac:dyDescent="0.25">
      <c r="O54" s="53"/>
      <c r="P54" s="53"/>
      <c r="Q54" s="53"/>
      <c r="R54" s="53"/>
      <c r="S54" s="53"/>
    </row>
    <row r="55" spans="15:20" x14ac:dyDescent="0.25">
      <c r="O55" s="53"/>
      <c r="P55" s="53"/>
      <c r="Q55" s="53"/>
      <c r="R55" s="53"/>
      <c r="S55" s="53"/>
    </row>
    <row r="56" spans="15:20" x14ac:dyDescent="0.25">
      <c r="O56" s="53"/>
      <c r="P56" s="53"/>
      <c r="Q56" s="53"/>
      <c r="R56" s="53"/>
      <c r="S56" s="53"/>
    </row>
    <row r="57" spans="15:20" x14ac:dyDescent="0.25">
      <c r="O57" s="53"/>
    </row>
    <row r="58" spans="15:20" x14ac:dyDescent="0.25">
      <c r="O58" s="53"/>
    </row>
    <row r="59" spans="15:20" x14ac:dyDescent="0.25">
      <c r="O59" s="53"/>
    </row>
    <row r="60" spans="15:20" x14ac:dyDescent="0.25">
      <c r="O60" s="53"/>
    </row>
    <row r="61" spans="15:20" x14ac:dyDescent="0.25">
      <c r="O61" s="53"/>
    </row>
    <row r="62" spans="15:20" x14ac:dyDescent="0.25">
      <c r="O62" s="53"/>
    </row>
    <row r="63" spans="15:20" x14ac:dyDescent="0.25">
      <c r="O63" s="53"/>
    </row>
    <row r="64" spans="15:20" x14ac:dyDescent="0.25">
      <c r="O64" s="53"/>
    </row>
    <row r="65" spans="15:15" x14ac:dyDescent="0.25">
      <c r="O65" s="53"/>
    </row>
    <row r="66" spans="15:15" x14ac:dyDescent="0.25">
      <c r="O66" s="53"/>
    </row>
    <row r="67" spans="15:15" x14ac:dyDescent="0.25">
      <c r="O67" s="53"/>
    </row>
    <row r="68" spans="15:15" x14ac:dyDescent="0.25">
      <c r="O68" s="53"/>
    </row>
    <row r="69" spans="15:15" x14ac:dyDescent="0.25">
      <c r="O69" s="53"/>
    </row>
    <row r="70" spans="15:15" x14ac:dyDescent="0.25">
      <c r="O70" s="53"/>
    </row>
    <row r="71" spans="15:15" x14ac:dyDescent="0.25">
      <c r="O71" s="53"/>
    </row>
    <row r="72" spans="15:15" x14ac:dyDescent="0.25">
      <c r="O72" s="53"/>
    </row>
    <row r="73" spans="15:15" x14ac:dyDescent="0.25">
      <c r="O73" s="53"/>
    </row>
    <row r="74" spans="15:15" x14ac:dyDescent="0.25">
      <c r="O74" s="53"/>
    </row>
    <row r="75" spans="15:15" x14ac:dyDescent="0.25">
      <c r="O75" s="53"/>
    </row>
  </sheetData>
  <mergeCells count="19">
    <mergeCell ref="P49:S49"/>
    <mergeCell ref="L28:N28"/>
    <mergeCell ref="L30:N30"/>
    <mergeCell ref="P31:S31"/>
    <mergeCell ref="L35:N35"/>
    <mergeCell ref="L40:N40"/>
    <mergeCell ref="P40:S40"/>
    <mergeCell ref="L23:N23"/>
    <mergeCell ref="B2:J2"/>
    <mergeCell ref="L2:N2"/>
    <mergeCell ref="P2:S2"/>
    <mergeCell ref="P4:S4"/>
    <mergeCell ref="B5:J5"/>
    <mergeCell ref="L10:N10"/>
    <mergeCell ref="L11:N11"/>
    <mergeCell ref="L13:N13"/>
    <mergeCell ref="P13:S13"/>
    <mergeCell ref="L18:N18"/>
    <mergeCell ref="P22:S22"/>
  </mergeCells>
  <pageMargins left="0.511811024" right="0.511811024" top="0.78740157499999996" bottom="0.78740157499999996" header="0.31496062000000002" footer="0.31496062000000002"/>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FFCFA-CD08-45A2-87C7-AF77EEF7DABA}">
  <sheetPr>
    <tabColor rgb="FFC2D7E0"/>
  </sheetPr>
  <dimension ref="A1:P60"/>
  <sheetViews>
    <sheetView showGridLines="0" zoomScale="80" zoomScaleNormal="80" workbookViewId="0">
      <selection activeCell="B1" sqref="B1"/>
    </sheetView>
  </sheetViews>
  <sheetFormatPr defaultRowHeight="14.25" x14ac:dyDescent="0.25"/>
  <cols>
    <col min="1" max="1" width="3.140625" style="65" customWidth="1"/>
    <col min="2" max="2" width="19.85546875" style="65" customWidth="1"/>
    <col min="3" max="5" width="22.5703125" style="65" customWidth="1"/>
    <col min="6" max="6" width="28.140625" style="65" customWidth="1"/>
    <col min="7" max="7" width="16.85546875" style="65" customWidth="1"/>
    <col min="8" max="8" width="22.5703125" style="65" customWidth="1"/>
    <col min="9" max="9" width="19.42578125" style="65" customWidth="1"/>
    <col min="10" max="13" width="22.5703125" style="65" customWidth="1"/>
    <col min="14" max="14" width="19.42578125" style="65" customWidth="1"/>
    <col min="15" max="15" width="14" style="65" customWidth="1"/>
    <col min="16" max="16" width="21.42578125" style="65" customWidth="1"/>
    <col min="17" max="256" width="9.140625" style="65"/>
    <col min="257" max="257" width="3.140625" style="65" customWidth="1"/>
    <col min="258" max="258" width="19.85546875" style="65" customWidth="1"/>
    <col min="259" max="261" width="22.5703125" style="65" customWidth="1"/>
    <col min="262" max="262" width="28.140625" style="65" customWidth="1"/>
    <col min="263" max="263" width="16.85546875" style="65" customWidth="1"/>
    <col min="264" max="264" width="22.5703125" style="65" customWidth="1"/>
    <col min="265" max="265" width="19.42578125" style="65" customWidth="1"/>
    <col min="266" max="269" width="22.5703125" style="65" customWidth="1"/>
    <col min="270" max="270" width="19.42578125" style="65" customWidth="1"/>
    <col min="271" max="271" width="14" style="65" customWidth="1"/>
    <col min="272" max="272" width="21.42578125" style="65" customWidth="1"/>
    <col min="273" max="512" width="9.140625" style="65"/>
    <col min="513" max="513" width="3.140625" style="65" customWidth="1"/>
    <col min="514" max="514" width="19.85546875" style="65" customWidth="1"/>
    <col min="515" max="517" width="22.5703125" style="65" customWidth="1"/>
    <col min="518" max="518" width="28.140625" style="65" customWidth="1"/>
    <col min="519" max="519" width="16.85546875" style="65" customWidth="1"/>
    <col min="520" max="520" width="22.5703125" style="65" customWidth="1"/>
    <col min="521" max="521" width="19.42578125" style="65" customWidth="1"/>
    <col min="522" max="525" width="22.5703125" style="65" customWidth="1"/>
    <col min="526" max="526" width="19.42578125" style="65" customWidth="1"/>
    <col min="527" max="527" width="14" style="65" customWidth="1"/>
    <col min="528" max="528" width="21.42578125" style="65" customWidth="1"/>
    <col min="529" max="768" width="9.140625" style="65"/>
    <col min="769" max="769" width="3.140625" style="65" customWidth="1"/>
    <col min="770" max="770" width="19.85546875" style="65" customWidth="1"/>
    <col min="771" max="773" width="22.5703125" style="65" customWidth="1"/>
    <col min="774" max="774" width="28.140625" style="65" customWidth="1"/>
    <col min="775" max="775" width="16.85546875" style="65" customWidth="1"/>
    <col min="776" max="776" width="22.5703125" style="65" customWidth="1"/>
    <col min="777" max="777" width="19.42578125" style="65" customWidth="1"/>
    <col min="778" max="781" width="22.5703125" style="65" customWidth="1"/>
    <col min="782" max="782" width="19.42578125" style="65" customWidth="1"/>
    <col min="783" max="783" width="14" style="65" customWidth="1"/>
    <col min="784" max="784" width="21.42578125" style="65" customWidth="1"/>
    <col min="785" max="1024" width="9.140625" style="65"/>
    <col min="1025" max="1025" width="3.140625" style="65" customWidth="1"/>
    <col min="1026" max="1026" width="19.85546875" style="65" customWidth="1"/>
    <col min="1027" max="1029" width="22.5703125" style="65" customWidth="1"/>
    <col min="1030" max="1030" width="28.140625" style="65" customWidth="1"/>
    <col min="1031" max="1031" width="16.85546875" style="65" customWidth="1"/>
    <col min="1032" max="1032" width="22.5703125" style="65" customWidth="1"/>
    <col min="1033" max="1033" width="19.42578125" style="65" customWidth="1"/>
    <col min="1034" max="1037" width="22.5703125" style="65" customWidth="1"/>
    <col min="1038" max="1038" width="19.42578125" style="65" customWidth="1"/>
    <col min="1039" max="1039" width="14" style="65" customWidth="1"/>
    <col min="1040" max="1040" width="21.42578125" style="65" customWidth="1"/>
    <col min="1041" max="1280" width="9.140625" style="65"/>
    <col min="1281" max="1281" width="3.140625" style="65" customWidth="1"/>
    <col min="1282" max="1282" width="19.85546875" style="65" customWidth="1"/>
    <col min="1283" max="1285" width="22.5703125" style="65" customWidth="1"/>
    <col min="1286" max="1286" width="28.140625" style="65" customWidth="1"/>
    <col min="1287" max="1287" width="16.85546875" style="65" customWidth="1"/>
    <col min="1288" max="1288" width="22.5703125" style="65" customWidth="1"/>
    <col min="1289" max="1289" width="19.42578125" style="65" customWidth="1"/>
    <col min="1290" max="1293" width="22.5703125" style="65" customWidth="1"/>
    <col min="1294" max="1294" width="19.42578125" style="65" customWidth="1"/>
    <col min="1295" max="1295" width="14" style="65" customWidth="1"/>
    <col min="1296" max="1296" width="21.42578125" style="65" customWidth="1"/>
    <col min="1297" max="1536" width="9.140625" style="65"/>
    <col min="1537" max="1537" width="3.140625" style="65" customWidth="1"/>
    <col min="1538" max="1538" width="19.85546875" style="65" customWidth="1"/>
    <col min="1539" max="1541" width="22.5703125" style="65" customWidth="1"/>
    <col min="1542" max="1542" width="28.140625" style="65" customWidth="1"/>
    <col min="1543" max="1543" width="16.85546875" style="65" customWidth="1"/>
    <col min="1544" max="1544" width="22.5703125" style="65" customWidth="1"/>
    <col min="1545" max="1545" width="19.42578125" style="65" customWidth="1"/>
    <col min="1546" max="1549" width="22.5703125" style="65" customWidth="1"/>
    <col min="1550" max="1550" width="19.42578125" style="65" customWidth="1"/>
    <col min="1551" max="1551" width="14" style="65" customWidth="1"/>
    <col min="1552" max="1552" width="21.42578125" style="65" customWidth="1"/>
    <col min="1553" max="1792" width="9.140625" style="65"/>
    <col min="1793" max="1793" width="3.140625" style="65" customWidth="1"/>
    <col min="1794" max="1794" width="19.85546875" style="65" customWidth="1"/>
    <col min="1795" max="1797" width="22.5703125" style="65" customWidth="1"/>
    <col min="1798" max="1798" width="28.140625" style="65" customWidth="1"/>
    <col min="1799" max="1799" width="16.85546875" style="65" customWidth="1"/>
    <col min="1800" max="1800" width="22.5703125" style="65" customWidth="1"/>
    <col min="1801" max="1801" width="19.42578125" style="65" customWidth="1"/>
    <col min="1802" max="1805" width="22.5703125" style="65" customWidth="1"/>
    <col min="1806" max="1806" width="19.42578125" style="65" customWidth="1"/>
    <col min="1807" max="1807" width="14" style="65" customWidth="1"/>
    <col min="1808" max="1808" width="21.42578125" style="65" customWidth="1"/>
    <col min="1809" max="2048" width="9.140625" style="65"/>
    <col min="2049" max="2049" width="3.140625" style="65" customWidth="1"/>
    <col min="2050" max="2050" width="19.85546875" style="65" customWidth="1"/>
    <col min="2051" max="2053" width="22.5703125" style="65" customWidth="1"/>
    <col min="2054" max="2054" width="28.140625" style="65" customWidth="1"/>
    <col min="2055" max="2055" width="16.85546875" style="65" customWidth="1"/>
    <col min="2056" max="2056" width="22.5703125" style="65" customWidth="1"/>
    <col min="2057" max="2057" width="19.42578125" style="65" customWidth="1"/>
    <col min="2058" max="2061" width="22.5703125" style="65" customWidth="1"/>
    <col min="2062" max="2062" width="19.42578125" style="65" customWidth="1"/>
    <col min="2063" max="2063" width="14" style="65" customWidth="1"/>
    <col min="2064" max="2064" width="21.42578125" style="65" customWidth="1"/>
    <col min="2065" max="2304" width="9.140625" style="65"/>
    <col min="2305" max="2305" width="3.140625" style="65" customWidth="1"/>
    <col min="2306" max="2306" width="19.85546875" style="65" customWidth="1"/>
    <col min="2307" max="2309" width="22.5703125" style="65" customWidth="1"/>
    <col min="2310" max="2310" width="28.140625" style="65" customWidth="1"/>
    <col min="2311" max="2311" width="16.85546875" style="65" customWidth="1"/>
    <col min="2312" max="2312" width="22.5703125" style="65" customWidth="1"/>
    <col min="2313" max="2313" width="19.42578125" style="65" customWidth="1"/>
    <col min="2314" max="2317" width="22.5703125" style="65" customWidth="1"/>
    <col min="2318" max="2318" width="19.42578125" style="65" customWidth="1"/>
    <col min="2319" max="2319" width="14" style="65" customWidth="1"/>
    <col min="2320" max="2320" width="21.42578125" style="65" customWidth="1"/>
    <col min="2321" max="2560" width="9.140625" style="65"/>
    <col min="2561" max="2561" width="3.140625" style="65" customWidth="1"/>
    <col min="2562" max="2562" width="19.85546875" style="65" customWidth="1"/>
    <col min="2563" max="2565" width="22.5703125" style="65" customWidth="1"/>
    <col min="2566" max="2566" width="28.140625" style="65" customWidth="1"/>
    <col min="2567" max="2567" width="16.85546875" style="65" customWidth="1"/>
    <col min="2568" max="2568" width="22.5703125" style="65" customWidth="1"/>
    <col min="2569" max="2569" width="19.42578125" style="65" customWidth="1"/>
    <col min="2570" max="2573" width="22.5703125" style="65" customWidth="1"/>
    <col min="2574" max="2574" width="19.42578125" style="65" customWidth="1"/>
    <col min="2575" max="2575" width="14" style="65" customWidth="1"/>
    <col min="2576" max="2576" width="21.42578125" style="65" customWidth="1"/>
    <col min="2577" max="2816" width="9.140625" style="65"/>
    <col min="2817" max="2817" width="3.140625" style="65" customWidth="1"/>
    <col min="2818" max="2818" width="19.85546875" style="65" customWidth="1"/>
    <col min="2819" max="2821" width="22.5703125" style="65" customWidth="1"/>
    <col min="2822" max="2822" width="28.140625" style="65" customWidth="1"/>
    <col min="2823" max="2823" width="16.85546875" style="65" customWidth="1"/>
    <col min="2824" max="2824" width="22.5703125" style="65" customWidth="1"/>
    <col min="2825" max="2825" width="19.42578125" style="65" customWidth="1"/>
    <col min="2826" max="2829" width="22.5703125" style="65" customWidth="1"/>
    <col min="2830" max="2830" width="19.42578125" style="65" customWidth="1"/>
    <col min="2831" max="2831" width="14" style="65" customWidth="1"/>
    <col min="2832" max="2832" width="21.42578125" style="65" customWidth="1"/>
    <col min="2833" max="3072" width="9.140625" style="65"/>
    <col min="3073" max="3073" width="3.140625" style="65" customWidth="1"/>
    <col min="3074" max="3074" width="19.85546875" style="65" customWidth="1"/>
    <col min="3075" max="3077" width="22.5703125" style="65" customWidth="1"/>
    <col min="3078" max="3078" width="28.140625" style="65" customWidth="1"/>
    <col min="3079" max="3079" width="16.85546875" style="65" customWidth="1"/>
    <col min="3080" max="3080" width="22.5703125" style="65" customWidth="1"/>
    <col min="3081" max="3081" width="19.42578125" style="65" customWidth="1"/>
    <col min="3082" max="3085" width="22.5703125" style="65" customWidth="1"/>
    <col min="3086" max="3086" width="19.42578125" style="65" customWidth="1"/>
    <col min="3087" max="3087" width="14" style="65" customWidth="1"/>
    <col min="3088" max="3088" width="21.42578125" style="65" customWidth="1"/>
    <col min="3089" max="3328" width="9.140625" style="65"/>
    <col min="3329" max="3329" width="3.140625" style="65" customWidth="1"/>
    <col min="3330" max="3330" width="19.85546875" style="65" customWidth="1"/>
    <col min="3331" max="3333" width="22.5703125" style="65" customWidth="1"/>
    <col min="3334" max="3334" width="28.140625" style="65" customWidth="1"/>
    <col min="3335" max="3335" width="16.85546875" style="65" customWidth="1"/>
    <col min="3336" max="3336" width="22.5703125" style="65" customWidth="1"/>
    <col min="3337" max="3337" width="19.42578125" style="65" customWidth="1"/>
    <col min="3338" max="3341" width="22.5703125" style="65" customWidth="1"/>
    <col min="3342" max="3342" width="19.42578125" style="65" customWidth="1"/>
    <col min="3343" max="3343" width="14" style="65" customWidth="1"/>
    <col min="3344" max="3344" width="21.42578125" style="65" customWidth="1"/>
    <col min="3345" max="3584" width="9.140625" style="65"/>
    <col min="3585" max="3585" width="3.140625" style="65" customWidth="1"/>
    <col min="3586" max="3586" width="19.85546875" style="65" customWidth="1"/>
    <col min="3587" max="3589" width="22.5703125" style="65" customWidth="1"/>
    <col min="3590" max="3590" width="28.140625" style="65" customWidth="1"/>
    <col min="3591" max="3591" width="16.85546875" style="65" customWidth="1"/>
    <col min="3592" max="3592" width="22.5703125" style="65" customWidth="1"/>
    <col min="3593" max="3593" width="19.42578125" style="65" customWidth="1"/>
    <col min="3594" max="3597" width="22.5703125" style="65" customWidth="1"/>
    <col min="3598" max="3598" width="19.42578125" style="65" customWidth="1"/>
    <col min="3599" max="3599" width="14" style="65" customWidth="1"/>
    <col min="3600" max="3600" width="21.42578125" style="65" customWidth="1"/>
    <col min="3601" max="3840" width="9.140625" style="65"/>
    <col min="3841" max="3841" width="3.140625" style="65" customWidth="1"/>
    <col min="3842" max="3842" width="19.85546875" style="65" customWidth="1"/>
    <col min="3843" max="3845" width="22.5703125" style="65" customWidth="1"/>
    <col min="3846" max="3846" width="28.140625" style="65" customWidth="1"/>
    <col min="3847" max="3847" width="16.85546875" style="65" customWidth="1"/>
    <col min="3848" max="3848" width="22.5703125" style="65" customWidth="1"/>
    <col min="3849" max="3849" width="19.42578125" style="65" customWidth="1"/>
    <col min="3850" max="3853" width="22.5703125" style="65" customWidth="1"/>
    <col min="3854" max="3854" width="19.42578125" style="65" customWidth="1"/>
    <col min="3855" max="3855" width="14" style="65" customWidth="1"/>
    <col min="3856" max="3856" width="21.42578125" style="65" customWidth="1"/>
    <col min="3857" max="4096" width="9.140625" style="65"/>
    <col min="4097" max="4097" width="3.140625" style="65" customWidth="1"/>
    <col min="4098" max="4098" width="19.85546875" style="65" customWidth="1"/>
    <col min="4099" max="4101" width="22.5703125" style="65" customWidth="1"/>
    <col min="4102" max="4102" width="28.140625" style="65" customWidth="1"/>
    <col min="4103" max="4103" width="16.85546875" style="65" customWidth="1"/>
    <col min="4104" max="4104" width="22.5703125" style="65" customWidth="1"/>
    <col min="4105" max="4105" width="19.42578125" style="65" customWidth="1"/>
    <col min="4106" max="4109" width="22.5703125" style="65" customWidth="1"/>
    <col min="4110" max="4110" width="19.42578125" style="65" customWidth="1"/>
    <col min="4111" max="4111" width="14" style="65" customWidth="1"/>
    <col min="4112" max="4112" width="21.42578125" style="65" customWidth="1"/>
    <col min="4113" max="4352" width="9.140625" style="65"/>
    <col min="4353" max="4353" width="3.140625" style="65" customWidth="1"/>
    <col min="4354" max="4354" width="19.85546875" style="65" customWidth="1"/>
    <col min="4355" max="4357" width="22.5703125" style="65" customWidth="1"/>
    <col min="4358" max="4358" width="28.140625" style="65" customWidth="1"/>
    <col min="4359" max="4359" width="16.85546875" style="65" customWidth="1"/>
    <col min="4360" max="4360" width="22.5703125" style="65" customWidth="1"/>
    <col min="4361" max="4361" width="19.42578125" style="65" customWidth="1"/>
    <col min="4362" max="4365" width="22.5703125" style="65" customWidth="1"/>
    <col min="4366" max="4366" width="19.42578125" style="65" customWidth="1"/>
    <col min="4367" max="4367" width="14" style="65" customWidth="1"/>
    <col min="4368" max="4368" width="21.42578125" style="65" customWidth="1"/>
    <col min="4369" max="4608" width="9.140625" style="65"/>
    <col min="4609" max="4609" width="3.140625" style="65" customWidth="1"/>
    <col min="4610" max="4610" width="19.85546875" style="65" customWidth="1"/>
    <col min="4611" max="4613" width="22.5703125" style="65" customWidth="1"/>
    <col min="4614" max="4614" width="28.140625" style="65" customWidth="1"/>
    <col min="4615" max="4615" width="16.85546875" style="65" customWidth="1"/>
    <col min="4616" max="4616" width="22.5703125" style="65" customWidth="1"/>
    <col min="4617" max="4617" width="19.42578125" style="65" customWidth="1"/>
    <col min="4618" max="4621" width="22.5703125" style="65" customWidth="1"/>
    <col min="4622" max="4622" width="19.42578125" style="65" customWidth="1"/>
    <col min="4623" max="4623" width="14" style="65" customWidth="1"/>
    <col min="4624" max="4624" width="21.42578125" style="65" customWidth="1"/>
    <col min="4625" max="4864" width="9.140625" style="65"/>
    <col min="4865" max="4865" width="3.140625" style="65" customWidth="1"/>
    <col min="4866" max="4866" width="19.85546875" style="65" customWidth="1"/>
    <col min="4867" max="4869" width="22.5703125" style="65" customWidth="1"/>
    <col min="4870" max="4870" width="28.140625" style="65" customWidth="1"/>
    <col min="4871" max="4871" width="16.85546875" style="65" customWidth="1"/>
    <col min="4872" max="4872" width="22.5703125" style="65" customWidth="1"/>
    <col min="4873" max="4873" width="19.42578125" style="65" customWidth="1"/>
    <col min="4874" max="4877" width="22.5703125" style="65" customWidth="1"/>
    <col min="4878" max="4878" width="19.42578125" style="65" customWidth="1"/>
    <col min="4879" max="4879" width="14" style="65" customWidth="1"/>
    <col min="4880" max="4880" width="21.42578125" style="65" customWidth="1"/>
    <col min="4881" max="5120" width="9.140625" style="65"/>
    <col min="5121" max="5121" width="3.140625" style="65" customWidth="1"/>
    <col min="5122" max="5122" width="19.85546875" style="65" customWidth="1"/>
    <col min="5123" max="5125" width="22.5703125" style="65" customWidth="1"/>
    <col min="5126" max="5126" width="28.140625" style="65" customWidth="1"/>
    <col min="5127" max="5127" width="16.85546875" style="65" customWidth="1"/>
    <col min="5128" max="5128" width="22.5703125" style="65" customWidth="1"/>
    <col min="5129" max="5129" width="19.42578125" style="65" customWidth="1"/>
    <col min="5130" max="5133" width="22.5703125" style="65" customWidth="1"/>
    <col min="5134" max="5134" width="19.42578125" style="65" customWidth="1"/>
    <col min="5135" max="5135" width="14" style="65" customWidth="1"/>
    <col min="5136" max="5136" width="21.42578125" style="65" customWidth="1"/>
    <col min="5137" max="5376" width="9.140625" style="65"/>
    <col min="5377" max="5377" width="3.140625" style="65" customWidth="1"/>
    <col min="5378" max="5378" width="19.85546875" style="65" customWidth="1"/>
    <col min="5379" max="5381" width="22.5703125" style="65" customWidth="1"/>
    <col min="5382" max="5382" width="28.140625" style="65" customWidth="1"/>
    <col min="5383" max="5383" width="16.85546875" style="65" customWidth="1"/>
    <col min="5384" max="5384" width="22.5703125" style="65" customWidth="1"/>
    <col min="5385" max="5385" width="19.42578125" style="65" customWidth="1"/>
    <col min="5386" max="5389" width="22.5703125" style="65" customWidth="1"/>
    <col min="5390" max="5390" width="19.42578125" style="65" customWidth="1"/>
    <col min="5391" max="5391" width="14" style="65" customWidth="1"/>
    <col min="5392" max="5392" width="21.42578125" style="65" customWidth="1"/>
    <col min="5393" max="5632" width="9.140625" style="65"/>
    <col min="5633" max="5633" width="3.140625" style="65" customWidth="1"/>
    <col min="5634" max="5634" width="19.85546875" style="65" customWidth="1"/>
    <col min="5635" max="5637" width="22.5703125" style="65" customWidth="1"/>
    <col min="5638" max="5638" width="28.140625" style="65" customWidth="1"/>
    <col min="5639" max="5639" width="16.85546875" style="65" customWidth="1"/>
    <col min="5640" max="5640" width="22.5703125" style="65" customWidth="1"/>
    <col min="5641" max="5641" width="19.42578125" style="65" customWidth="1"/>
    <col min="5642" max="5645" width="22.5703125" style="65" customWidth="1"/>
    <col min="5646" max="5646" width="19.42578125" style="65" customWidth="1"/>
    <col min="5647" max="5647" width="14" style="65" customWidth="1"/>
    <col min="5648" max="5648" width="21.42578125" style="65" customWidth="1"/>
    <col min="5649" max="5888" width="9.140625" style="65"/>
    <col min="5889" max="5889" width="3.140625" style="65" customWidth="1"/>
    <col min="5890" max="5890" width="19.85546875" style="65" customWidth="1"/>
    <col min="5891" max="5893" width="22.5703125" style="65" customWidth="1"/>
    <col min="5894" max="5894" width="28.140625" style="65" customWidth="1"/>
    <col min="5895" max="5895" width="16.85546875" style="65" customWidth="1"/>
    <col min="5896" max="5896" width="22.5703125" style="65" customWidth="1"/>
    <col min="5897" max="5897" width="19.42578125" style="65" customWidth="1"/>
    <col min="5898" max="5901" width="22.5703125" style="65" customWidth="1"/>
    <col min="5902" max="5902" width="19.42578125" style="65" customWidth="1"/>
    <col min="5903" max="5903" width="14" style="65" customWidth="1"/>
    <col min="5904" max="5904" width="21.42578125" style="65" customWidth="1"/>
    <col min="5905" max="6144" width="9.140625" style="65"/>
    <col min="6145" max="6145" width="3.140625" style="65" customWidth="1"/>
    <col min="6146" max="6146" width="19.85546875" style="65" customWidth="1"/>
    <col min="6147" max="6149" width="22.5703125" style="65" customWidth="1"/>
    <col min="6150" max="6150" width="28.140625" style="65" customWidth="1"/>
    <col min="6151" max="6151" width="16.85546875" style="65" customWidth="1"/>
    <col min="6152" max="6152" width="22.5703125" style="65" customWidth="1"/>
    <col min="6153" max="6153" width="19.42578125" style="65" customWidth="1"/>
    <col min="6154" max="6157" width="22.5703125" style="65" customWidth="1"/>
    <col min="6158" max="6158" width="19.42578125" style="65" customWidth="1"/>
    <col min="6159" max="6159" width="14" style="65" customWidth="1"/>
    <col min="6160" max="6160" width="21.42578125" style="65" customWidth="1"/>
    <col min="6161" max="6400" width="9.140625" style="65"/>
    <col min="6401" max="6401" width="3.140625" style="65" customWidth="1"/>
    <col min="6402" max="6402" width="19.85546875" style="65" customWidth="1"/>
    <col min="6403" max="6405" width="22.5703125" style="65" customWidth="1"/>
    <col min="6406" max="6406" width="28.140625" style="65" customWidth="1"/>
    <col min="6407" max="6407" width="16.85546875" style="65" customWidth="1"/>
    <col min="6408" max="6408" width="22.5703125" style="65" customWidth="1"/>
    <col min="6409" max="6409" width="19.42578125" style="65" customWidth="1"/>
    <col min="6410" max="6413" width="22.5703125" style="65" customWidth="1"/>
    <col min="6414" max="6414" width="19.42578125" style="65" customWidth="1"/>
    <col min="6415" max="6415" width="14" style="65" customWidth="1"/>
    <col min="6416" max="6416" width="21.42578125" style="65" customWidth="1"/>
    <col min="6417" max="6656" width="9.140625" style="65"/>
    <col min="6657" max="6657" width="3.140625" style="65" customWidth="1"/>
    <col min="6658" max="6658" width="19.85546875" style="65" customWidth="1"/>
    <col min="6659" max="6661" width="22.5703125" style="65" customWidth="1"/>
    <col min="6662" max="6662" width="28.140625" style="65" customWidth="1"/>
    <col min="6663" max="6663" width="16.85546875" style="65" customWidth="1"/>
    <col min="6664" max="6664" width="22.5703125" style="65" customWidth="1"/>
    <col min="6665" max="6665" width="19.42578125" style="65" customWidth="1"/>
    <col min="6666" max="6669" width="22.5703125" style="65" customWidth="1"/>
    <col min="6670" max="6670" width="19.42578125" style="65" customWidth="1"/>
    <col min="6671" max="6671" width="14" style="65" customWidth="1"/>
    <col min="6672" max="6672" width="21.42578125" style="65" customWidth="1"/>
    <col min="6673" max="6912" width="9.140625" style="65"/>
    <col min="6913" max="6913" width="3.140625" style="65" customWidth="1"/>
    <col min="6914" max="6914" width="19.85546875" style="65" customWidth="1"/>
    <col min="6915" max="6917" width="22.5703125" style="65" customWidth="1"/>
    <col min="6918" max="6918" width="28.140625" style="65" customWidth="1"/>
    <col min="6919" max="6919" width="16.85546875" style="65" customWidth="1"/>
    <col min="6920" max="6920" width="22.5703125" style="65" customWidth="1"/>
    <col min="6921" max="6921" width="19.42578125" style="65" customWidth="1"/>
    <col min="6922" max="6925" width="22.5703125" style="65" customWidth="1"/>
    <col min="6926" max="6926" width="19.42578125" style="65" customWidth="1"/>
    <col min="6927" max="6927" width="14" style="65" customWidth="1"/>
    <col min="6928" max="6928" width="21.42578125" style="65" customWidth="1"/>
    <col min="6929" max="7168" width="9.140625" style="65"/>
    <col min="7169" max="7169" width="3.140625" style="65" customWidth="1"/>
    <col min="7170" max="7170" width="19.85546875" style="65" customWidth="1"/>
    <col min="7171" max="7173" width="22.5703125" style="65" customWidth="1"/>
    <col min="7174" max="7174" width="28.140625" style="65" customWidth="1"/>
    <col min="7175" max="7175" width="16.85546875" style="65" customWidth="1"/>
    <col min="7176" max="7176" width="22.5703125" style="65" customWidth="1"/>
    <col min="7177" max="7177" width="19.42578125" style="65" customWidth="1"/>
    <col min="7178" max="7181" width="22.5703125" style="65" customWidth="1"/>
    <col min="7182" max="7182" width="19.42578125" style="65" customWidth="1"/>
    <col min="7183" max="7183" width="14" style="65" customWidth="1"/>
    <col min="7184" max="7184" width="21.42578125" style="65" customWidth="1"/>
    <col min="7185" max="7424" width="9.140625" style="65"/>
    <col min="7425" max="7425" width="3.140625" style="65" customWidth="1"/>
    <col min="7426" max="7426" width="19.85546875" style="65" customWidth="1"/>
    <col min="7427" max="7429" width="22.5703125" style="65" customWidth="1"/>
    <col min="7430" max="7430" width="28.140625" style="65" customWidth="1"/>
    <col min="7431" max="7431" width="16.85546875" style="65" customWidth="1"/>
    <col min="7432" max="7432" width="22.5703125" style="65" customWidth="1"/>
    <col min="7433" max="7433" width="19.42578125" style="65" customWidth="1"/>
    <col min="7434" max="7437" width="22.5703125" style="65" customWidth="1"/>
    <col min="7438" max="7438" width="19.42578125" style="65" customWidth="1"/>
    <col min="7439" max="7439" width="14" style="65" customWidth="1"/>
    <col min="7440" max="7440" width="21.42578125" style="65" customWidth="1"/>
    <col min="7441" max="7680" width="9.140625" style="65"/>
    <col min="7681" max="7681" width="3.140625" style="65" customWidth="1"/>
    <col min="7682" max="7682" width="19.85546875" style="65" customWidth="1"/>
    <col min="7683" max="7685" width="22.5703125" style="65" customWidth="1"/>
    <col min="7686" max="7686" width="28.140625" style="65" customWidth="1"/>
    <col min="7687" max="7687" width="16.85546875" style="65" customWidth="1"/>
    <col min="7688" max="7688" width="22.5703125" style="65" customWidth="1"/>
    <col min="7689" max="7689" width="19.42578125" style="65" customWidth="1"/>
    <col min="7690" max="7693" width="22.5703125" style="65" customWidth="1"/>
    <col min="7694" max="7694" width="19.42578125" style="65" customWidth="1"/>
    <col min="7695" max="7695" width="14" style="65" customWidth="1"/>
    <col min="7696" max="7696" width="21.42578125" style="65" customWidth="1"/>
    <col min="7697" max="7936" width="9.140625" style="65"/>
    <col min="7937" max="7937" width="3.140625" style="65" customWidth="1"/>
    <col min="7938" max="7938" width="19.85546875" style="65" customWidth="1"/>
    <col min="7939" max="7941" width="22.5703125" style="65" customWidth="1"/>
    <col min="7942" max="7942" width="28.140625" style="65" customWidth="1"/>
    <col min="7943" max="7943" width="16.85546875" style="65" customWidth="1"/>
    <col min="7944" max="7944" width="22.5703125" style="65" customWidth="1"/>
    <col min="7945" max="7945" width="19.42578125" style="65" customWidth="1"/>
    <col min="7946" max="7949" width="22.5703125" style="65" customWidth="1"/>
    <col min="7950" max="7950" width="19.42578125" style="65" customWidth="1"/>
    <col min="7951" max="7951" width="14" style="65" customWidth="1"/>
    <col min="7952" max="7952" width="21.42578125" style="65" customWidth="1"/>
    <col min="7953" max="8192" width="9.140625" style="65"/>
    <col min="8193" max="8193" width="3.140625" style="65" customWidth="1"/>
    <col min="8194" max="8194" width="19.85546875" style="65" customWidth="1"/>
    <col min="8195" max="8197" width="22.5703125" style="65" customWidth="1"/>
    <col min="8198" max="8198" width="28.140625" style="65" customWidth="1"/>
    <col min="8199" max="8199" width="16.85546875" style="65" customWidth="1"/>
    <col min="8200" max="8200" width="22.5703125" style="65" customWidth="1"/>
    <col min="8201" max="8201" width="19.42578125" style="65" customWidth="1"/>
    <col min="8202" max="8205" width="22.5703125" style="65" customWidth="1"/>
    <col min="8206" max="8206" width="19.42578125" style="65" customWidth="1"/>
    <col min="8207" max="8207" width="14" style="65" customWidth="1"/>
    <col min="8208" max="8208" width="21.42578125" style="65" customWidth="1"/>
    <col min="8209" max="8448" width="9.140625" style="65"/>
    <col min="8449" max="8449" width="3.140625" style="65" customWidth="1"/>
    <col min="8450" max="8450" width="19.85546875" style="65" customWidth="1"/>
    <col min="8451" max="8453" width="22.5703125" style="65" customWidth="1"/>
    <col min="8454" max="8454" width="28.140625" style="65" customWidth="1"/>
    <col min="8455" max="8455" width="16.85546875" style="65" customWidth="1"/>
    <col min="8456" max="8456" width="22.5703125" style="65" customWidth="1"/>
    <col min="8457" max="8457" width="19.42578125" style="65" customWidth="1"/>
    <col min="8458" max="8461" width="22.5703125" style="65" customWidth="1"/>
    <col min="8462" max="8462" width="19.42578125" style="65" customWidth="1"/>
    <col min="8463" max="8463" width="14" style="65" customWidth="1"/>
    <col min="8464" max="8464" width="21.42578125" style="65" customWidth="1"/>
    <col min="8465" max="8704" width="9.140625" style="65"/>
    <col min="8705" max="8705" width="3.140625" style="65" customWidth="1"/>
    <col min="8706" max="8706" width="19.85546875" style="65" customWidth="1"/>
    <col min="8707" max="8709" width="22.5703125" style="65" customWidth="1"/>
    <col min="8710" max="8710" width="28.140625" style="65" customWidth="1"/>
    <col min="8711" max="8711" width="16.85546875" style="65" customWidth="1"/>
    <col min="8712" max="8712" width="22.5703125" style="65" customWidth="1"/>
    <col min="8713" max="8713" width="19.42578125" style="65" customWidth="1"/>
    <col min="8714" max="8717" width="22.5703125" style="65" customWidth="1"/>
    <col min="8718" max="8718" width="19.42578125" style="65" customWidth="1"/>
    <col min="8719" max="8719" width="14" style="65" customWidth="1"/>
    <col min="8720" max="8720" width="21.42578125" style="65" customWidth="1"/>
    <col min="8721" max="8960" width="9.140625" style="65"/>
    <col min="8961" max="8961" width="3.140625" style="65" customWidth="1"/>
    <col min="8962" max="8962" width="19.85546875" style="65" customWidth="1"/>
    <col min="8963" max="8965" width="22.5703125" style="65" customWidth="1"/>
    <col min="8966" max="8966" width="28.140625" style="65" customWidth="1"/>
    <col min="8967" max="8967" width="16.85546875" style="65" customWidth="1"/>
    <col min="8968" max="8968" width="22.5703125" style="65" customWidth="1"/>
    <col min="8969" max="8969" width="19.42578125" style="65" customWidth="1"/>
    <col min="8970" max="8973" width="22.5703125" style="65" customWidth="1"/>
    <col min="8974" max="8974" width="19.42578125" style="65" customWidth="1"/>
    <col min="8975" max="8975" width="14" style="65" customWidth="1"/>
    <col min="8976" max="8976" width="21.42578125" style="65" customWidth="1"/>
    <col min="8977" max="9216" width="9.140625" style="65"/>
    <col min="9217" max="9217" width="3.140625" style="65" customWidth="1"/>
    <col min="9218" max="9218" width="19.85546875" style="65" customWidth="1"/>
    <col min="9219" max="9221" width="22.5703125" style="65" customWidth="1"/>
    <col min="9222" max="9222" width="28.140625" style="65" customWidth="1"/>
    <col min="9223" max="9223" width="16.85546875" style="65" customWidth="1"/>
    <col min="9224" max="9224" width="22.5703125" style="65" customWidth="1"/>
    <col min="9225" max="9225" width="19.42578125" style="65" customWidth="1"/>
    <col min="9226" max="9229" width="22.5703125" style="65" customWidth="1"/>
    <col min="9230" max="9230" width="19.42578125" style="65" customWidth="1"/>
    <col min="9231" max="9231" width="14" style="65" customWidth="1"/>
    <col min="9232" max="9232" width="21.42578125" style="65" customWidth="1"/>
    <col min="9233" max="9472" width="9.140625" style="65"/>
    <col min="9473" max="9473" width="3.140625" style="65" customWidth="1"/>
    <col min="9474" max="9474" width="19.85546875" style="65" customWidth="1"/>
    <col min="9475" max="9477" width="22.5703125" style="65" customWidth="1"/>
    <col min="9478" max="9478" width="28.140625" style="65" customWidth="1"/>
    <col min="9479" max="9479" width="16.85546875" style="65" customWidth="1"/>
    <col min="9480" max="9480" width="22.5703125" style="65" customWidth="1"/>
    <col min="9481" max="9481" width="19.42578125" style="65" customWidth="1"/>
    <col min="9482" max="9485" width="22.5703125" style="65" customWidth="1"/>
    <col min="9486" max="9486" width="19.42578125" style="65" customWidth="1"/>
    <col min="9487" max="9487" width="14" style="65" customWidth="1"/>
    <col min="9488" max="9488" width="21.42578125" style="65" customWidth="1"/>
    <col min="9489" max="9728" width="9.140625" style="65"/>
    <col min="9729" max="9729" width="3.140625" style="65" customWidth="1"/>
    <col min="9730" max="9730" width="19.85546875" style="65" customWidth="1"/>
    <col min="9731" max="9733" width="22.5703125" style="65" customWidth="1"/>
    <col min="9734" max="9734" width="28.140625" style="65" customWidth="1"/>
    <col min="9735" max="9735" width="16.85546875" style="65" customWidth="1"/>
    <col min="9736" max="9736" width="22.5703125" style="65" customWidth="1"/>
    <col min="9737" max="9737" width="19.42578125" style="65" customWidth="1"/>
    <col min="9738" max="9741" width="22.5703125" style="65" customWidth="1"/>
    <col min="9742" max="9742" width="19.42578125" style="65" customWidth="1"/>
    <col min="9743" max="9743" width="14" style="65" customWidth="1"/>
    <col min="9744" max="9744" width="21.42578125" style="65" customWidth="1"/>
    <col min="9745" max="9984" width="9.140625" style="65"/>
    <col min="9985" max="9985" width="3.140625" style="65" customWidth="1"/>
    <col min="9986" max="9986" width="19.85546875" style="65" customWidth="1"/>
    <col min="9987" max="9989" width="22.5703125" style="65" customWidth="1"/>
    <col min="9990" max="9990" width="28.140625" style="65" customWidth="1"/>
    <col min="9991" max="9991" width="16.85546875" style="65" customWidth="1"/>
    <col min="9992" max="9992" width="22.5703125" style="65" customWidth="1"/>
    <col min="9993" max="9993" width="19.42578125" style="65" customWidth="1"/>
    <col min="9994" max="9997" width="22.5703125" style="65" customWidth="1"/>
    <col min="9998" max="9998" width="19.42578125" style="65" customWidth="1"/>
    <col min="9999" max="9999" width="14" style="65" customWidth="1"/>
    <col min="10000" max="10000" width="21.42578125" style="65" customWidth="1"/>
    <col min="10001" max="10240" width="9.140625" style="65"/>
    <col min="10241" max="10241" width="3.140625" style="65" customWidth="1"/>
    <col min="10242" max="10242" width="19.85546875" style="65" customWidth="1"/>
    <col min="10243" max="10245" width="22.5703125" style="65" customWidth="1"/>
    <col min="10246" max="10246" width="28.140625" style="65" customWidth="1"/>
    <col min="10247" max="10247" width="16.85546875" style="65" customWidth="1"/>
    <col min="10248" max="10248" width="22.5703125" style="65" customWidth="1"/>
    <col min="10249" max="10249" width="19.42578125" style="65" customWidth="1"/>
    <col min="10250" max="10253" width="22.5703125" style="65" customWidth="1"/>
    <col min="10254" max="10254" width="19.42578125" style="65" customWidth="1"/>
    <col min="10255" max="10255" width="14" style="65" customWidth="1"/>
    <col min="10256" max="10256" width="21.42578125" style="65" customWidth="1"/>
    <col min="10257" max="10496" width="9.140625" style="65"/>
    <col min="10497" max="10497" width="3.140625" style="65" customWidth="1"/>
    <col min="10498" max="10498" width="19.85546875" style="65" customWidth="1"/>
    <col min="10499" max="10501" width="22.5703125" style="65" customWidth="1"/>
    <col min="10502" max="10502" width="28.140625" style="65" customWidth="1"/>
    <col min="10503" max="10503" width="16.85546875" style="65" customWidth="1"/>
    <col min="10504" max="10504" width="22.5703125" style="65" customWidth="1"/>
    <col min="10505" max="10505" width="19.42578125" style="65" customWidth="1"/>
    <col min="10506" max="10509" width="22.5703125" style="65" customWidth="1"/>
    <col min="10510" max="10510" width="19.42578125" style="65" customWidth="1"/>
    <col min="10511" max="10511" width="14" style="65" customWidth="1"/>
    <col min="10512" max="10512" width="21.42578125" style="65" customWidth="1"/>
    <col min="10513" max="10752" width="9.140625" style="65"/>
    <col min="10753" max="10753" width="3.140625" style="65" customWidth="1"/>
    <col min="10754" max="10754" width="19.85546875" style="65" customWidth="1"/>
    <col min="10755" max="10757" width="22.5703125" style="65" customWidth="1"/>
    <col min="10758" max="10758" width="28.140625" style="65" customWidth="1"/>
    <col min="10759" max="10759" width="16.85546875" style="65" customWidth="1"/>
    <col min="10760" max="10760" width="22.5703125" style="65" customWidth="1"/>
    <col min="10761" max="10761" width="19.42578125" style="65" customWidth="1"/>
    <col min="10762" max="10765" width="22.5703125" style="65" customWidth="1"/>
    <col min="10766" max="10766" width="19.42578125" style="65" customWidth="1"/>
    <col min="10767" max="10767" width="14" style="65" customWidth="1"/>
    <col min="10768" max="10768" width="21.42578125" style="65" customWidth="1"/>
    <col min="10769" max="11008" width="9.140625" style="65"/>
    <col min="11009" max="11009" width="3.140625" style="65" customWidth="1"/>
    <col min="11010" max="11010" width="19.85546875" style="65" customWidth="1"/>
    <col min="11011" max="11013" width="22.5703125" style="65" customWidth="1"/>
    <col min="11014" max="11014" width="28.140625" style="65" customWidth="1"/>
    <col min="11015" max="11015" width="16.85546875" style="65" customWidth="1"/>
    <col min="11016" max="11016" width="22.5703125" style="65" customWidth="1"/>
    <col min="11017" max="11017" width="19.42578125" style="65" customWidth="1"/>
    <col min="11018" max="11021" width="22.5703125" style="65" customWidth="1"/>
    <col min="11022" max="11022" width="19.42578125" style="65" customWidth="1"/>
    <col min="11023" max="11023" width="14" style="65" customWidth="1"/>
    <col min="11024" max="11024" width="21.42578125" style="65" customWidth="1"/>
    <col min="11025" max="11264" width="9.140625" style="65"/>
    <col min="11265" max="11265" width="3.140625" style="65" customWidth="1"/>
    <col min="11266" max="11266" width="19.85546875" style="65" customWidth="1"/>
    <col min="11267" max="11269" width="22.5703125" style="65" customWidth="1"/>
    <col min="11270" max="11270" width="28.140625" style="65" customWidth="1"/>
    <col min="11271" max="11271" width="16.85546875" style="65" customWidth="1"/>
    <col min="11272" max="11272" width="22.5703125" style="65" customWidth="1"/>
    <col min="11273" max="11273" width="19.42578125" style="65" customWidth="1"/>
    <col min="11274" max="11277" width="22.5703125" style="65" customWidth="1"/>
    <col min="11278" max="11278" width="19.42578125" style="65" customWidth="1"/>
    <col min="11279" max="11279" width="14" style="65" customWidth="1"/>
    <col min="11280" max="11280" width="21.42578125" style="65" customWidth="1"/>
    <col min="11281" max="11520" width="9.140625" style="65"/>
    <col min="11521" max="11521" width="3.140625" style="65" customWidth="1"/>
    <col min="11522" max="11522" width="19.85546875" style="65" customWidth="1"/>
    <col min="11523" max="11525" width="22.5703125" style="65" customWidth="1"/>
    <col min="11526" max="11526" width="28.140625" style="65" customWidth="1"/>
    <col min="11527" max="11527" width="16.85546875" style="65" customWidth="1"/>
    <col min="11528" max="11528" width="22.5703125" style="65" customWidth="1"/>
    <col min="11529" max="11529" width="19.42578125" style="65" customWidth="1"/>
    <col min="11530" max="11533" width="22.5703125" style="65" customWidth="1"/>
    <col min="11534" max="11534" width="19.42578125" style="65" customWidth="1"/>
    <col min="11535" max="11535" width="14" style="65" customWidth="1"/>
    <col min="11536" max="11536" width="21.42578125" style="65" customWidth="1"/>
    <col min="11537" max="11776" width="9.140625" style="65"/>
    <col min="11777" max="11777" width="3.140625" style="65" customWidth="1"/>
    <col min="11778" max="11778" width="19.85546875" style="65" customWidth="1"/>
    <col min="11779" max="11781" width="22.5703125" style="65" customWidth="1"/>
    <col min="11782" max="11782" width="28.140625" style="65" customWidth="1"/>
    <col min="11783" max="11783" width="16.85546875" style="65" customWidth="1"/>
    <col min="11784" max="11784" width="22.5703125" style="65" customWidth="1"/>
    <col min="11785" max="11785" width="19.42578125" style="65" customWidth="1"/>
    <col min="11786" max="11789" width="22.5703125" style="65" customWidth="1"/>
    <col min="11790" max="11790" width="19.42578125" style="65" customWidth="1"/>
    <col min="11791" max="11791" width="14" style="65" customWidth="1"/>
    <col min="11792" max="11792" width="21.42578125" style="65" customWidth="1"/>
    <col min="11793" max="12032" width="9.140625" style="65"/>
    <col min="12033" max="12033" width="3.140625" style="65" customWidth="1"/>
    <col min="12034" max="12034" width="19.85546875" style="65" customWidth="1"/>
    <col min="12035" max="12037" width="22.5703125" style="65" customWidth="1"/>
    <col min="12038" max="12038" width="28.140625" style="65" customWidth="1"/>
    <col min="12039" max="12039" width="16.85546875" style="65" customWidth="1"/>
    <col min="12040" max="12040" width="22.5703125" style="65" customWidth="1"/>
    <col min="12041" max="12041" width="19.42578125" style="65" customWidth="1"/>
    <col min="12042" max="12045" width="22.5703125" style="65" customWidth="1"/>
    <col min="12046" max="12046" width="19.42578125" style="65" customWidth="1"/>
    <col min="12047" max="12047" width="14" style="65" customWidth="1"/>
    <col min="12048" max="12048" width="21.42578125" style="65" customWidth="1"/>
    <col min="12049" max="12288" width="9.140625" style="65"/>
    <col min="12289" max="12289" width="3.140625" style="65" customWidth="1"/>
    <col min="12290" max="12290" width="19.85546875" style="65" customWidth="1"/>
    <col min="12291" max="12293" width="22.5703125" style="65" customWidth="1"/>
    <col min="12294" max="12294" width="28.140625" style="65" customWidth="1"/>
    <col min="12295" max="12295" width="16.85546875" style="65" customWidth="1"/>
    <col min="12296" max="12296" width="22.5703125" style="65" customWidth="1"/>
    <col min="12297" max="12297" width="19.42578125" style="65" customWidth="1"/>
    <col min="12298" max="12301" width="22.5703125" style="65" customWidth="1"/>
    <col min="12302" max="12302" width="19.42578125" style="65" customWidth="1"/>
    <col min="12303" max="12303" width="14" style="65" customWidth="1"/>
    <col min="12304" max="12304" width="21.42578125" style="65" customWidth="1"/>
    <col min="12305" max="12544" width="9.140625" style="65"/>
    <col min="12545" max="12545" width="3.140625" style="65" customWidth="1"/>
    <col min="12546" max="12546" width="19.85546875" style="65" customWidth="1"/>
    <col min="12547" max="12549" width="22.5703125" style="65" customWidth="1"/>
    <col min="12550" max="12550" width="28.140625" style="65" customWidth="1"/>
    <col min="12551" max="12551" width="16.85546875" style="65" customWidth="1"/>
    <col min="12552" max="12552" width="22.5703125" style="65" customWidth="1"/>
    <col min="12553" max="12553" width="19.42578125" style="65" customWidth="1"/>
    <col min="12554" max="12557" width="22.5703125" style="65" customWidth="1"/>
    <col min="12558" max="12558" width="19.42578125" style="65" customWidth="1"/>
    <col min="12559" max="12559" width="14" style="65" customWidth="1"/>
    <col min="12560" max="12560" width="21.42578125" style="65" customWidth="1"/>
    <col min="12561" max="12800" width="9.140625" style="65"/>
    <col min="12801" max="12801" width="3.140625" style="65" customWidth="1"/>
    <col min="12802" max="12802" width="19.85546875" style="65" customWidth="1"/>
    <col min="12803" max="12805" width="22.5703125" style="65" customWidth="1"/>
    <col min="12806" max="12806" width="28.140625" style="65" customWidth="1"/>
    <col min="12807" max="12807" width="16.85546875" style="65" customWidth="1"/>
    <col min="12808" max="12808" width="22.5703125" style="65" customWidth="1"/>
    <col min="12809" max="12809" width="19.42578125" style="65" customWidth="1"/>
    <col min="12810" max="12813" width="22.5703125" style="65" customWidth="1"/>
    <col min="12814" max="12814" width="19.42578125" style="65" customWidth="1"/>
    <col min="12815" max="12815" width="14" style="65" customWidth="1"/>
    <col min="12816" max="12816" width="21.42578125" style="65" customWidth="1"/>
    <col min="12817" max="13056" width="9.140625" style="65"/>
    <col min="13057" max="13057" width="3.140625" style="65" customWidth="1"/>
    <col min="13058" max="13058" width="19.85546875" style="65" customWidth="1"/>
    <col min="13059" max="13061" width="22.5703125" style="65" customWidth="1"/>
    <col min="13062" max="13062" width="28.140625" style="65" customWidth="1"/>
    <col min="13063" max="13063" width="16.85546875" style="65" customWidth="1"/>
    <col min="13064" max="13064" width="22.5703125" style="65" customWidth="1"/>
    <col min="13065" max="13065" width="19.42578125" style="65" customWidth="1"/>
    <col min="13066" max="13069" width="22.5703125" style="65" customWidth="1"/>
    <col min="13070" max="13070" width="19.42578125" style="65" customWidth="1"/>
    <col min="13071" max="13071" width="14" style="65" customWidth="1"/>
    <col min="13072" max="13072" width="21.42578125" style="65" customWidth="1"/>
    <col min="13073" max="13312" width="9.140625" style="65"/>
    <col min="13313" max="13313" width="3.140625" style="65" customWidth="1"/>
    <col min="13314" max="13314" width="19.85546875" style="65" customWidth="1"/>
    <col min="13315" max="13317" width="22.5703125" style="65" customWidth="1"/>
    <col min="13318" max="13318" width="28.140625" style="65" customWidth="1"/>
    <col min="13319" max="13319" width="16.85546875" style="65" customWidth="1"/>
    <col min="13320" max="13320" width="22.5703125" style="65" customWidth="1"/>
    <col min="13321" max="13321" width="19.42578125" style="65" customWidth="1"/>
    <col min="13322" max="13325" width="22.5703125" style="65" customWidth="1"/>
    <col min="13326" max="13326" width="19.42578125" style="65" customWidth="1"/>
    <col min="13327" max="13327" width="14" style="65" customWidth="1"/>
    <col min="13328" max="13328" width="21.42578125" style="65" customWidth="1"/>
    <col min="13329" max="13568" width="9.140625" style="65"/>
    <col min="13569" max="13569" width="3.140625" style="65" customWidth="1"/>
    <col min="13570" max="13570" width="19.85546875" style="65" customWidth="1"/>
    <col min="13571" max="13573" width="22.5703125" style="65" customWidth="1"/>
    <col min="13574" max="13574" width="28.140625" style="65" customWidth="1"/>
    <col min="13575" max="13575" width="16.85546875" style="65" customWidth="1"/>
    <col min="13576" max="13576" width="22.5703125" style="65" customWidth="1"/>
    <col min="13577" max="13577" width="19.42578125" style="65" customWidth="1"/>
    <col min="13578" max="13581" width="22.5703125" style="65" customWidth="1"/>
    <col min="13582" max="13582" width="19.42578125" style="65" customWidth="1"/>
    <col min="13583" max="13583" width="14" style="65" customWidth="1"/>
    <col min="13584" max="13584" width="21.42578125" style="65" customWidth="1"/>
    <col min="13585" max="13824" width="9.140625" style="65"/>
    <col min="13825" max="13825" width="3.140625" style="65" customWidth="1"/>
    <col min="13826" max="13826" width="19.85546875" style="65" customWidth="1"/>
    <col min="13827" max="13829" width="22.5703125" style="65" customWidth="1"/>
    <col min="13830" max="13830" width="28.140625" style="65" customWidth="1"/>
    <col min="13831" max="13831" width="16.85546875" style="65" customWidth="1"/>
    <col min="13832" max="13832" width="22.5703125" style="65" customWidth="1"/>
    <col min="13833" max="13833" width="19.42578125" style="65" customWidth="1"/>
    <col min="13834" max="13837" width="22.5703125" style="65" customWidth="1"/>
    <col min="13838" max="13838" width="19.42578125" style="65" customWidth="1"/>
    <col min="13839" max="13839" width="14" style="65" customWidth="1"/>
    <col min="13840" max="13840" width="21.42578125" style="65" customWidth="1"/>
    <col min="13841" max="14080" width="9.140625" style="65"/>
    <col min="14081" max="14081" width="3.140625" style="65" customWidth="1"/>
    <col min="14082" max="14082" width="19.85546875" style="65" customWidth="1"/>
    <col min="14083" max="14085" width="22.5703125" style="65" customWidth="1"/>
    <col min="14086" max="14086" width="28.140625" style="65" customWidth="1"/>
    <col min="14087" max="14087" width="16.85546875" style="65" customWidth="1"/>
    <col min="14088" max="14088" width="22.5703125" style="65" customWidth="1"/>
    <col min="14089" max="14089" width="19.42578125" style="65" customWidth="1"/>
    <col min="14090" max="14093" width="22.5703125" style="65" customWidth="1"/>
    <col min="14094" max="14094" width="19.42578125" style="65" customWidth="1"/>
    <col min="14095" max="14095" width="14" style="65" customWidth="1"/>
    <col min="14096" max="14096" width="21.42578125" style="65" customWidth="1"/>
    <col min="14097" max="14336" width="9.140625" style="65"/>
    <col min="14337" max="14337" width="3.140625" style="65" customWidth="1"/>
    <col min="14338" max="14338" width="19.85546875" style="65" customWidth="1"/>
    <col min="14339" max="14341" width="22.5703125" style="65" customWidth="1"/>
    <col min="14342" max="14342" width="28.140625" style="65" customWidth="1"/>
    <col min="14343" max="14343" width="16.85546875" style="65" customWidth="1"/>
    <col min="14344" max="14344" width="22.5703125" style="65" customWidth="1"/>
    <col min="14345" max="14345" width="19.42578125" style="65" customWidth="1"/>
    <col min="14346" max="14349" width="22.5703125" style="65" customWidth="1"/>
    <col min="14350" max="14350" width="19.42578125" style="65" customWidth="1"/>
    <col min="14351" max="14351" width="14" style="65" customWidth="1"/>
    <col min="14352" max="14352" width="21.42578125" style="65" customWidth="1"/>
    <col min="14353" max="14592" width="9.140625" style="65"/>
    <col min="14593" max="14593" width="3.140625" style="65" customWidth="1"/>
    <col min="14594" max="14594" width="19.85546875" style="65" customWidth="1"/>
    <col min="14595" max="14597" width="22.5703125" style="65" customWidth="1"/>
    <col min="14598" max="14598" width="28.140625" style="65" customWidth="1"/>
    <col min="14599" max="14599" width="16.85546875" style="65" customWidth="1"/>
    <col min="14600" max="14600" width="22.5703125" style="65" customWidth="1"/>
    <col min="14601" max="14601" width="19.42578125" style="65" customWidth="1"/>
    <col min="14602" max="14605" width="22.5703125" style="65" customWidth="1"/>
    <col min="14606" max="14606" width="19.42578125" style="65" customWidth="1"/>
    <col min="14607" max="14607" width="14" style="65" customWidth="1"/>
    <col min="14608" max="14608" width="21.42578125" style="65" customWidth="1"/>
    <col min="14609" max="14848" width="9.140625" style="65"/>
    <col min="14849" max="14849" width="3.140625" style="65" customWidth="1"/>
    <col min="14850" max="14850" width="19.85546875" style="65" customWidth="1"/>
    <col min="14851" max="14853" width="22.5703125" style="65" customWidth="1"/>
    <col min="14854" max="14854" width="28.140625" style="65" customWidth="1"/>
    <col min="14855" max="14855" width="16.85546875" style="65" customWidth="1"/>
    <col min="14856" max="14856" width="22.5703125" style="65" customWidth="1"/>
    <col min="14857" max="14857" width="19.42578125" style="65" customWidth="1"/>
    <col min="14858" max="14861" width="22.5703125" style="65" customWidth="1"/>
    <col min="14862" max="14862" width="19.42578125" style="65" customWidth="1"/>
    <col min="14863" max="14863" width="14" style="65" customWidth="1"/>
    <col min="14864" max="14864" width="21.42578125" style="65" customWidth="1"/>
    <col min="14865" max="15104" width="9.140625" style="65"/>
    <col min="15105" max="15105" width="3.140625" style="65" customWidth="1"/>
    <col min="15106" max="15106" width="19.85546875" style="65" customWidth="1"/>
    <col min="15107" max="15109" width="22.5703125" style="65" customWidth="1"/>
    <col min="15110" max="15110" width="28.140625" style="65" customWidth="1"/>
    <col min="15111" max="15111" width="16.85546875" style="65" customWidth="1"/>
    <col min="15112" max="15112" width="22.5703125" style="65" customWidth="1"/>
    <col min="15113" max="15113" width="19.42578125" style="65" customWidth="1"/>
    <col min="15114" max="15117" width="22.5703125" style="65" customWidth="1"/>
    <col min="15118" max="15118" width="19.42578125" style="65" customWidth="1"/>
    <col min="15119" max="15119" width="14" style="65" customWidth="1"/>
    <col min="15120" max="15120" width="21.42578125" style="65" customWidth="1"/>
    <col min="15121" max="15360" width="9.140625" style="65"/>
    <col min="15361" max="15361" width="3.140625" style="65" customWidth="1"/>
    <col min="15362" max="15362" width="19.85546875" style="65" customWidth="1"/>
    <col min="15363" max="15365" width="22.5703125" style="65" customWidth="1"/>
    <col min="15366" max="15366" width="28.140625" style="65" customWidth="1"/>
    <col min="15367" max="15367" width="16.85546875" style="65" customWidth="1"/>
    <col min="15368" max="15368" width="22.5703125" style="65" customWidth="1"/>
    <col min="15369" max="15369" width="19.42578125" style="65" customWidth="1"/>
    <col min="15370" max="15373" width="22.5703125" style="65" customWidth="1"/>
    <col min="15374" max="15374" width="19.42578125" style="65" customWidth="1"/>
    <col min="15375" max="15375" width="14" style="65" customWidth="1"/>
    <col min="15376" max="15376" width="21.42578125" style="65" customWidth="1"/>
    <col min="15377" max="15616" width="9.140625" style="65"/>
    <col min="15617" max="15617" width="3.140625" style="65" customWidth="1"/>
    <col min="15618" max="15618" width="19.85546875" style="65" customWidth="1"/>
    <col min="15619" max="15621" width="22.5703125" style="65" customWidth="1"/>
    <col min="15622" max="15622" width="28.140625" style="65" customWidth="1"/>
    <col min="15623" max="15623" width="16.85546875" style="65" customWidth="1"/>
    <col min="15624" max="15624" width="22.5703125" style="65" customWidth="1"/>
    <col min="15625" max="15625" width="19.42578125" style="65" customWidth="1"/>
    <col min="15626" max="15629" width="22.5703125" style="65" customWidth="1"/>
    <col min="15630" max="15630" width="19.42578125" style="65" customWidth="1"/>
    <col min="15631" max="15631" width="14" style="65" customWidth="1"/>
    <col min="15632" max="15632" width="21.42578125" style="65" customWidth="1"/>
    <col min="15633" max="15872" width="9.140625" style="65"/>
    <col min="15873" max="15873" width="3.140625" style="65" customWidth="1"/>
    <col min="15874" max="15874" width="19.85546875" style="65" customWidth="1"/>
    <col min="15875" max="15877" width="22.5703125" style="65" customWidth="1"/>
    <col min="15878" max="15878" width="28.140625" style="65" customWidth="1"/>
    <col min="15879" max="15879" width="16.85546875" style="65" customWidth="1"/>
    <col min="15880" max="15880" width="22.5703125" style="65" customWidth="1"/>
    <col min="15881" max="15881" width="19.42578125" style="65" customWidth="1"/>
    <col min="15882" max="15885" width="22.5703125" style="65" customWidth="1"/>
    <col min="15886" max="15886" width="19.42578125" style="65" customWidth="1"/>
    <col min="15887" max="15887" width="14" style="65" customWidth="1"/>
    <col min="15888" max="15888" width="21.42578125" style="65" customWidth="1"/>
    <col min="15889" max="16128" width="9.140625" style="65"/>
    <col min="16129" max="16129" width="3.140625" style="65" customWidth="1"/>
    <col min="16130" max="16130" width="19.85546875" style="65" customWidth="1"/>
    <col min="16131" max="16133" width="22.5703125" style="65" customWidth="1"/>
    <col min="16134" max="16134" width="28.140625" style="65" customWidth="1"/>
    <col min="16135" max="16135" width="16.85546875" style="65" customWidth="1"/>
    <col min="16136" max="16136" width="22.5703125" style="65" customWidth="1"/>
    <col min="16137" max="16137" width="19.42578125" style="65" customWidth="1"/>
    <col min="16138" max="16141" width="22.5703125" style="65" customWidth="1"/>
    <col min="16142" max="16142" width="19.42578125" style="65" customWidth="1"/>
    <col min="16143" max="16143" width="14" style="65" customWidth="1"/>
    <col min="16144" max="16144" width="21.42578125" style="65" customWidth="1"/>
    <col min="16145" max="16384" width="9.140625" style="65"/>
  </cols>
  <sheetData>
    <row r="1" spans="1:16" ht="28.5" x14ac:dyDescent="0.25">
      <c r="B1" s="26" t="s">
        <v>105</v>
      </c>
      <c r="C1" s="66">
        <v>43586</v>
      </c>
      <c r="D1" s="67">
        <v>43830</v>
      </c>
    </row>
    <row r="2" spans="1:16" ht="28.5" x14ac:dyDescent="0.25">
      <c r="B2" s="26" t="s">
        <v>106</v>
      </c>
      <c r="C2" s="67">
        <v>43831</v>
      </c>
      <c r="D2" s="66">
        <v>44196</v>
      </c>
    </row>
    <row r="4" spans="1:16" ht="44.25" x14ac:dyDescent="0.25">
      <c r="B4" s="26" t="s">
        <v>107</v>
      </c>
      <c r="C4" s="26" t="s">
        <v>108</v>
      </c>
      <c r="D4" s="26" t="s">
        <v>109</v>
      </c>
      <c r="E4" s="26" t="s">
        <v>110</v>
      </c>
      <c r="F4" s="26" t="s">
        <v>111</v>
      </c>
      <c r="G4" s="26" t="s">
        <v>112</v>
      </c>
      <c r="H4" s="26" t="s">
        <v>113</v>
      </c>
      <c r="I4" s="26" t="s">
        <v>114</v>
      </c>
      <c r="J4" s="26" t="s">
        <v>115</v>
      </c>
      <c r="K4" s="26" t="s">
        <v>116</v>
      </c>
      <c r="L4" s="26" t="s">
        <v>117</v>
      </c>
      <c r="M4" s="26" t="s">
        <v>118</v>
      </c>
      <c r="N4" s="26" t="s">
        <v>119</v>
      </c>
      <c r="O4" s="26" t="s">
        <v>120</v>
      </c>
      <c r="P4" s="26" t="s">
        <v>121</v>
      </c>
    </row>
    <row r="5" spans="1:16" x14ac:dyDescent="0.25">
      <c r="B5" s="14">
        <v>1</v>
      </c>
      <c r="C5" s="67">
        <v>43614</v>
      </c>
      <c r="D5" s="67">
        <f t="shared" ref="D5:D43" si="0">IF(C5="","",$C$1)</f>
        <v>43586</v>
      </c>
      <c r="E5" s="14">
        <f>F5-C5+1</f>
        <v>18</v>
      </c>
      <c r="F5" s="67">
        <v>43631</v>
      </c>
      <c r="G5" s="45">
        <f>IF(F5="","",YEAR(F5))</f>
        <v>2019</v>
      </c>
      <c r="H5" s="14">
        <f>K5/L5</f>
        <v>403.74285714285713</v>
      </c>
      <c r="I5" s="14" t="s">
        <v>30</v>
      </c>
      <c r="J5" s="68">
        <v>1.5</v>
      </c>
      <c r="K5" s="139">
        <v>2826.2</v>
      </c>
      <c r="L5" s="68">
        <v>7</v>
      </c>
      <c r="M5" s="38">
        <f t="shared" ref="M5:M43" si="1">IF(J5="","",AVERAGE(J5,L5))</f>
        <v>4.25</v>
      </c>
      <c r="N5" s="14">
        <f>IF(F5="","",F5-LARGE(C5:D5,1))+1</f>
        <v>18</v>
      </c>
      <c r="O5" s="14">
        <f>IF(N5="","",H5*N5)</f>
        <v>7267.3714285714286</v>
      </c>
      <c r="P5" s="14">
        <f t="shared" ref="P5:P43" si="2">IF(M5="","",H5*M5)</f>
        <v>1715.9071428571428</v>
      </c>
    </row>
    <row r="6" spans="1:16" x14ac:dyDescent="0.25">
      <c r="B6" s="14">
        <v>2</v>
      </c>
      <c r="C6" s="67">
        <v>43626</v>
      </c>
      <c r="D6" s="67">
        <f t="shared" si="0"/>
        <v>43586</v>
      </c>
      <c r="E6" s="14">
        <f t="shared" ref="E6:E43" si="3">F6-C6+1</f>
        <v>27</v>
      </c>
      <c r="F6" s="67">
        <v>43652</v>
      </c>
      <c r="G6" s="45">
        <f>IF(F6="","",YEAR(F6))</f>
        <v>2019</v>
      </c>
      <c r="H6" s="14">
        <f t="shared" ref="H6:H33" si="4">K6/L6</f>
        <v>454.28571428571428</v>
      </c>
      <c r="I6" s="14" t="s">
        <v>30</v>
      </c>
      <c r="J6" s="68">
        <v>1.5</v>
      </c>
      <c r="K6" s="139">
        <v>3180</v>
      </c>
      <c r="L6" s="68">
        <v>7</v>
      </c>
      <c r="M6" s="38">
        <f t="shared" si="1"/>
        <v>4.25</v>
      </c>
      <c r="N6" s="14">
        <f t="shared" ref="N6:N43" si="5">IF(F6="","",F6-LARGE(C6:D6,1))+1</f>
        <v>27</v>
      </c>
      <c r="O6" s="14">
        <f t="shared" ref="O6:O43" si="6">IF(N6="","",H6*N6)</f>
        <v>12265.714285714286</v>
      </c>
      <c r="P6" s="14">
        <f t="shared" si="2"/>
        <v>1930.7142857142858</v>
      </c>
    </row>
    <row r="7" spans="1:16" x14ac:dyDescent="0.25">
      <c r="B7" s="14">
        <v>3</v>
      </c>
      <c r="C7" s="67">
        <v>43648</v>
      </c>
      <c r="D7" s="67">
        <f t="shared" si="0"/>
        <v>43586</v>
      </c>
      <c r="E7" s="14">
        <f t="shared" si="3"/>
        <v>26</v>
      </c>
      <c r="F7" s="67">
        <v>43673</v>
      </c>
      <c r="G7" s="45">
        <f t="shared" ref="G7:G43" si="7">IF(F7="","",YEAR(F7))</f>
        <v>2019</v>
      </c>
      <c r="H7" s="14">
        <f t="shared" si="4"/>
        <v>422.15714285714284</v>
      </c>
      <c r="I7" s="14" t="s">
        <v>30</v>
      </c>
      <c r="J7" s="68">
        <v>1.5</v>
      </c>
      <c r="K7" s="139">
        <v>2955.1</v>
      </c>
      <c r="L7" s="68">
        <v>7</v>
      </c>
      <c r="M7" s="38">
        <f t="shared" si="1"/>
        <v>4.25</v>
      </c>
      <c r="N7" s="14">
        <f t="shared" si="5"/>
        <v>26</v>
      </c>
      <c r="O7" s="14">
        <f t="shared" si="6"/>
        <v>10976.085714285713</v>
      </c>
      <c r="P7" s="14">
        <f t="shared" si="2"/>
        <v>1794.167857142857</v>
      </c>
    </row>
    <row r="8" spans="1:16" x14ac:dyDescent="0.25">
      <c r="B8" s="14">
        <v>4</v>
      </c>
      <c r="C8" s="67">
        <v>43671</v>
      </c>
      <c r="D8" s="67">
        <f t="shared" si="0"/>
        <v>43586</v>
      </c>
      <c r="E8" s="14">
        <f t="shared" si="3"/>
        <v>24</v>
      </c>
      <c r="F8" s="67">
        <v>43694</v>
      </c>
      <c r="G8" s="45">
        <f t="shared" si="7"/>
        <v>2019</v>
      </c>
      <c r="H8" s="14">
        <f t="shared" si="4"/>
        <v>549.7714285714286</v>
      </c>
      <c r="I8" s="14" t="s">
        <v>30</v>
      </c>
      <c r="J8" s="68">
        <v>1.5</v>
      </c>
      <c r="K8" s="139">
        <v>3848.4</v>
      </c>
      <c r="L8" s="68">
        <v>7</v>
      </c>
      <c r="M8" s="38">
        <f t="shared" si="1"/>
        <v>4.25</v>
      </c>
      <c r="N8" s="14">
        <f t="shared" si="5"/>
        <v>24</v>
      </c>
      <c r="O8" s="14">
        <f t="shared" si="6"/>
        <v>13194.514285714286</v>
      </c>
      <c r="P8" s="14">
        <f t="shared" si="2"/>
        <v>2336.5285714285715</v>
      </c>
    </row>
    <row r="9" spans="1:16" x14ac:dyDescent="0.25">
      <c r="B9" s="14">
        <v>5</v>
      </c>
      <c r="C9" s="67">
        <v>43683</v>
      </c>
      <c r="D9" s="67">
        <f t="shared" si="0"/>
        <v>43586</v>
      </c>
      <c r="E9" s="14">
        <f t="shared" si="3"/>
        <v>33</v>
      </c>
      <c r="F9" s="67">
        <v>43715</v>
      </c>
      <c r="G9" s="45">
        <f t="shared" si="7"/>
        <v>2019</v>
      </c>
      <c r="H9" s="14">
        <f t="shared" si="4"/>
        <v>78</v>
      </c>
      <c r="I9" s="14" t="s">
        <v>30</v>
      </c>
      <c r="J9" s="68">
        <v>1.5</v>
      </c>
      <c r="K9" s="139">
        <v>546</v>
      </c>
      <c r="L9" s="68">
        <v>7</v>
      </c>
      <c r="M9" s="38">
        <f t="shared" si="1"/>
        <v>4.25</v>
      </c>
      <c r="N9" s="14">
        <f t="shared" si="5"/>
        <v>33</v>
      </c>
      <c r="O9" s="14">
        <f t="shared" si="6"/>
        <v>2574</v>
      </c>
      <c r="P9" s="14">
        <f t="shared" si="2"/>
        <v>331.5</v>
      </c>
    </row>
    <row r="10" spans="1:16" x14ac:dyDescent="0.25">
      <c r="B10" s="14">
        <v>6</v>
      </c>
      <c r="C10" s="67">
        <v>43689</v>
      </c>
      <c r="D10" s="67">
        <f t="shared" si="0"/>
        <v>43586</v>
      </c>
      <c r="E10" s="14">
        <f t="shared" si="3"/>
        <v>27</v>
      </c>
      <c r="F10" s="67">
        <v>43715</v>
      </c>
      <c r="G10" s="45">
        <f t="shared" si="7"/>
        <v>2019</v>
      </c>
      <c r="H10" s="14">
        <f t="shared" si="4"/>
        <v>457.7285714285714</v>
      </c>
      <c r="I10" s="14" t="s">
        <v>30</v>
      </c>
      <c r="J10" s="68">
        <v>1.5</v>
      </c>
      <c r="K10" s="139">
        <v>3204.1</v>
      </c>
      <c r="L10" s="68">
        <v>7</v>
      </c>
      <c r="M10" s="38">
        <f t="shared" si="1"/>
        <v>4.25</v>
      </c>
      <c r="N10" s="14">
        <f t="shared" si="5"/>
        <v>27</v>
      </c>
      <c r="O10" s="14">
        <f t="shared" si="6"/>
        <v>12358.671428571428</v>
      </c>
      <c r="P10" s="14">
        <f t="shared" si="2"/>
        <v>1945.3464285714285</v>
      </c>
    </row>
    <row r="11" spans="1:16" x14ac:dyDescent="0.25">
      <c r="B11" s="14">
        <v>7</v>
      </c>
      <c r="C11" s="67">
        <v>43704</v>
      </c>
      <c r="D11" s="67">
        <f t="shared" si="0"/>
        <v>43586</v>
      </c>
      <c r="E11" s="14">
        <f t="shared" si="3"/>
        <v>26</v>
      </c>
      <c r="F11" s="67">
        <v>43729</v>
      </c>
      <c r="G11" s="45">
        <f t="shared" si="7"/>
        <v>2019</v>
      </c>
      <c r="H11" s="14">
        <f t="shared" si="4"/>
        <v>73.314285714285717</v>
      </c>
      <c r="I11" s="14" t="s">
        <v>30</v>
      </c>
      <c r="J11" s="68">
        <v>1.5</v>
      </c>
      <c r="K11" s="139">
        <v>513.20000000000005</v>
      </c>
      <c r="L11" s="68">
        <v>7</v>
      </c>
      <c r="M11" s="38">
        <f t="shared" si="1"/>
        <v>4.25</v>
      </c>
      <c r="N11" s="14">
        <f t="shared" si="5"/>
        <v>26</v>
      </c>
      <c r="O11" s="14">
        <f t="shared" si="6"/>
        <v>1906.1714285714286</v>
      </c>
      <c r="P11" s="14">
        <f t="shared" si="2"/>
        <v>311.58571428571429</v>
      </c>
    </row>
    <row r="12" spans="1:16" x14ac:dyDescent="0.25">
      <c r="B12" s="14">
        <v>8</v>
      </c>
      <c r="C12" s="67">
        <v>43706</v>
      </c>
      <c r="D12" s="67">
        <f t="shared" si="0"/>
        <v>43586</v>
      </c>
      <c r="E12" s="14">
        <f t="shared" si="3"/>
        <v>31</v>
      </c>
      <c r="F12" s="67">
        <v>43736</v>
      </c>
      <c r="G12" s="45">
        <f t="shared" si="7"/>
        <v>2019</v>
      </c>
      <c r="H12" s="14">
        <f t="shared" si="4"/>
        <v>513</v>
      </c>
      <c r="I12" s="14" t="s">
        <v>30</v>
      </c>
      <c r="J12" s="68">
        <v>1.5</v>
      </c>
      <c r="K12" s="139">
        <v>3591</v>
      </c>
      <c r="L12" s="68">
        <v>7</v>
      </c>
      <c r="M12" s="38">
        <f t="shared" si="1"/>
        <v>4.25</v>
      </c>
      <c r="N12" s="14">
        <f t="shared" si="5"/>
        <v>31</v>
      </c>
      <c r="O12" s="14">
        <f t="shared" si="6"/>
        <v>15903</v>
      </c>
      <c r="P12" s="14">
        <f t="shared" si="2"/>
        <v>2180.25</v>
      </c>
    </row>
    <row r="13" spans="1:16" x14ac:dyDescent="0.25">
      <c r="B13" s="14">
        <v>9</v>
      </c>
      <c r="C13" s="67">
        <v>43728</v>
      </c>
      <c r="D13" s="67">
        <f t="shared" si="0"/>
        <v>43586</v>
      </c>
      <c r="E13" s="14">
        <f t="shared" si="3"/>
        <v>30</v>
      </c>
      <c r="F13" s="67">
        <v>43757</v>
      </c>
      <c r="G13" s="45">
        <f t="shared" si="7"/>
        <v>2019</v>
      </c>
      <c r="H13" s="14">
        <f t="shared" si="4"/>
        <v>461.25714285714287</v>
      </c>
      <c r="I13" s="14" t="s">
        <v>30</v>
      </c>
      <c r="J13" s="68">
        <v>1.5</v>
      </c>
      <c r="K13" s="139">
        <v>3228.8</v>
      </c>
      <c r="L13" s="68">
        <v>7</v>
      </c>
      <c r="M13" s="38">
        <f t="shared" si="1"/>
        <v>4.25</v>
      </c>
      <c r="N13" s="14">
        <f t="shared" si="5"/>
        <v>30</v>
      </c>
      <c r="O13" s="14">
        <f t="shared" si="6"/>
        <v>13837.714285714286</v>
      </c>
      <c r="P13" s="14">
        <f t="shared" si="2"/>
        <v>1960.3428571428572</v>
      </c>
    </row>
    <row r="14" spans="1:16" x14ac:dyDescent="0.25">
      <c r="B14" s="14">
        <v>10</v>
      </c>
      <c r="C14" s="67">
        <v>43748</v>
      </c>
      <c r="D14" s="67">
        <f t="shared" si="0"/>
        <v>43586</v>
      </c>
      <c r="E14" s="14">
        <f t="shared" si="3"/>
        <v>24</v>
      </c>
      <c r="F14" s="67">
        <v>43771</v>
      </c>
      <c r="G14" s="45">
        <f t="shared" si="7"/>
        <v>2019</v>
      </c>
      <c r="H14" s="14">
        <f t="shared" si="4"/>
        <v>83.100000000000009</v>
      </c>
      <c r="I14" s="14" t="s">
        <v>30</v>
      </c>
      <c r="J14" s="68">
        <v>1.5</v>
      </c>
      <c r="K14" s="139">
        <v>581.70000000000005</v>
      </c>
      <c r="L14" s="68">
        <v>7</v>
      </c>
      <c r="M14" s="38">
        <f t="shared" si="1"/>
        <v>4.25</v>
      </c>
      <c r="N14" s="14">
        <f t="shared" si="5"/>
        <v>24</v>
      </c>
      <c r="O14" s="14">
        <f t="shared" si="6"/>
        <v>1994.4</v>
      </c>
      <c r="P14" s="14">
        <f t="shared" si="2"/>
        <v>353.17500000000001</v>
      </c>
    </row>
    <row r="15" spans="1:16" x14ac:dyDescent="0.25">
      <c r="B15" s="14">
        <v>11</v>
      </c>
      <c r="C15" s="67">
        <v>43749</v>
      </c>
      <c r="D15" s="67">
        <f t="shared" si="0"/>
        <v>43586</v>
      </c>
      <c r="E15" s="14">
        <f t="shared" si="3"/>
        <v>30</v>
      </c>
      <c r="F15" s="67">
        <v>43778</v>
      </c>
      <c r="G15" s="45">
        <f t="shared" si="7"/>
        <v>2019</v>
      </c>
      <c r="H15" s="14">
        <f t="shared" si="4"/>
        <v>540</v>
      </c>
      <c r="I15" s="14" t="s">
        <v>30</v>
      </c>
      <c r="J15" s="68">
        <v>1.5</v>
      </c>
      <c r="K15" s="139">
        <v>3780</v>
      </c>
      <c r="L15" s="68">
        <v>7</v>
      </c>
      <c r="M15" s="38">
        <f t="shared" si="1"/>
        <v>4.25</v>
      </c>
      <c r="N15" s="14">
        <f t="shared" si="5"/>
        <v>30</v>
      </c>
      <c r="O15" s="14">
        <f t="shared" si="6"/>
        <v>16200</v>
      </c>
      <c r="P15" s="14">
        <f t="shared" si="2"/>
        <v>2295</v>
      </c>
    </row>
    <row r="16" spans="1:16" x14ac:dyDescent="0.25">
      <c r="A16" s="136"/>
      <c r="B16" s="14">
        <v>12</v>
      </c>
      <c r="C16" s="67">
        <v>43766</v>
      </c>
      <c r="D16" s="67">
        <f t="shared" si="0"/>
        <v>43586</v>
      </c>
      <c r="E16" s="14">
        <f t="shared" si="3"/>
        <v>27</v>
      </c>
      <c r="F16" s="67">
        <v>43792</v>
      </c>
      <c r="G16" s="45">
        <f t="shared" si="7"/>
        <v>2019</v>
      </c>
      <c r="H16" s="14">
        <f t="shared" si="4"/>
        <v>105.08571428571429</v>
      </c>
      <c r="I16" s="14" t="s">
        <v>30</v>
      </c>
      <c r="J16" s="68">
        <v>1.5</v>
      </c>
      <c r="K16" s="139">
        <v>735.6</v>
      </c>
      <c r="L16" s="68">
        <v>7</v>
      </c>
      <c r="M16" s="38">
        <f t="shared" si="1"/>
        <v>4.25</v>
      </c>
      <c r="N16" s="14">
        <f t="shared" si="5"/>
        <v>27</v>
      </c>
      <c r="O16" s="14">
        <f t="shared" si="6"/>
        <v>2837.3142857142857</v>
      </c>
      <c r="P16" s="14">
        <f t="shared" si="2"/>
        <v>446.61428571428576</v>
      </c>
    </row>
    <row r="17" spans="2:16" x14ac:dyDescent="0.25">
      <c r="B17" s="14">
        <v>13</v>
      </c>
      <c r="C17" s="67">
        <v>43770</v>
      </c>
      <c r="D17" s="67">
        <f t="shared" si="0"/>
        <v>43586</v>
      </c>
      <c r="E17" s="14">
        <f t="shared" si="3"/>
        <v>30</v>
      </c>
      <c r="F17" s="67">
        <v>43799</v>
      </c>
      <c r="G17" s="45">
        <f t="shared" si="7"/>
        <v>2019</v>
      </c>
      <c r="H17" s="14">
        <f t="shared" si="4"/>
        <v>548.42857142857144</v>
      </c>
      <c r="I17" s="14" t="s">
        <v>30</v>
      </c>
      <c r="J17" s="68">
        <v>1.5</v>
      </c>
      <c r="K17" s="140">
        <v>3839</v>
      </c>
      <c r="L17" s="68">
        <v>7</v>
      </c>
      <c r="M17" s="38">
        <f t="shared" si="1"/>
        <v>4.25</v>
      </c>
      <c r="N17" s="14">
        <f t="shared" si="5"/>
        <v>30</v>
      </c>
      <c r="O17" s="14">
        <f t="shared" si="6"/>
        <v>16452.857142857145</v>
      </c>
      <c r="P17" s="14">
        <f t="shared" si="2"/>
        <v>2330.8214285714284</v>
      </c>
    </row>
    <row r="18" spans="2:16" x14ac:dyDescent="0.25">
      <c r="B18" s="14">
        <v>14</v>
      </c>
      <c r="C18" s="67">
        <v>43789</v>
      </c>
      <c r="D18" s="67">
        <f t="shared" si="0"/>
        <v>43586</v>
      </c>
      <c r="E18" s="14">
        <f t="shared" si="3"/>
        <v>25</v>
      </c>
      <c r="F18" s="67">
        <v>43813</v>
      </c>
      <c r="G18" s="45">
        <f t="shared" si="7"/>
        <v>2019</v>
      </c>
      <c r="H18" s="14">
        <f t="shared" si="4"/>
        <v>68.099999999999994</v>
      </c>
      <c r="I18" s="14" t="s">
        <v>30</v>
      </c>
      <c r="J18" s="68">
        <v>1.5</v>
      </c>
      <c r="K18" s="139">
        <v>476.7</v>
      </c>
      <c r="L18" s="68">
        <v>7</v>
      </c>
      <c r="M18" s="38">
        <f t="shared" si="1"/>
        <v>4.25</v>
      </c>
      <c r="N18" s="14">
        <f t="shared" si="5"/>
        <v>25</v>
      </c>
      <c r="O18" s="14">
        <f t="shared" si="6"/>
        <v>1702.4999999999998</v>
      </c>
      <c r="P18" s="14">
        <f t="shared" si="2"/>
        <v>289.42499999999995</v>
      </c>
    </row>
    <row r="19" spans="2:16" x14ac:dyDescent="0.25">
      <c r="B19" s="14">
        <v>15</v>
      </c>
      <c r="C19" s="67">
        <v>43795</v>
      </c>
      <c r="D19" s="67">
        <f t="shared" si="0"/>
        <v>43586</v>
      </c>
      <c r="E19" s="14">
        <f t="shared" si="3"/>
        <v>26</v>
      </c>
      <c r="F19" s="67">
        <v>43820</v>
      </c>
      <c r="G19" s="45">
        <f t="shared" si="7"/>
        <v>2019</v>
      </c>
      <c r="H19" s="14">
        <f t="shared" si="4"/>
        <v>476.8</v>
      </c>
      <c r="I19" s="14" t="s">
        <v>30</v>
      </c>
      <c r="J19" s="68">
        <v>1.5</v>
      </c>
      <c r="K19" s="139">
        <v>3337.6</v>
      </c>
      <c r="L19" s="68">
        <v>7</v>
      </c>
      <c r="M19" s="38">
        <f t="shared" si="1"/>
        <v>4.25</v>
      </c>
      <c r="N19" s="14">
        <f t="shared" si="5"/>
        <v>26</v>
      </c>
      <c r="O19" s="14">
        <f t="shared" si="6"/>
        <v>12396.800000000001</v>
      </c>
      <c r="P19" s="14">
        <f t="shared" si="2"/>
        <v>2026.4</v>
      </c>
    </row>
    <row r="20" spans="2:16" x14ac:dyDescent="0.25">
      <c r="B20" s="14">
        <v>16</v>
      </c>
      <c r="C20" s="67">
        <v>43811</v>
      </c>
      <c r="D20" s="67">
        <f t="shared" si="0"/>
        <v>43586</v>
      </c>
      <c r="E20" s="14">
        <f t="shared" si="3"/>
        <v>31</v>
      </c>
      <c r="F20" s="67">
        <v>43841</v>
      </c>
      <c r="G20" s="45">
        <f t="shared" si="7"/>
        <v>2020</v>
      </c>
      <c r="H20" s="14">
        <f t="shared" si="4"/>
        <v>544.6</v>
      </c>
      <c r="I20" s="14" t="s">
        <v>30</v>
      </c>
      <c r="J20" s="68">
        <v>1.5</v>
      </c>
      <c r="K20" s="139">
        <v>3812.2</v>
      </c>
      <c r="L20" s="68">
        <v>7</v>
      </c>
      <c r="M20" s="38">
        <f t="shared" si="1"/>
        <v>4.25</v>
      </c>
      <c r="N20" s="14">
        <f t="shared" si="5"/>
        <v>31</v>
      </c>
      <c r="O20" s="14">
        <f t="shared" si="6"/>
        <v>16882.600000000002</v>
      </c>
      <c r="P20" s="14">
        <f t="shared" si="2"/>
        <v>2314.5500000000002</v>
      </c>
    </row>
    <row r="21" spans="2:16" x14ac:dyDescent="0.25">
      <c r="B21" s="14">
        <v>17</v>
      </c>
      <c r="C21" s="67">
        <v>43829</v>
      </c>
      <c r="D21" s="67">
        <f t="shared" si="0"/>
        <v>43586</v>
      </c>
      <c r="E21" s="14">
        <f t="shared" si="3"/>
        <v>35</v>
      </c>
      <c r="F21" s="67">
        <v>43863</v>
      </c>
      <c r="G21" s="45">
        <f t="shared" si="7"/>
        <v>2020</v>
      </c>
      <c r="H21" s="14">
        <f t="shared" si="4"/>
        <v>92.571428571428569</v>
      </c>
      <c r="I21" s="14" t="s">
        <v>30</v>
      </c>
      <c r="J21" s="68">
        <v>1.5</v>
      </c>
      <c r="K21" s="139">
        <v>648</v>
      </c>
      <c r="L21" s="68">
        <v>7</v>
      </c>
      <c r="M21" s="38">
        <f t="shared" si="1"/>
        <v>4.25</v>
      </c>
      <c r="N21" s="14">
        <f t="shared" si="5"/>
        <v>35</v>
      </c>
      <c r="O21" s="14">
        <f t="shared" si="6"/>
        <v>3240</v>
      </c>
      <c r="P21" s="14">
        <f t="shared" si="2"/>
        <v>393.42857142857144</v>
      </c>
    </row>
    <row r="22" spans="2:16" x14ac:dyDescent="0.25">
      <c r="B22" s="14">
        <v>18</v>
      </c>
      <c r="C22" s="67">
        <v>43843</v>
      </c>
      <c r="D22" s="67">
        <f t="shared" si="0"/>
        <v>43586</v>
      </c>
      <c r="E22" s="14">
        <f t="shared" si="3"/>
        <v>20</v>
      </c>
      <c r="F22" s="67">
        <v>43862</v>
      </c>
      <c r="G22" s="45">
        <f t="shared" si="7"/>
        <v>2020</v>
      </c>
      <c r="H22" s="14">
        <f t="shared" si="4"/>
        <v>361.59999999999997</v>
      </c>
      <c r="I22" s="14" t="s">
        <v>30</v>
      </c>
      <c r="J22" s="68">
        <v>1.5</v>
      </c>
      <c r="K22" s="139">
        <v>2531.1999999999998</v>
      </c>
      <c r="L22" s="68">
        <v>7</v>
      </c>
      <c r="M22" s="38">
        <f t="shared" si="1"/>
        <v>4.25</v>
      </c>
      <c r="N22" s="14">
        <f t="shared" si="5"/>
        <v>20</v>
      </c>
      <c r="O22" s="14">
        <f t="shared" si="6"/>
        <v>7231.9999999999991</v>
      </c>
      <c r="P22" s="14">
        <f t="shared" si="2"/>
        <v>1536.8</v>
      </c>
    </row>
    <row r="23" spans="2:16" x14ac:dyDescent="0.25">
      <c r="B23" s="14">
        <v>19</v>
      </c>
      <c r="C23" s="67">
        <v>43858</v>
      </c>
      <c r="D23" s="67">
        <f t="shared" si="0"/>
        <v>43586</v>
      </c>
      <c r="E23" s="14">
        <f t="shared" si="3"/>
        <v>26</v>
      </c>
      <c r="F23" s="67">
        <v>43883</v>
      </c>
      <c r="G23" s="45">
        <f t="shared" si="7"/>
        <v>2020</v>
      </c>
      <c r="H23" s="14">
        <f t="shared" si="4"/>
        <v>408.42857142857144</v>
      </c>
      <c r="I23" s="14" t="s">
        <v>30</v>
      </c>
      <c r="J23" s="68">
        <v>1.5</v>
      </c>
      <c r="K23" s="139">
        <v>2859</v>
      </c>
      <c r="L23" s="68">
        <v>7</v>
      </c>
      <c r="M23" s="38">
        <f t="shared" si="1"/>
        <v>4.25</v>
      </c>
      <c r="N23" s="14">
        <f t="shared" si="5"/>
        <v>26</v>
      </c>
      <c r="O23" s="14">
        <f t="shared" si="6"/>
        <v>10619.142857142857</v>
      </c>
      <c r="P23" s="14">
        <f t="shared" si="2"/>
        <v>1735.8214285714287</v>
      </c>
    </row>
    <row r="24" spans="2:16" x14ac:dyDescent="0.25">
      <c r="B24" s="14">
        <v>20</v>
      </c>
      <c r="C24" s="67">
        <v>43879</v>
      </c>
      <c r="D24" s="67">
        <f t="shared" si="0"/>
        <v>43586</v>
      </c>
      <c r="E24" s="14">
        <f t="shared" si="3"/>
        <v>26</v>
      </c>
      <c r="F24" s="67">
        <v>43904</v>
      </c>
      <c r="G24" s="45">
        <f t="shared" si="7"/>
        <v>2020</v>
      </c>
      <c r="H24" s="14">
        <f t="shared" si="4"/>
        <v>349.75714285714287</v>
      </c>
      <c r="I24" s="14" t="s">
        <v>30</v>
      </c>
      <c r="J24" s="68">
        <v>1.5</v>
      </c>
      <c r="K24" s="139">
        <v>2448.3000000000002</v>
      </c>
      <c r="L24" s="68">
        <v>7</v>
      </c>
      <c r="M24" s="38">
        <f t="shared" si="1"/>
        <v>4.25</v>
      </c>
      <c r="N24" s="14">
        <f t="shared" si="5"/>
        <v>26</v>
      </c>
      <c r="O24" s="14">
        <f t="shared" si="6"/>
        <v>9093.6857142857152</v>
      </c>
      <c r="P24" s="14">
        <f t="shared" si="2"/>
        <v>1486.4678571428572</v>
      </c>
    </row>
    <row r="25" spans="2:16" x14ac:dyDescent="0.25">
      <c r="B25" s="14">
        <v>21</v>
      </c>
      <c r="C25" s="67">
        <v>43895</v>
      </c>
      <c r="D25" s="67">
        <f t="shared" si="0"/>
        <v>43586</v>
      </c>
      <c r="E25" s="14">
        <f t="shared" si="3"/>
        <v>31</v>
      </c>
      <c r="F25" s="67">
        <v>43925</v>
      </c>
      <c r="G25" s="45">
        <f t="shared" si="7"/>
        <v>2020</v>
      </c>
      <c r="H25" s="14">
        <f t="shared" si="4"/>
        <v>472</v>
      </c>
      <c r="I25" s="14" t="s">
        <v>30</v>
      </c>
      <c r="J25" s="68">
        <v>1.5</v>
      </c>
      <c r="K25" s="139">
        <v>3304</v>
      </c>
      <c r="L25" s="68">
        <v>7</v>
      </c>
      <c r="M25" s="38">
        <f t="shared" si="1"/>
        <v>4.25</v>
      </c>
      <c r="N25" s="14">
        <f t="shared" si="5"/>
        <v>31</v>
      </c>
      <c r="O25" s="14">
        <f t="shared" si="6"/>
        <v>14632</v>
      </c>
      <c r="P25" s="14">
        <f t="shared" si="2"/>
        <v>2006</v>
      </c>
    </row>
    <row r="26" spans="2:16" x14ac:dyDescent="0.25">
      <c r="B26" s="14">
        <v>22</v>
      </c>
      <c r="C26" s="67">
        <v>43920</v>
      </c>
      <c r="D26" s="67">
        <f t="shared" si="0"/>
        <v>43586</v>
      </c>
      <c r="E26" s="14">
        <f t="shared" si="3"/>
        <v>27</v>
      </c>
      <c r="F26" s="67">
        <v>43946</v>
      </c>
      <c r="G26" s="45">
        <f t="shared" si="7"/>
        <v>2020</v>
      </c>
      <c r="H26" s="14">
        <f t="shared" si="4"/>
        <v>507.5</v>
      </c>
      <c r="I26" s="14" t="s">
        <v>30</v>
      </c>
      <c r="J26" s="68">
        <v>1.5</v>
      </c>
      <c r="K26" s="139">
        <v>3552.5</v>
      </c>
      <c r="L26" s="68">
        <v>7</v>
      </c>
      <c r="M26" s="38">
        <f t="shared" si="1"/>
        <v>4.25</v>
      </c>
      <c r="N26" s="14">
        <f t="shared" si="5"/>
        <v>27</v>
      </c>
      <c r="O26" s="14">
        <f t="shared" si="6"/>
        <v>13702.5</v>
      </c>
      <c r="P26" s="14">
        <f t="shared" si="2"/>
        <v>2156.875</v>
      </c>
    </row>
    <row r="27" spans="2:16" x14ac:dyDescent="0.25">
      <c r="B27" s="14">
        <v>23</v>
      </c>
      <c r="C27" s="67">
        <v>43938</v>
      </c>
      <c r="D27" s="67">
        <f t="shared" si="0"/>
        <v>43586</v>
      </c>
      <c r="E27" s="14">
        <f t="shared" si="3"/>
        <v>30</v>
      </c>
      <c r="F27" s="67">
        <v>43967</v>
      </c>
      <c r="G27" s="45">
        <f t="shared" si="7"/>
        <v>2020</v>
      </c>
      <c r="H27" s="14">
        <f t="shared" si="4"/>
        <v>560.64285714285711</v>
      </c>
      <c r="I27" s="14" t="s">
        <v>30</v>
      </c>
      <c r="J27" s="68">
        <v>1.5</v>
      </c>
      <c r="K27" s="139">
        <v>3924.5</v>
      </c>
      <c r="L27" s="68">
        <v>7</v>
      </c>
      <c r="M27" s="38">
        <f t="shared" si="1"/>
        <v>4.25</v>
      </c>
      <c r="N27" s="14">
        <f t="shared" si="5"/>
        <v>30</v>
      </c>
      <c r="O27" s="14">
        <f t="shared" si="6"/>
        <v>16819.285714285714</v>
      </c>
      <c r="P27" s="14">
        <f t="shared" si="2"/>
        <v>2382.7321428571427</v>
      </c>
    </row>
    <row r="28" spans="2:16" x14ac:dyDescent="0.25">
      <c r="B28" s="14">
        <v>24</v>
      </c>
      <c r="C28" s="67">
        <v>43959</v>
      </c>
      <c r="D28" s="67">
        <f t="shared" si="0"/>
        <v>43586</v>
      </c>
      <c r="E28" s="14">
        <f t="shared" si="3"/>
        <v>30</v>
      </c>
      <c r="F28" s="67">
        <v>43988</v>
      </c>
      <c r="G28" s="45">
        <f t="shared" si="7"/>
        <v>2020</v>
      </c>
      <c r="H28" s="14">
        <f t="shared" si="4"/>
        <v>467.58571428571429</v>
      </c>
      <c r="I28" s="14" t="s">
        <v>30</v>
      </c>
      <c r="J28" s="68">
        <v>1.5</v>
      </c>
      <c r="K28" s="139">
        <v>3273.1</v>
      </c>
      <c r="L28" s="68">
        <v>7</v>
      </c>
      <c r="M28" s="38">
        <f t="shared" si="1"/>
        <v>4.25</v>
      </c>
      <c r="N28" s="14">
        <f t="shared" si="5"/>
        <v>30</v>
      </c>
      <c r="O28" s="14">
        <f t="shared" si="6"/>
        <v>14027.571428571429</v>
      </c>
      <c r="P28" s="14">
        <f t="shared" si="2"/>
        <v>1987.2392857142856</v>
      </c>
    </row>
    <row r="29" spans="2:16" x14ac:dyDescent="0.25">
      <c r="B29" s="14">
        <v>25</v>
      </c>
      <c r="C29" s="67">
        <v>43984</v>
      </c>
      <c r="D29" s="67">
        <f t="shared" si="0"/>
        <v>43586</v>
      </c>
      <c r="E29" s="14">
        <f t="shared" si="3"/>
        <v>26</v>
      </c>
      <c r="F29" s="67">
        <v>44009</v>
      </c>
      <c r="G29" s="45">
        <f t="shared" si="7"/>
        <v>2020</v>
      </c>
      <c r="H29" s="14">
        <f t="shared" si="4"/>
        <v>546.61428571428576</v>
      </c>
      <c r="I29" s="14" t="s">
        <v>30</v>
      </c>
      <c r="J29" s="68">
        <v>1.5</v>
      </c>
      <c r="K29" s="139">
        <v>3826.3</v>
      </c>
      <c r="L29" s="68">
        <v>7</v>
      </c>
      <c r="M29" s="38">
        <f t="shared" si="1"/>
        <v>4.25</v>
      </c>
      <c r="N29" s="14">
        <f t="shared" si="5"/>
        <v>26</v>
      </c>
      <c r="O29" s="14">
        <f t="shared" si="6"/>
        <v>14211.971428571429</v>
      </c>
      <c r="P29" s="14">
        <f t="shared" si="2"/>
        <v>2323.1107142857145</v>
      </c>
    </row>
    <row r="30" spans="2:16" x14ac:dyDescent="0.25">
      <c r="B30" s="14">
        <v>26</v>
      </c>
      <c r="C30" s="67">
        <v>44000</v>
      </c>
      <c r="D30" s="67">
        <f t="shared" si="0"/>
        <v>43586</v>
      </c>
      <c r="E30" s="14">
        <f t="shared" si="3"/>
        <v>31</v>
      </c>
      <c r="F30" s="67">
        <v>44030</v>
      </c>
      <c r="G30" s="45">
        <f t="shared" si="7"/>
        <v>2020</v>
      </c>
      <c r="H30" s="14">
        <f t="shared" si="4"/>
        <v>519.65714285714284</v>
      </c>
      <c r="I30" s="14" t="s">
        <v>30</v>
      </c>
      <c r="J30" s="68">
        <v>1.5</v>
      </c>
      <c r="K30" s="139">
        <v>3637.6</v>
      </c>
      <c r="L30" s="68">
        <v>7</v>
      </c>
      <c r="M30" s="38">
        <f t="shared" si="1"/>
        <v>4.25</v>
      </c>
      <c r="N30" s="14">
        <f t="shared" si="5"/>
        <v>31</v>
      </c>
      <c r="O30" s="14">
        <f t="shared" si="6"/>
        <v>16109.371428571429</v>
      </c>
      <c r="P30" s="14">
        <f t="shared" si="2"/>
        <v>2208.542857142857</v>
      </c>
    </row>
    <row r="31" spans="2:16" x14ac:dyDescent="0.25">
      <c r="B31" s="14">
        <v>27</v>
      </c>
      <c r="C31" s="67">
        <v>44021</v>
      </c>
      <c r="D31" s="67">
        <f t="shared" si="0"/>
        <v>43586</v>
      </c>
      <c r="E31" s="14">
        <f t="shared" si="3"/>
        <v>31</v>
      </c>
      <c r="F31" s="67">
        <v>44051</v>
      </c>
      <c r="G31" s="45">
        <f t="shared" si="7"/>
        <v>2020</v>
      </c>
      <c r="H31" s="14">
        <f t="shared" si="4"/>
        <v>483.42857142857144</v>
      </c>
      <c r="I31" s="14" t="s">
        <v>30</v>
      </c>
      <c r="J31" s="68">
        <v>1.5</v>
      </c>
      <c r="K31" s="139">
        <v>3384</v>
      </c>
      <c r="L31" s="68">
        <v>7</v>
      </c>
      <c r="M31" s="38">
        <f t="shared" si="1"/>
        <v>4.25</v>
      </c>
      <c r="N31" s="14">
        <f t="shared" si="5"/>
        <v>31</v>
      </c>
      <c r="O31" s="14">
        <f t="shared" si="6"/>
        <v>14986.285714285716</v>
      </c>
      <c r="P31" s="14">
        <f t="shared" si="2"/>
        <v>2054.5714285714284</v>
      </c>
    </row>
    <row r="32" spans="2:16" x14ac:dyDescent="0.25">
      <c r="B32" s="14">
        <v>28</v>
      </c>
      <c r="C32" s="67">
        <v>44064</v>
      </c>
      <c r="D32" s="67">
        <f t="shared" si="0"/>
        <v>43586</v>
      </c>
      <c r="E32" s="14">
        <f t="shared" si="3"/>
        <v>30</v>
      </c>
      <c r="F32" s="67">
        <v>44093</v>
      </c>
      <c r="G32" s="45">
        <f t="shared" si="7"/>
        <v>2020</v>
      </c>
      <c r="H32" s="14">
        <f t="shared" si="4"/>
        <v>445.04285714285714</v>
      </c>
      <c r="I32" s="14" t="s">
        <v>30</v>
      </c>
      <c r="J32" s="68">
        <v>1.5</v>
      </c>
      <c r="K32" s="139">
        <v>3115.3</v>
      </c>
      <c r="L32" s="68">
        <v>7</v>
      </c>
      <c r="M32" s="38">
        <f t="shared" si="1"/>
        <v>4.25</v>
      </c>
      <c r="N32" s="14">
        <f t="shared" si="5"/>
        <v>30</v>
      </c>
      <c r="O32" s="14">
        <f t="shared" si="6"/>
        <v>13351.285714285714</v>
      </c>
      <c r="P32" s="14">
        <f t="shared" si="2"/>
        <v>1891.4321428571429</v>
      </c>
    </row>
    <row r="33" spans="2:16" x14ac:dyDescent="0.25">
      <c r="B33" s="14">
        <v>29</v>
      </c>
      <c r="C33" s="67">
        <v>44082</v>
      </c>
      <c r="D33" s="67">
        <f t="shared" si="0"/>
        <v>43586</v>
      </c>
      <c r="E33" s="14">
        <f t="shared" si="3"/>
        <v>33</v>
      </c>
      <c r="F33" s="67">
        <v>44114</v>
      </c>
      <c r="G33" s="45">
        <f t="shared" si="7"/>
        <v>2020</v>
      </c>
      <c r="H33" s="14">
        <f t="shared" si="4"/>
        <v>124.41428571428571</v>
      </c>
      <c r="I33" s="14" t="s">
        <v>30</v>
      </c>
      <c r="J33" s="68">
        <v>1.5</v>
      </c>
      <c r="K33" s="139">
        <v>870.9</v>
      </c>
      <c r="L33" s="68">
        <v>7</v>
      </c>
      <c r="M33" s="38">
        <f t="shared" si="1"/>
        <v>4.25</v>
      </c>
      <c r="N33" s="14">
        <f t="shared" si="5"/>
        <v>33</v>
      </c>
      <c r="O33" s="14">
        <f t="shared" si="6"/>
        <v>4105.6714285714288</v>
      </c>
      <c r="P33" s="14">
        <f t="shared" si="2"/>
        <v>528.76071428571424</v>
      </c>
    </row>
    <row r="34" spans="2:16" x14ac:dyDescent="0.25">
      <c r="B34" s="14">
        <v>30</v>
      </c>
      <c r="C34" s="67">
        <v>44085</v>
      </c>
      <c r="D34" s="67">
        <f t="shared" si="0"/>
        <v>43586</v>
      </c>
      <c r="E34" s="14">
        <f t="shared" si="3"/>
        <v>30</v>
      </c>
      <c r="F34" s="67">
        <v>44114</v>
      </c>
      <c r="G34" s="45">
        <f t="shared" si="7"/>
        <v>2020</v>
      </c>
      <c r="H34" s="14">
        <f>K34/L34</f>
        <v>493.15714285714284</v>
      </c>
      <c r="I34" s="14" t="s">
        <v>30</v>
      </c>
      <c r="J34" s="68">
        <v>1.5</v>
      </c>
      <c r="K34" s="139">
        <v>3452.1</v>
      </c>
      <c r="L34" s="68">
        <v>7</v>
      </c>
      <c r="M34" s="38">
        <f t="shared" si="1"/>
        <v>4.25</v>
      </c>
      <c r="N34" s="14">
        <f t="shared" si="5"/>
        <v>30</v>
      </c>
      <c r="O34" s="14">
        <f t="shared" si="6"/>
        <v>14794.714285714286</v>
      </c>
      <c r="P34" s="14">
        <f t="shared" si="2"/>
        <v>2095.917857142857</v>
      </c>
    </row>
    <row r="35" spans="2:16" x14ac:dyDescent="0.25">
      <c r="B35" s="14">
        <v>31</v>
      </c>
      <c r="C35" s="67">
        <v>44109</v>
      </c>
      <c r="D35" s="67">
        <f t="shared" si="0"/>
        <v>43586</v>
      </c>
      <c r="E35" s="14">
        <f t="shared" si="3"/>
        <v>27</v>
      </c>
      <c r="F35" s="67">
        <v>44135</v>
      </c>
      <c r="G35" s="45">
        <f t="shared" si="7"/>
        <v>2020</v>
      </c>
      <c r="H35" s="14">
        <f>K35/L35</f>
        <v>609.62857142857138</v>
      </c>
      <c r="I35" s="14" t="s">
        <v>30</v>
      </c>
      <c r="J35" s="68">
        <v>1.5</v>
      </c>
      <c r="K35" s="139">
        <v>4267.3999999999996</v>
      </c>
      <c r="L35" s="68">
        <v>7</v>
      </c>
      <c r="M35" s="38">
        <f t="shared" si="1"/>
        <v>4.25</v>
      </c>
      <c r="N35" s="14">
        <f t="shared" si="5"/>
        <v>27</v>
      </c>
      <c r="O35" s="14">
        <f t="shared" si="6"/>
        <v>16459.971428571429</v>
      </c>
      <c r="P35" s="14">
        <f t="shared" si="2"/>
        <v>2590.9214285714284</v>
      </c>
    </row>
    <row r="36" spans="2:16" x14ac:dyDescent="0.25">
      <c r="B36" s="14">
        <v>32</v>
      </c>
      <c r="C36" s="67">
        <v>44130</v>
      </c>
      <c r="D36" s="67">
        <f t="shared" si="0"/>
        <v>43586</v>
      </c>
      <c r="E36" s="14">
        <f t="shared" si="3"/>
        <v>27</v>
      </c>
      <c r="F36" s="67">
        <v>44156</v>
      </c>
      <c r="G36" s="45">
        <f t="shared" si="7"/>
        <v>2020</v>
      </c>
      <c r="H36" s="14">
        <f>K36/L36</f>
        <v>522.87142857142851</v>
      </c>
      <c r="I36" s="14" t="s">
        <v>30</v>
      </c>
      <c r="J36" s="68">
        <v>1.5</v>
      </c>
      <c r="K36" s="139">
        <v>3660.1</v>
      </c>
      <c r="L36" s="68">
        <v>7</v>
      </c>
      <c r="M36" s="38">
        <f t="shared" si="1"/>
        <v>4.25</v>
      </c>
      <c r="N36" s="14">
        <f t="shared" si="5"/>
        <v>27</v>
      </c>
      <c r="O36" s="14">
        <f t="shared" si="6"/>
        <v>14117.528571428569</v>
      </c>
      <c r="P36" s="14">
        <f t="shared" si="2"/>
        <v>2222.2035714285712</v>
      </c>
    </row>
    <row r="37" spans="2:16" x14ac:dyDescent="0.25">
      <c r="B37" s="14">
        <v>33</v>
      </c>
      <c r="C37" s="67">
        <v>44152</v>
      </c>
      <c r="D37" s="67">
        <f t="shared" si="0"/>
        <v>43586</v>
      </c>
      <c r="E37" s="14">
        <f t="shared" si="3"/>
        <v>26</v>
      </c>
      <c r="F37" s="67">
        <v>44177</v>
      </c>
      <c r="G37" s="45">
        <f t="shared" si="7"/>
        <v>2020</v>
      </c>
      <c r="H37" s="14">
        <f>K37/L37</f>
        <v>540.20000000000005</v>
      </c>
      <c r="I37" s="14" t="s">
        <v>30</v>
      </c>
      <c r="J37" s="68">
        <v>1.5</v>
      </c>
      <c r="K37" s="139">
        <v>3781.4</v>
      </c>
      <c r="L37" s="68">
        <v>7</v>
      </c>
      <c r="M37" s="38">
        <f t="shared" si="1"/>
        <v>4.25</v>
      </c>
      <c r="N37" s="14">
        <f t="shared" si="5"/>
        <v>26</v>
      </c>
      <c r="O37" s="14">
        <f t="shared" si="6"/>
        <v>14045.2</v>
      </c>
      <c r="P37" s="14">
        <f t="shared" si="2"/>
        <v>2295.8500000000004</v>
      </c>
    </row>
    <row r="38" spans="2:16" x14ac:dyDescent="0.25">
      <c r="B38" s="14">
        <v>34</v>
      </c>
      <c r="C38" s="67">
        <v>44172</v>
      </c>
      <c r="D38" s="67">
        <f t="shared" si="0"/>
        <v>43586</v>
      </c>
      <c r="E38" s="14">
        <f t="shared" si="3"/>
        <v>27</v>
      </c>
      <c r="F38" s="67">
        <v>44198</v>
      </c>
      <c r="G38" s="45">
        <f t="shared" si="7"/>
        <v>2021</v>
      </c>
      <c r="H38" s="14">
        <f>K38/7</f>
        <v>506.45714285714286</v>
      </c>
      <c r="I38" s="14" t="s">
        <v>30</v>
      </c>
      <c r="J38" s="68">
        <v>1.5</v>
      </c>
      <c r="K38" s="139">
        <v>3545.2</v>
      </c>
      <c r="L38" s="68">
        <f>(7-(((F38-D2)+1)*((K38/E38)/H38)))</f>
        <v>6.2222222222222223</v>
      </c>
      <c r="M38" s="38">
        <f>IF(J38="","",AVERAGE(J38,L38))</f>
        <v>3.8611111111111112</v>
      </c>
      <c r="N38" s="14">
        <f t="shared" si="5"/>
        <v>27</v>
      </c>
      <c r="O38" s="14">
        <f t="shared" si="6"/>
        <v>13674.342857142858</v>
      </c>
      <c r="P38" s="14">
        <f t="shared" si="2"/>
        <v>1955.4873015873015</v>
      </c>
    </row>
    <row r="39" spans="2:16" x14ac:dyDescent="0.25">
      <c r="B39" s="14">
        <v>35</v>
      </c>
      <c r="C39" s="67">
        <v>44193</v>
      </c>
      <c r="D39" s="67">
        <f t="shared" si="0"/>
        <v>43586</v>
      </c>
      <c r="E39" s="14">
        <f t="shared" si="3"/>
        <v>27</v>
      </c>
      <c r="F39" s="67">
        <v>44219</v>
      </c>
      <c r="G39" s="45">
        <f t="shared" si="7"/>
        <v>2021</v>
      </c>
      <c r="H39" s="14">
        <f>K39/7</f>
        <v>512.21428571428567</v>
      </c>
      <c r="I39" s="14" t="s">
        <v>30</v>
      </c>
      <c r="J39" s="68">
        <v>1.5</v>
      </c>
      <c r="K39" s="139">
        <v>3585.5</v>
      </c>
      <c r="L39" s="68">
        <f>(7-(((F39-D2)+1)*((K39/E39)/H39)))+J39</f>
        <v>2.2777777777777768</v>
      </c>
      <c r="M39" s="38">
        <f t="shared" si="1"/>
        <v>1.8888888888888884</v>
      </c>
      <c r="N39" s="14">
        <f t="shared" si="5"/>
        <v>27</v>
      </c>
      <c r="O39" s="14">
        <f t="shared" si="6"/>
        <v>13829.785714285714</v>
      </c>
      <c r="P39" s="14">
        <f t="shared" si="2"/>
        <v>967.51587301587267</v>
      </c>
    </row>
    <row r="40" spans="2:16" x14ac:dyDescent="0.25">
      <c r="B40" s="14">
        <v>36</v>
      </c>
      <c r="C40" s="67">
        <v>43466</v>
      </c>
      <c r="D40" s="67">
        <f t="shared" si="0"/>
        <v>43586</v>
      </c>
      <c r="E40" s="14">
        <f t="shared" si="3"/>
        <v>365</v>
      </c>
      <c r="F40" s="67">
        <v>43830</v>
      </c>
      <c r="G40" s="45">
        <f t="shared" si="7"/>
        <v>2019</v>
      </c>
      <c r="H40" s="14">
        <v>388</v>
      </c>
      <c r="I40" s="14" t="s">
        <v>27</v>
      </c>
      <c r="J40" s="45">
        <f>'BE - Granja Silva'!$M$27</f>
        <v>28</v>
      </c>
      <c r="K40" s="139">
        <f>H40*L40</f>
        <v>10864</v>
      </c>
      <c r="L40" s="45">
        <f>'BE - Granja Silva'!$M$27</f>
        <v>28</v>
      </c>
      <c r="M40" s="38">
        <f t="shared" si="1"/>
        <v>28</v>
      </c>
      <c r="N40" s="14">
        <f t="shared" si="5"/>
        <v>245</v>
      </c>
      <c r="O40" s="14">
        <f>IF(N40="","",H40*N40)</f>
        <v>95060</v>
      </c>
      <c r="P40" s="14">
        <f t="shared" si="2"/>
        <v>10864</v>
      </c>
    </row>
    <row r="41" spans="2:16" x14ac:dyDescent="0.25">
      <c r="B41" s="14">
        <v>37</v>
      </c>
      <c r="C41" s="67">
        <v>43466</v>
      </c>
      <c r="D41" s="67">
        <f t="shared" si="0"/>
        <v>43586</v>
      </c>
      <c r="E41" s="14">
        <f t="shared" si="3"/>
        <v>365</v>
      </c>
      <c r="F41" s="67">
        <v>43830</v>
      </c>
      <c r="G41" s="45">
        <f t="shared" si="7"/>
        <v>2019</v>
      </c>
      <c r="H41" s="14">
        <v>4</v>
      </c>
      <c r="I41" s="14" t="s">
        <v>29</v>
      </c>
      <c r="J41" s="45">
        <f>'BE - Granja Silva'!$M$27</f>
        <v>28</v>
      </c>
      <c r="K41" s="139">
        <f>H41*L41</f>
        <v>112</v>
      </c>
      <c r="L41" s="45">
        <f>'BE - Granja Silva'!$M$27</f>
        <v>28</v>
      </c>
      <c r="M41" s="38">
        <f t="shared" si="1"/>
        <v>28</v>
      </c>
      <c r="N41" s="14">
        <f t="shared" si="5"/>
        <v>245</v>
      </c>
      <c r="O41" s="14">
        <f t="shared" si="6"/>
        <v>980</v>
      </c>
      <c r="P41" s="14">
        <f t="shared" si="2"/>
        <v>112</v>
      </c>
    </row>
    <row r="42" spans="2:16" x14ac:dyDescent="0.25">
      <c r="B42" s="14">
        <v>38</v>
      </c>
      <c r="C42" s="67">
        <v>43831</v>
      </c>
      <c r="D42" s="67">
        <f t="shared" si="0"/>
        <v>43586</v>
      </c>
      <c r="E42" s="14">
        <f t="shared" si="3"/>
        <v>366</v>
      </c>
      <c r="F42" s="67">
        <v>44196</v>
      </c>
      <c r="G42" s="45">
        <f t="shared" si="7"/>
        <v>2020</v>
      </c>
      <c r="H42" s="14">
        <v>388</v>
      </c>
      <c r="I42" s="14" t="s">
        <v>27</v>
      </c>
      <c r="J42" s="45">
        <f>'BE - Granja Silva'!$M$27</f>
        <v>28</v>
      </c>
      <c r="K42" s="139">
        <f>H42*L42</f>
        <v>10864</v>
      </c>
      <c r="L42" s="45">
        <f>'BE - Granja Silva'!$M$27</f>
        <v>28</v>
      </c>
      <c r="M42" s="38">
        <f t="shared" si="1"/>
        <v>28</v>
      </c>
      <c r="N42" s="14">
        <f t="shared" si="5"/>
        <v>366</v>
      </c>
      <c r="O42" s="14">
        <f t="shared" si="6"/>
        <v>142008</v>
      </c>
      <c r="P42" s="14">
        <f t="shared" si="2"/>
        <v>10864</v>
      </c>
    </row>
    <row r="43" spans="2:16" x14ac:dyDescent="0.25">
      <c r="B43" s="14">
        <v>39</v>
      </c>
      <c r="C43" s="67">
        <v>43831</v>
      </c>
      <c r="D43" s="67">
        <f t="shared" si="0"/>
        <v>43586</v>
      </c>
      <c r="E43" s="14">
        <f t="shared" si="3"/>
        <v>366</v>
      </c>
      <c r="F43" s="67">
        <v>44196</v>
      </c>
      <c r="G43" s="45">
        <f t="shared" si="7"/>
        <v>2020</v>
      </c>
      <c r="H43" s="14">
        <v>4</v>
      </c>
      <c r="I43" s="14" t="s">
        <v>29</v>
      </c>
      <c r="J43" s="45">
        <f>'BE - Granja Silva'!$M$27</f>
        <v>28</v>
      </c>
      <c r="K43" s="139">
        <f>H43*L43</f>
        <v>112</v>
      </c>
      <c r="L43" s="45">
        <f>'BE - Granja Silva'!$M$27</f>
        <v>28</v>
      </c>
      <c r="M43" s="38">
        <f t="shared" si="1"/>
        <v>28</v>
      </c>
      <c r="N43" s="14">
        <f t="shared" si="5"/>
        <v>366</v>
      </c>
      <c r="O43" s="14">
        <f t="shared" si="6"/>
        <v>1464</v>
      </c>
      <c r="P43" s="14">
        <f t="shared" si="2"/>
        <v>112</v>
      </c>
    </row>
    <row r="44" spans="2:16" x14ac:dyDescent="0.25">
      <c r="B44" s="141"/>
    </row>
    <row r="45" spans="2:16" x14ac:dyDescent="0.25">
      <c r="B45" s="146" t="s">
        <v>66</v>
      </c>
      <c r="C45" s="147"/>
      <c r="D45" s="147"/>
      <c r="E45" s="171"/>
    </row>
    <row r="46" spans="2:16" x14ac:dyDescent="0.25">
      <c r="B46" s="21" t="s">
        <v>15</v>
      </c>
      <c r="C46" s="52" t="s">
        <v>76</v>
      </c>
      <c r="D46" s="21">
        <v>2019</v>
      </c>
      <c r="E46" s="21">
        <v>2020</v>
      </c>
      <c r="F46" s="70"/>
      <c r="G46" s="70"/>
      <c r="I46" s="71"/>
    </row>
    <row r="47" spans="2:16" x14ac:dyDescent="0.25">
      <c r="B47" s="170" t="s">
        <v>86</v>
      </c>
      <c r="C47" s="11" t="s">
        <v>26</v>
      </c>
      <c r="D47" s="45">
        <f>SUMIFS($O$5:$O$19,$I$5:$I$19,$C47,$G$5:$G$19,D$46)/(IF(SUMIFS($H$5:$H$19,$I$5:$I$19,$C47,$G$5:$G$19,D$46)=0,1,SUMIFS($H$5:$H$19,$I$5:$I$19,$C47,$G$5:$G$19,D$46)))</f>
        <v>0</v>
      </c>
      <c r="E47" s="45">
        <f>SUMIFS($O$5:$O$19,$I$5:$I$19,$C47,$G$5:$G$19,E$46)/(IF(SUMIFS($H$5:$H$19,$I$5:$I$19,$C47,$G$5:$G$19,E$46)=0,1,SUMIFS($H$5:$H$19,$I$5:$I$19,$C47,$G$5:$G$19,E$46)))</f>
        <v>0</v>
      </c>
      <c r="F47" s="70"/>
      <c r="G47" s="70"/>
      <c r="I47" s="73"/>
    </row>
    <row r="48" spans="2:16" x14ac:dyDescent="0.25">
      <c r="B48" s="170"/>
      <c r="C48" s="11" t="s">
        <v>27</v>
      </c>
      <c r="D48" s="45">
        <f t="shared" ref="D48:E51" si="8">SUMIFS($O$5:$O$43,$I$5:$I$43,$C48,$G$5:$G$43,D$46)/(IF(SUMIFS($H$5:$H$43,$I$5:$I$43,$C48,$G$5:$G$43,D$46)=0,1,SUMIFS($H$5:$H$43,$I$5:$I$43,$C48,$G$5:$G$43,D$46)))</f>
        <v>245</v>
      </c>
      <c r="E48" s="45">
        <f t="shared" si="8"/>
        <v>366</v>
      </c>
      <c r="F48" s="70"/>
      <c r="G48" s="70"/>
      <c r="I48" s="73"/>
    </row>
    <row r="49" spans="2:9" x14ac:dyDescent="0.25">
      <c r="B49" s="170"/>
      <c r="C49" s="11" t="s">
        <v>28</v>
      </c>
      <c r="D49" s="45">
        <f t="shared" si="8"/>
        <v>0</v>
      </c>
      <c r="E49" s="45">
        <f t="shared" si="8"/>
        <v>0</v>
      </c>
      <c r="F49" s="70"/>
      <c r="G49" s="70"/>
      <c r="I49" s="73"/>
    </row>
    <row r="50" spans="2:9" x14ac:dyDescent="0.25">
      <c r="B50" s="170"/>
      <c r="C50" s="11" t="s">
        <v>29</v>
      </c>
      <c r="D50" s="45">
        <f>SUMIFS($O$5:$O$43,$I$5:$I$43,$C50,$G$5:$G$43,D$46)/(IF(SUMIFS($H$5:$H$43,$I$5:$I$43,$C50,$G$5:$G$43,D$46)=0,1,SUMIFS($H$5:$H$43,$I$5:$I$43,$C50,$G$5:$G$43,D$46)))</f>
        <v>245</v>
      </c>
      <c r="E50" s="45">
        <f t="shared" si="8"/>
        <v>366</v>
      </c>
      <c r="F50" s="70"/>
      <c r="G50" s="70"/>
      <c r="I50" s="73"/>
    </row>
    <row r="51" spans="2:9" x14ac:dyDescent="0.25">
      <c r="B51" s="170"/>
      <c r="C51" s="11" t="s">
        <v>30</v>
      </c>
      <c r="D51" s="45">
        <f t="shared" si="8"/>
        <v>27.100918582882585</v>
      </c>
      <c r="E51" s="45">
        <f>SUMIFS($O$5:$O$43,$I$5:$I$43,$C51,$G$5:$G$43,E$46)/(IF(SUMIFS($H$5:$H$43,$I$5:$I$43,$C51,$G$5:$G$43,E$46)=0,1,SUMIFS($H$5:$H$43,$I$5:$I$43,$C51,$G$5:$G$43,E$46)))</f>
        <v>28.377552668333696</v>
      </c>
      <c r="F51" s="70"/>
      <c r="G51" s="70"/>
      <c r="I51" s="73"/>
    </row>
    <row r="52" spans="2:9" x14ac:dyDescent="0.25">
      <c r="B52" s="170"/>
      <c r="C52" s="11" t="s">
        <v>78</v>
      </c>
      <c r="D52" s="45">
        <f>SUMIFS($O$5:$O$19,$I$5:$I$19,$C52,$G$5:$G$19,D$46)/(IF(SUMIFS($H$5:$H$19,$I$5:$I$19,$C52,$G$5:$G$19,D$46)=0,1,SUMIFS($H$5:$H$19,$I$5:$I$19,$C52,$G$5:$G$19,D$46)))</f>
        <v>0</v>
      </c>
      <c r="E52" s="45">
        <f>SUMIFS($O$5:$O$19,$I$5:$I$19,$C52,$G$5:$G$19,E$46)/(IF(SUMIFS($H$5:$H$19,$I$5:$I$19,$C52,$G$5:$G$19,E$46)=0,1,SUMIFS($H$5:$H$19,$I$5:$I$19,$C52,$G$5:$G$19,E$46)))</f>
        <v>0</v>
      </c>
      <c r="F52" s="70"/>
      <c r="G52" s="70"/>
      <c r="I52" s="73"/>
    </row>
    <row r="53" spans="2:9" x14ac:dyDescent="0.25">
      <c r="B53" s="170"/>
      <c r="C53" s="11" t="s">
        <v>24</v>
      </c>
      <c r="D53" s="45">
        <f>SUMIFS($O$5:$O$19,$I$5:$I$19,$C53,$G$5:$G$19,D$46)/(IF(SUMIFS($H$5:$H$19,$I$5:$I$19,$C53,$G$5:$G$19,D$46)=0,1,SUMIFS($H$5:$H$19,$I$5:$I$19,$C53,$G$5:$G$19,D$46)))</f>
        <v>0</v>
      </c>
      <c r="E53" s="45">
        <f>SUMIFS($O$5:$O$19,$I$5:$I$19,$C53,$G$5:$G$19,E$46)/(IF(SUMIFS($H$5:$H$19,$I$5:$I$19,$C53,$G$5:$G$19,E$46)=0,1,SUMIFS($H$5:$H$19,$I$5:$I$19,$C53,$G$5:$G$19,E$46)))</f>
        <v>0</v>
      </c>
      <c r="F53" s="70"/>
      <c r="G53" s="70"/>
      <c r="I53" s="73"/>
    </row>
    <row r="54" spans="2:9" x14ac:dyDescent="0.25">
      <c r="B54" s="170" t="s">
        <v>122</v>
      </c>
      <c r="C54" s="11" t="s">
        <v>26</v>
      </c>
      <c r="D54" s="45">
        <f>SUMIFS($P$5:$P$19,$I$5:$I$19,$C54,$G$5:$G$19,D$46)/IF(SUMIFS($H$5:$H$19,$I$5:$I$19,$C54,$G$5:$G$19,D$46)=0,1,SUMIFS($H$5:$H$19,$I$5:$I$19,$C54,$G$5:$G$19,D$46))</f>
        <v>0</v>
      </c>
      <c r="E54" s="45">
        <f>SUMIFS($P$5:$P$19,$I$5:$I$19,$C54,$G$5:$G$19,E$46)/IF(SUMIFS($H$5:$H$19,$I$5:$I$19,$C54,$G$5:$G$19,E$46)=0,1,SUMIFS($H$5:$H$19,$I$5:$I$19,$C54,$G$5:$G$19,E$46))</f>
        <v>0</v>
      </c>
      <c r="F54" s="70"/>
      <c r="G54" s="70"/>
      <c r="I54" s="74"/>
    </row>
    <row r="55" spans="2:9" x14ac:dyDescent="0.25">
      <c r="B55" s="170"/>
      <c r="C55" s="11" t="s">
        <v>27</v>
      </c>
      <c r="D55" s="45">
        <f>SUMIFS($P$5:$P$43,$I$5:$I$43,$C55,$G$5:$G$43,D$46)/IF(SUMIFS($H$5:$H$43,$I$5:$I$43,$C55,$G$5:$G$43,D$46)=0,1,SUMIFS($H$5:$H$43,$I$5:$I$43,$C55,$G$5:$G$43,D$46))</f>
        <v>28</v>
      </c>
      <c r="E55" s="45">
        <f t="shared" ref="D55:E58" si="9">SUMIFS($P$5:$P$43,$I$5:$I$43,$C55,$G$5:$G$43,E$46)/IF(SUMIFS($H$5:$H$43,$I$5:$I$43,$C55,$G$5:$G$43,E$46)=0,1,SUMIFS($H$5:$H$43,$I$5:$I$43,$C55,$G$5:$G$43,E$46))</f>
        <v>28</v>
      </c>
      <c r="F55" s="70"/>
      <c r="H55" s="71"/>
    </row>
    <row r="56" spans="2:9" x14ac:dyDescent="0.25">
      <c r="B56" s="170"/>
      <c r="C56" s="11" t="s">
        <v>28</v>
      </c>
      <c r="D56" s="45">
        <f>SUMIFS($P$5:$P$43,$I$5:$I$43,$C56,$G$5:$G$43,D$46)/IF(SUMIFS($H$5:$H$43,$I$5:$I$43,$C56,$G$5:$G$43,D$46)=0,1,SUMIFS($H$5:$H$43,$I$5:$I$43,$C56,$G$5:$G$43,D$46))</f>
        <v>0</v>
      </c>
      <c r="E56" s="45">
        <f t="shared" si="9"/>
        <v>0</v>
      </c>
      <c r="F56" s="70"/>
    </row>
    <row r="57" spans="2:9" x14ac:dyDescent="0.25">
      <c r="B57" s="170"/>
      <c r="C57" s="11" t="s">
        <v>29</v>
      </c>
      <c r="D57" s="45">
        <f>SUMIFS($P$5:$P$43,$I$5:$I$43,$C57,$G$5:$G$43,D$46)/IF(SUMIFS($H$5:$H$43,$I$5:$I$43,$C57,$G$5:$G$43,D$46)=0,1,SUMIFS($H$5:$H$43,$I$5:$I$43,$C57,$G$5:$G$43,D$46))</f>
        <v>28</v>
      </c>
      <c r="E57" s="45">
        <f t="shared" si="9"/>
        <v>28</v>
      </c>
      <c r="F57" s="70"/>
    </row>
    <row r="58" spans="2:9" x14ac:dyDescent="0.25">
      <c r="B58" s="170"/>
      <c r="C58" s="11" t="s">
        <v>30</v>
      </c>
      <c r="D58" s="68">
        <f t="shared" si="9"/>
        <v>4.2499999999999991</v>
      </c>
      <c r="E58" s="68">
        <f t="shared" si="9"/>
        <v>4.25</v>
      </c>
      <c r="F58" s="70"/>
    </row>
    <row r="59" spans="2:9" x14ac:dyDescent="0.25">
      <c r="B59" s="170"/>
      <c r="C59" s="11" t="s">
        <v>78</v>
      </c>
      <c r="D59" s="45">
        <f>SUMIFS($P$5:$P$19,$I$5:$I$19,$C59,$G$5:$G$19,D$46)/IF(SUMIFS($H$5:$H$19,$I$5:$I$19,$C59,$G$5:$G$19,D$46)=0,1,SUMIFS($H$5:$H$19,$I$5:$I$19,$C59,$G$5:$G$19,D$46))</f>
        <v>0</v>
      </c>
      <c r="E59" s="45">
        <f>SUMIFS($P$5:$P$19,$I$5:$I$19,$C59,$G$5:$G$19,E$46)/IF(SUMIFS($H$5:$H$19,$I$5:$I$19,$C59,$G$5:$G$19,E$46)=0,1,SUMIFS($H$5:$H$19,$I$5:$I$19,$C59,$G$5:$G$19,E$46))</f>
        <v>0</v>
      </c>
    </row>
    <row r="60" spans="2:9" x14ac:dyDescent="0.25">
      <c r="B60" s="170"/>
      <c r="C60" s="11" t="s">
        <v>24</v>
      </c>
      <c r="D60" s="45">
        <f>SUMIFS($P$5:$P$39,$I$5:$I$39,$C60,$G$5:$G$39,D$46)/IF(SUMIFS($H$5:$H$39,$I$5:$I$39,$C60,$G$5:$G$39,D$46)=0,1,SUMIFS($H$5:$H$39,$I$5:$I$39,$C60,$G$5:$G$39,D$46))</f>
        <v>0</v>
      </c>
      <c r="E60" s="45">
        <f>SUMIFS($P$5:$P$19,$I$5:$I$19,$C60,$G$5:$G$19,E$46)/IF(SUMIFS($H$5:$H$19,$I$5:$I$19,$C60,$G$5:$G$19,E$46)=0,1,SUMIFS($H$5:$H$19,$I$5:$I$19,$C60,$G$5:$G$19,E$46))</f>
        <v>0</v>
      </c>
    </row>
  </sheetData>
  <mergeCells count="3">
    <mergeCell ref="B45:E45"/>
    <mergeCell ref="B47:B53"/>
    <mergeCell ref="B54:B60"/>
  </mergeCells>
  <dataValidations count="1">
    <dataValidation type="list" allowBlank="1" showInputMessage="1" showErrorMessage="1" sqref="I65534:I65572 I5:I43 JE5:JE43 TA5:TA43 ACW5:ACW43 AMS5:AMS43 AWO5:AWO43 BGK5:BGK43 BQG5:BQG43 CAC5:CAC43 CJY5:CJY43 CTU5:CTU43 DDQ5:DDQ43 DNM5:DNM43 DXI5:DXI43 EHE5:EHE43 ERA5:ERA43 FAW5:FAW43 FKS5:FKS43 FUO5:FUO43 GEK5:GEK43 GOG5:GOG43 GYC5:GYC43 HHY5:HHY43 HRU5:HRU43 IBQ5:IBQ43 ILM5:ILM43 IVI5:IVI43 JFE5:JFE43 JPA5:JPA43 JYW5:JYW43 KIS5:KIS43 KSO5:KSO43 LCK5:LCK43 LMG5:LMG43 LWC5:LWC43 MFY5:MFY43 MPU5:MPU43 MZQ5:MZQ43 NJM5:NJM43 NTI5:NTI43 ODE5:ODE43 ONA5:ONA43 OWW5:OWW43 PGS5:PGS43 PQO5:PQO43 QAK5:QAK43 QKG5:QKG43 QUC5:QUC43 RDY5:RDY43 RNU5:RNU43 RXQ5:RXQ43 SHM5:SHM43 SRI5:SRI43 TBE5:TBE43 TLA5:TLA43 TUW5:TUW43 UES5:UES43 UOO5:UOO43 UYK5:UYK43 VIG5:VIG43 VSC5:VSC43 WBY5:WBY43 WLU5:WLU43 WVQ5:WVQ43 JE65534:JE65572 TA65534:TA65572 ACW65534:ACW65572 AMS65534:AMS65572 AWO65534:AWO65572 BGK65534:BGK65572 BQG65534:BQG65572 CAC65534:CAC65572 CJY65534:CJY65572 CTU65534:CTU65572 DDQ65534:DDQ65572 DNM65534:DNM65572 DXI65534:DXI65572 EHE65534:EHE65572 ERA65534:ERA65572 FAW65534:FAW65572 FKS65534:FKS65572 FUO65534:FUO65572 GEK65534:GEK65572 GOG65534:GOG65572 GYC65534:GYC65572 HHY65534:HHY65572 HRU65534:HRU65572 IBQ65534:IBQ65572 ILM65534:ILM65572 IVI65534:IVI65572 JFE65534:JFE65572 JPA65534:JPA65572 JYW65534:JYW65572 KIS65534:KIS65572 KSO65534:KSO65572 LCK65534:LCK65572 LMG65534:LMG65572 LWC65534:LWC65572 MFY65534:MFY65572 MPU65534:MPU65572 MZQ65534:MZQ65572 NJM65534:NJM65572 NTI65534:NTI65572 ODE65534:ODE65572 ONA65534:ONA65572 OWW65534:OWW65572 PGS65534:PGS65572 PQO65534:PQO65572 QAK65534:QAK65572 QKG65534:QKG65572 QUC65534:QUC65572 RDY65534:RDY65572 RNU65534:RNU65572 RXQ65534:RXQ65572 SHM65534:SHM65572 SRI65534:SRI65572 TBE65534:TBE65572 TLA65534:TLA65572 TUW65534:TUW65572 UES65534:UES65572 UOO65534:UOO65572 UYK65534:UYK65572 VIG65534:VIG65572 VSC65534:VSC65572 WBY65534:WBY65572 WLU65534:WLU65572 WVQ65534:WVQ65572 I131070:I131108 JE131070:JE131108 TA131070:TA131108 ACW131070:ACW131108 AMS131070:AMS131108 AWO131070:AWO131108 BGK131070:BGK131108 BQG131070:BQG131108 CAC131070:CAC131108 CJY131070:CJY131108 CTU131070:CTU131108 DDQ131070:DDQ131108 DNM131070:DNM131108 DXI131070:DXI131108 EHE131070:EHE131108 ERA131070:ERA131108 FAW131070:FAW131108 FKS131070:FKS131108 FUO131070:FUO131108 GEK131070:GEK131108 GOG131070:GOG131108 GYC131070:GYC131108 HHY131070:HHY131108 HRU131070:HRU131108 IBQ131070:IBQ131108 ILM131070:ILM131108 IVI131070:IVI131108 JFE131070:JFE131108 JPA131070:JPA131108 JYW131070:JYW131108 KIS131070:KIS131108 KSO131070:KSO131108 LCK131070:LCK131108 LMG131070:LMG131108 LWC131070:LWC131108 MFY131070:MFY131108 MPU131070:MPU131108 MZQ131070:MZQ131108 NJM131070:NJM131108 NTI131070:NTI131108 ODE131070:ODE131108 ONA131070:ONA131108 OWW131070:OWW131108 PGS131070:PGS131108 PQO131070:PQO131108 QAK131070:QAK131108 QKG131070:QKG131108 QUC131070:QUC131108 RDY131070:RDY131108 RNU131070:RNU131108 RXQ131070:RXQ131108 SHM131070:SHM131108 SRI131070:SRI131108 TBE131070:TBE131108 TLA131070:TLA131108 TUW131070:TUW131108 UES131070:UES131108 UOO131070:UOO131108 UYK131070:UYK131108 VIG131070:VIG131108 VSC131070:VSC131108 WBY131070:WBY131108 WLU131070:WLU131108 WVQ131070:WVQ131108 I196606:I196644 JE196606:JE196644 TA196606:TA196644 ACW196606:ACW196644 AMS196606:AMS196644 AWO196606:AWO196644 BGK196606:BGK196644 BQG196606:BQG196644 CAC196606:CAC196644 CJY196606:CJY196644 CTU196606:CTU196644 DDQ196606:DDQ196644 DNM196606:DNM196644 DXI196606:DXI196644 EHE196606:EHE196644 ERA196606:ERA196644 FAW196606:FAW196644 FKS196606:FKS196644 FUO196606:FUO196644 GEK196606:GEK196644 GOG196606:GOG196644 GYC196606:GYC196644 HHY196606:HHY196644 HRU196606:HRU196644 IBQ196606:IBQ196644 ILM196606:ILM196644 IVI196606:IVI196644 JFE196606:JFE196644 JPA196606:JPA196644 JYW196606:JYW196644 KIS196606:KIS196644 KSO196606:KSO196644 LCK196606:LCK196644 LMG196606:LMG196644 LWC196606:LWC196644 MFY196606:MFY196644 MPU196606:MPU196644 MZQ196606:MZQ196644 NJM196606:NJM196644 NTI196606:NTI196644 ODE196606:ODE196644 ONA196606:ONA196644 OWW196606:OWW196644 PGS196606:PGS196644 PQO196606:PQO196644 QAK196606:QAK196644 QKG196606:QKG196644 QUC196606:QUC196644 RDY196606:RDY196644 RNU196606:RNU196644 RXQ196606:RXQ196644 SHM196606:SHM196644 SRI196606:SRI196644 TBE196606:TBE196644 TLA196606:TLA196644 TUW196606:TUW196644 UES196606:UES196644 UOO196606:UOO196644 UYK196606:UYK196644 VIG196606:VIG196644 VSC196606:VSC196644 WBY196606:WBY196644 WLU196606:WLU196644 WVQ196606:WVQ196644 I262142:I262180 JE262142:JE262180 TA262142:TA262180 ACW262142:ACW262180 AMS262142:AMS262180 AWO262142:AWO262180 BGK262142:BGK262180 BQG262142:BQG262180 CAC262142:CAC262180 CJY262142:CJY262180 CTU262142:CTU262180 DDQ262142:DDQ262180 DNM262142:DNM262180 DXI262142:DXI262180 EHE262142:EHE262180 ERA262142:ERA262180 FAW262142:FAW262180 FKS262142:FKS262180 FUO262142:FUO262180 GEK262142:GEK262180 GOG262142:GOG262180 GYC262142:GYC262180 HHY262142:HHY262180 HRU262142:HRU262180 IBQ262142:IBQ262180 ILM262142:ILM262180 IVI262142:IVI262180 JFE262142:JFE262180 JPA262142:JPA262180 JYW262142:JYW262180 KIS262142:KIS262180 KSO262142:KSO262180 LCK262142:LCK262180 LMG262142:LMG262180 LWC262142:LWC262180 MFY262142:MFY262180 MPU262142:MPU262180 MZQ262142:MZQ262180 NJM262142:NJM262180 NTI262142:NTI262180 ODE262142:ODE262180 ONA262142:ONA262180 OWW262142:OWW262180 PGS262142:PGS262180 PQO262142:PQO262180 QAK262142:QAK262180 QKG262142:QKG262180 QUC262142:QUC262180 RDY262142:RDY262180 RNU262142:RNU262180 RXQ262142:RXQ262180 SHM262142:SHM262180 SRI262142:SRI262180 TBE262142:TBE262180 TLA262142:TLA262180 TUW262142:TUW262180 UES262142:UES262180 UOO262142:UOO262180 UYK262142:UYK262180 VIG262142:VIG262180 VSC262142:VSC262180 WBY262142:WBY262180 WLU262142:WLU262180 WVQ262142:WVQ262180 I327678:I327716 JE327678:JE327716 TA327678:TA327716 ACW327678:ACW327716 AMS327678:AMS327716 AWO327678:AWO327716 BGK327678:BGK327716 BQG327678:BQG327716 CAC327678:CAC327716 CJY327678:CJY327716 CTU327678:CTU327716 DDQ327678:DDQ327716 DNM327678:DNM327716 DXI327678:DXI327716 EHE327678:EHE327716 ERA327678:ERA327716 FAW327678:FAW327716 FKS327678:FKS327716 FUO327678:FUO327716 GEK327678:GEK327716 GOG327678:GOG327716 GYC327678:GYC327716 HHY327678:HHY327716 HRU327678:HRU327716 IBQ327678:IBQ327716 ILM327678:ILM327716 IVI327678:IVI327716 JFE327678:JFE327716 JPA327678:JPA327716 JYW327678:JYW327716 KIS327678:KIS327716 KSO327678:KSO327716 LCK327678:LCK327716 LMG327678:LMG327716 LWC327678:LWC327716 MFY327678:MFY327716 MPU327678:MPU327716 MZQ327678:MZQ327716 NJM327678:NJM327716 NTI327678:NTI327716 ODE327678:ODE327716 ONA327678:ONA327716 OWW327678:OWW327716 PGS327678:PGS327716 PQO327678:PQO327716 QAK327678:QAK327716 QKG327678:QKG327716 QUC327678:QUC327716 RDY327678:RDY327716 RNU327678:RNU327716 RXQ327678:RXQ327716 SHM327678:SHM327716 SRI327678:SRI327716 TBE327678:TBE327716 TLA327678:TLA327716 TUW327678:TUW327716 UES327678:UES327716 UOO327678:UOO327716 UYK327678:UYK327716 VIG327678:VIG327716 VSC327678:VSC327716 WBY327678:WBY327716 WLU327678:WLU327716 WVQ327678:WVQ327716 I393214:I393252 JE393214:JE393252 TA393214:TA393252 ACW393214:ACW393252 AMS393214:AMS393252 AWO393214:AWO393252 BGK393214:BGK393252 BQG393214:BQG393252 CAC393214:CAC393252 CJY393214:CJY393252 CTU393214:CTU393252 DDQ393214:DDQ393252 DNM393214:DNM393252 DXI393214:DXI393252 EHE393214:EHE393252 ERA393214:ERA393252 FAW393214:FAW393252 FKS393214:FKS393252 FUO393214:FUO393252 GEK393214:GEK393252 GOG393214:GOG393252 GYC393214:GYC393252 HHY393214:HHY393252 HRU393214:HRU393252 IBQ393214:IBQ393252 ILM393214:ILM393252 IVI393214:IVI393252 JFE393214:JFE393252 JPA393214:JPA393252 JYW393214:JYW393252 KIS393214:KIS393252 KSO393214:KSO393252 LCK393214:LCK393252 LMG393214:LMG393252 LWC393214:LWC393252 MFY393214:MFY393252 MPU393214:MPU393252 MZQ393214:MZQ393252 NJM393214:NJM393252 NTI393214:NTI393252 ODE393214:ODE393252 ONA393214:ONA393252 OWW393214:OWW393252 PGS393214:PGS393252 PQO393214:PQO393252 QAK393214:QAK393252 QKG393214:QKG393252 QUC393214:QUC393252 RDY393214:RDY393252 RNU393214:RNU393252 RXQ393214:RXQ393252 SHM393214:SHM393252 SRI393214:SRI393252 TBE393214:TBE393252 TLA393214:TLA393252 TUW393214:TUW393252 UES393214:UES393252 UOO393214:UOO393252 UYK393214:UYK393252 VIG393214:VIG393252 VSC393214:VSC393252 WBY393214:WBY393252 WLU393214:WLU393252 WVQ393214:WVQ393252 I458750:I458788 JE458750:JE458788 TA458750:TA458788 ACW458750:ACW458788 AMS458750:AMS458788 AWO458750:AWO458788 BGK458750:BGK458788 BQG458750:BQG458788 CAC458750:CAC458788 CJY458750:CJY458788 CTU458750:CTU458788 DDQ458750:DDQ458788 DNM458750:DNM458788 DXI458750:DXI458788 EHE458750:EHE458788 ERA458750:ERA458788 FAW458750:FAW458788 FKS458750:FKS458788 FUO458750:FUO458788 GEK458750:GEK458788 GOG458750:GOG458788 GYC458750:GYC458788 HHY458750:HHY458788 HRU458750:HRU458788 IBQ458750:IBQ458788 ILM458750:ILM458788 IVI458750:IVI458788 JFE458750:JFE458788 JPA458750:JPA458788 JYW458750:JYW458788 KIS458750:KIS458788 KSO458750:KSO458788 LCK458750:LCK458788 LMG458750:LMG458788 LWC458750:LWC458788 MFY458750:MFY458788 MPU458750:MPU458788 MZQ458750:MZQ458788 NJM458750:NJM458788 NTI458750:NTI458788 ODE458750:ODE458788 ONA458750:ONA458788 OWW458750:OWW458788 PGS458750:PGS458788 PQO458750:PQO458788 QAK458750:QAK458788 QKG458750:QKG458788 QUC458750:QUC458788 RDY458750:RDY458788 RNU458750:RNU458788 RXQ458750:RXQ458788 SHM458750:SHM458788 SRI458750:SRI458788 TBE458750:TBE458788 TLA458750:TLA458788 TUW458750:TUW458788 UES458750:UES458788 UOO458750:UOO458788 UYK458750:UYK458788 VIG458750:VIG458788 VSC458750:VSC458788 WBY458750:WBY458788 WLU458750:WLU458788 WVQ458750:WVQ458788 I524286:I524324 JE524286:JE524324 TA524286:TA524324 ACW524286:ACW524324 AMS524286:AMS524324 AWO524286:AWO524324 BGK524286:BGK524324 BQG524286:BQG524324 CAC524286:CAC524324 CJY524286:CJY524324 CTU524286:CTU524324 DDQ524286:DDQ524324 DNM524286:DNM524324 DXI524286:DXI524324 EHE524286:EHE524324 ERA524286:ERA524324 FAW524286:FAW524324 FKS524286:FKS524324 FUO524286:FUO524324 GEK524286:GEK524324 GOG524286:GOG524324 GYC524286:GYC524324 HHY524286:HHY524324 HRU524286:HRU524324 IBQ524286:IBQ524324 ILM524286:ILM524324 IVI524286:IVI524324 JFE524286:JFE524324 JPA524286:JPA524324 JYW524286:JYW524324 KIS524286:KIS524324 KSO524286:KSO524324 LCK524286:LCK524324 LMG524286:LMG524324 LWC524286:LWC524324 MFY524286:MFY524324 MPU524286:MPU524324 MZQ524286:MZQ524324 NJM524286:NJM524324 NTI524286:NTI524324 ODE524286:ODE524324 ONA524286:ONA524324 OWW524286:OWW524324 PGS524286:PGS524324 PQO524286:PQO524324 QAK524286:QAK524324 QKG524286:QKG524324 QUC524286:QUC524324 RDY524286:RDY524324 RNU524286:RNU524324 RXQ524286:RXQ524324 SHM524286:SHM524324 SRI524286:SRI524324 TBE524286:TBE524324 TLA524286:TLA524324 TUW524286:TUW524324 UES524286:UES524324 UOO524286:UOO524324 UYK524286:UYK524324 VIG524286:VIG524324 VSC524286:VSC524324 WBY524286:WBY524324 WLU524286:WLU524324 WVQ524286:WVQ524324 I589822:I589860 JE589822:JE589860 TA589822:TA589860 ACW589822:ACW589860 AMS589822:AMS589860 AWO589822:AWO589860 BGK589822:BGK589860 BQG589822:BQG589860 CAC589822:CAC589860 CJY589822:CJY589860 CTU589822:CTU589860 DDQ589822:DDQ589860 DNM589822:DNM589860 DXI589822:DXI589860 EHE589822:EHE589860 ERA589822:ERA589860 FAW589822:FAW589860 FKS589822:FKS589860 FUO589822:FUO589860 GEK589822:GEK589860 GOG589822:GOG589860 GYC589822:GYC589860 HHY589822:HHY589860 HRU589822:HRU589860 IBQ589822:IBQ589860 ILM589822:ILM589860 IVI589822:IVI589860 JFE589822:JFE589860 JPA589822:JPA589860 JYW589822:JYW589860 KIS589822:KIS589860 KSO589822:KSO589860 LCK589822:LCK589860 LMG589822:LMG589860 LWC589822:LWC589860 MFY589822:MFY589860 MPU589822:MPU589860 MZQ589822:MZQ589860 NJM589822:NJM589860 NTI589822:NTI589860 ODE589822:ODE589860 ONA589822:ONA589860 OWW589822:OWW589860 PGS589822:PGS589860 PQO589822:PQO589860 QAK589822:QAK589860 QKG589822:QKG589860 QUC589822:QUC589860 RDY589822:RDY589860 RNU589822:RNU589860 RXQ589822:RXQ589860 SHM589822:SHM589860 SRI589822:SRI589860 TBE589822:TBE589860 TLA589822:TLA589860 TUW589822:TUW589860 UES589822:UES589860 UOO589822:UOO589860 UYK589822:UYK589860 VIG589822:VIG589860 VSC589822:VSC589860 WBY589822:WBY589860 WLU589822:WLU589860 WVQ589822:WVQ589860 I655358:I655396 JE655358:JE655396 TA655358:TA655396 ACW655358:ACW655396 AMS655358:AMS655396 AWO655358:AWO655396 BGK655358:BGK655396 BQG655358:BQG655396 CAC655358:CAC655396 CJY655358:CJY655396 CTU655358:CTU655396 DDQ655358:DDQ655396 DNM655358:DNM655396 DXI655358:DXI655396 EHE655358:EHE655396 ERA655358:ERA655396 FAW655358:FAW655396 FKS655358:FKS655396 FUO655358:FUO655396 GEK655358:GEK655396 GOG655358:GOG655396 GYC655358:GYC655396 HHY655358:HHY655396 HRU655358:HRU655396 IBQ655358:IBQ655396 ILM655358:ILM655396 IVI655358:IVI655396 JFE655358:JFE655396 JPA655358:JPA655396 JYW655358:JYW655396 KIS655358:KIS655396 KSO655358:KSO655396 LCK655358:LCK655396 LMG655358:LMG655396 LWC655358:LWC655396 MFY655358:MFY655396 MPU655358:MPU655396 MZQ655358:MZQ655396 NJM655358:NJM655396 NTI655358:NTI655396 ODE655358:ODE655396 ONA655358:ONA655396 OWW655358:OWW655396 PGS655358:PGS655396 PQO655358:PQO655396 QAK655358:QAK655396 QKG655358:QKG655396 QUC655358:QUC655396 RDY655358:RDY655396 RNU655358:RNU655396 RXQ655358:RXQ655396 SHM655358:SHM655396 SRI655358:SRI655396 TBE655358:TBE655396 TLA655358:TLA655396 TUW655358:TUW655396 UES655358:UES655396 UOO655358:UOO655396 UYK655358:UYK655396 VIG655358:VIG655396 VSC655358:VSC655396 WBY655358:WBY655396 WLU655358:WLU655396 WVQ655358:WVQ655396 I720894:I720932 JE720894:JE720932 TA720894:TA720932 ACW720894:ACW720932 AMS720894:AMS720932 AWO720894:AWO720932 BGK720894:BGK720932 BQG720894:BQG720932 CAC720894:CAC720932 CJY720894:CJY720932 CTU720894:CTU720932 DDQ720894:DDQ720932 DNM720894:DNM720932 DXI720894:DXI720932 EHE720894:EHE720932 ERA720894:ERA720932 FAW720894:FAW720932 FKS720894:FKS720932 FUO720894:FUO720932 GEK720894:GEK720932 GOG720894:GOG720932 GYC720894:GYC720932 HHY720894:HHY720932 HRU720894:HRU720932 IBQ720894:IBQ720932 ILM720894:ILM720932 IVI720894:IVI720932 JFE720894:JFE720932 JPA720894:JPA720932 JYW720894:JYW720932 KIS720894:KIS720932 KSO720894:KSO720932 LCK720894:LCK720932 LMG720894:LMG720932 LWC720894:LWC720932 MFY720894:MFY720932 MPU720894:MPU720932 MZQ720894:MZQ720932 NJM720894:NJM720932 NTI720894:NTI720932 ODE720894:ODE720932 ONA720894:ONA720932 OWW720894:OWW720932 PGS720894:PGS720932 PQO720894:PQO720932 QAK720894:QAK720932 QKG720894:QKG720932 QUC720894:QUC720932 RDY720894:RDY720932 RNU720894:RNU720932 RXQ720894:RXQ720932 SHM720894:SHM720932 SRI720894:SRI720932 TBE720894:TBE720932 TLA720894:TLA720932 TUW720894:TUW720932 UES720894:UES720932 UOO720894:UOO720932 UYK720894:UYK720932 VIG720894:VIG720932 VSC720894:VSC720932 WBY720894:WBY720932 WLU720894:WLU720932 WVQ720894:WVQ720932 I786430:I786468 JE786430:JE786468 TA786430:TA786468 ACW786430:ACW786468 AMS786430:AMS786468 AWO786430:AWO786468 BGK786430:BGK786468 BQG786430:BQG786468 CAC786430:CAC786468 CJY786430:CJY786468 CTU786430:CTU786468 DDQ786430:DDQ786468 DNM786430:DNM786468 DXI786430:DXI786468 EHE786430:EHE786468 ERA786430:ERA786468 FAW786430:FAW786468 FKS786430:FKS786468 FUO786430:FUO786468 GEK786430:GEK786468 GOG786430:GOG786468 GYC786430:GYC786468 HHY786430:HHY786468 HRU786430:HRU786468 IBQ786430:IBQ786468 ILM786430:ILM786468 IVI786430:IVI786468 JFE786430:JFE786468 JPA786430:JPA786468 JYW786430:JYW786468 KIS786430:KIS786468 KSO786430:KSO786468 LCK786430:LCK786468 LMG786430:LMG786468 LWC786430:LWC786468 MFY786430:MFY786468 MPU786430:MPU786468 MZQ786430:MZQ786468 NJM786430:NJM786468 NTI786430:NTI786468 ODE786430:ODE786468 ONA786430:ONA786468 OWW786430:OWW786468 PGS786430:PGS786468 PQO786430:PQO786468 QAK786430:QAK786468 QKG786430:QKG786468 QUC786430:QUC786468 RDY786430:RDY786468 RNU786430:RNU786468 RXQ786430:RXQ786468 SHM786430:SHM786468 SRI786430:SRI786468 TBE786430:TBE786468 TLA786430:TLA786468 TUW786430:TUW786468 UES786430:UES786468 UOO786430:UOO786468 UYK786430:UYK786468 VIG786430:VIG786468 VSC786430:VSC786468 WBY786430:WBY786468 WLU786430:WLU786468 WVQ786430:WVQ786468 I851966:I852004 JE851966:JE852004 TA851966:TA852004 ACW851966:ACW852004 AMS851966:AMS852004 AWO851966:AWO852004 BGK851966:BGK852004 BQG851966:BQG852004 CAC851966:CAC852004 CJY851966:CJY852004 CTU851966:CTU852004 DDQ851966:DDQ852004 DNM851966:DNM852004 DXI851966:DXI852004 EHE851966:EHE852004 ERA851966:ERA852004 FAW851966:FAW852004 FKS851966:FKS852004 FUO851966:FUO852004 GEK851966:GEK852004 GOG851966:GOG852004 GYC851966:GYC852004 HHY851966:HHY852004 HRU851966:HRU852004 IBQ851966:IBQ852004 ILM851966:ILM852004 IVI851966:IVI852004 JFE851966:JFE852004 JPA851966:JPA852004 JYW851966:JYW852004 KIS851966:KIS852004 KSO851966:KSO852004 LCK851966:LCK852004 LMG851966:LMG852004 LWC851966:LWC852004 MFY851966:MFY852004 MPU851966:MPU852004 MZQ851966:MZQ852004 NJM851966:NJM852004 NTI851966:NTI852004 ODE851966:ODE852004 ONA851966:ONA852004 OWW851966:OWW852004 PGS851966:PGS852004 PQO851966:PQO852004 QAK851966:QAK852004 QKG851966:QKG852004 QUC851966:QUC852004 RDY851966:RDY852004 RNU851966:RNU852004 RXQ851966:RXQ852004 SHM851966:SHM852004 SRI851966:SRI852004 TBE851966:TBE852004 TLA851966:TLA852004 TUW851966:TUW852004 UES851966:UES852004 UOO851966:UOO852004 UYK851966:UYK852004 VIG851966:VIG852004 VSC851966:VSC852004 WBY851966:WBY852004 WLU851966:WLU852004 WVQ851966:WVQ852004 I917502:I917540 JE917502:JE917540 TA917502:TA917540 ACW917502:ACW917540 AMS917502:AMS917540 AWO917502:AWO917540 BGK917502:BGK917540 BQG917502:BQG917540 CAC917502:CAC917540 CJY917502:CJY917540 CTU917502:CTU917540 DDQ917502:DDQ917540 DNM917502:DNM917540 DXI917502:DXI917540 EHE917502:EHE917540 ERA917502:ERA917540 FAW917502:FAW917540 FKS917502:FKS917540 FUO917502:FUO917540 GEK917502:GEK917540 GOG917502:GOG917540 GYC917502:GYC917540 HHY917502:HHY917540 HRU917502:HRU917540 IBQ917502:IBQ917540 ILM917502:ILM917540 IVI917502:IVI917540 JFE917502:JFE917540 JPA917502:JPA917540 JYW917502:JYW917540 KIS917502:KIS917540 KSO917502:KSO917540 LCK917502:LCK917540 LMG917502:LMG917540 LWC917502:LWC917540 MFY917502:MFY917540 MPU917502:MPU917540 MZQ917502:MZQ917540 NJM917502:NJM917540 NTI917502:NTI917540 ODE917502:ODE917540 ONA917502:ONA917540 OWW917502:OWW917540 PGS917502:PGS917540 PQO917502:PQO917540 QAK917502:QAK917540 QKG917502:QKG917540 QUC917502:QUC917540 RDY917502:RDY917540 RNU917502:RNU917540 RXQ917502:RXQ917540 SHM917502:SHM917540 SRI917502:SRI917540 TBE917502:TBE917540 TLA917502:TLA917540 TUW917502:TUW917540 UES917502:UES917540 UOO917502:UOO917540 UYK917502:UYK917540 VIG917502:VIG917540 VSC917502:VSC917540 WBY917502:WBY917540 WLU917502:WLU917540 WVQ917502:WVQ917540 I983038:I983076 JE983038:JE983076 TA983038:TA983076 ACW983038:ACW983076 AMS983038:AMS983076 AWO983038:AWO983076 BGK983038:BGK983076 BQG983038:BQG983076 CAC983038:CAC983076 CJY983038:CJY983076 CTU983038:CTU983076 DDQ983038:DDQ983076 DNM983038:DNM983076 DXI983038:DXI983076 EHE983038:EHE983076 ERA983038:ERA983076 FAW983038:FAW983076 FKS983038:FKS983076 FUO983038:FUO983076 GEK983038:GEK983076 GOG983038:GOG983076 GYC983038:GYC983076 HHY983038:HHY983076 HRU983038:HRU983076 IBQ983038:IBQ983076 ILM983038:ILM983076 IVI983038:IVI983076 JFE983038:JFE983076 JPA983038:JPA983076 JYW983038:JYW983076 KIS983038:KIS983076 KSO983038:KSO983076 LCK983038:LCK983076 LMG983038:LMG983076 LWC983038:LWC983076 MFY983038:MFY983076 MPU983038:MPU983076 MZQ983038:MZQ983076 NJM983038:NJM983076 NTI983038:NTI983076 ODE983038:ODE983076 ONA983038:ONA983076 OWW983038:OWW983076 PGS983038:PGS983076 PQO983038:PQO983076 QAK983038:QAK983076 QKG983038:QKG983076 QUC983038:QUC983076 RDY983038:RDY983076 RNU983038:RNU983076 RXQ983038:RXQ983076 SHM983038:SHM983076 SRI983038:SRI983076 TBE983038:TBE983076 TLA983038:TLA983076 TUW983038:TUW983076 UES983038:UES983076 UOO983038:UOO983076 UYK983038:UYK983076 VIG983038:VIG983076 VSC983038:VSC983076 WBY983038:WBY983076 WLU983038:WLU983076 WVQ983038:WVQ983076" xr:uid="{C12A1967-3842-4206-9753-FCBECDED7037}">
      <formula1>#REF!</formula1>
    </dataValidation>
  </dataValidations>
  <pageMargins left="0.511811024" right="0.511811024" top="0.78740157499999996" bottom="0.78740157499999996" header="0.31496062000000002" footer="0.31496062000000002"/>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FD0A-5D69-4F2A-BE33-2EF378C48E8D}">
  <sheetPr>
    <tabColor rgb="FFC2D7E0"/>
  </sheetPr>
  <dimension ref="A2:X35"/>
  <sheetViews>
    <sheetView showGridLines="0" zoomScale="80" zoomScaleNormal="80" workbookViewId="0">
      <selection activeCell="B2" sqref="B2:H2"/>
    </sheetView>
  </sheetViews>
  <sheetFormatPr defaultRowHeight="14.25" x14ac:dyDescent="0.25"/>
  <cols>
    <col min="1" max="1" width="2.85546875" style="65" customWidth="1"/>
    <col min="2" max="8" width="11.28515625" style="65" customWidth="1"/>
    <col min="9" max="9" width="10" style="65" customWidth="1"/>
    <col min="10" max="10" width="43.85546875" style="65" customWidth="1"/>
    <col min="11" max="11" width="17.42578125" style="65" customWidth="1"/>
    <col min="12" max="13" width="15.7109375" style="65" customWidth="1"/>
    <col min="14" max="14" width="9.5703125" style="65" customWidth="1"/>
    <col min="15" max="15" width="20" style="65" customWidth="1"/>
    <col min="16" max="16" width="40.140625" style="65" customWidth="1"/>
    <col min="17" max="17" width="9" style="65" customWidth="1"/>
    <col min="18" max="18" width="13.5703125" style="65" customWidth="1"/>
    <col min="19" max="19" width="24.42578125" style="65" customWidth="1"/>
    <col min="20" max="20" width="9.140625" style="65"/>
    <col min="21" max="21" width="12.7109375" style="65" bestFit="1" customWidth="1"/>
    <col min="22" max="22" width="64" style="65" bestFit="1" customWidth="1"/>
    <col min="23" max="23" width="7" style="65" bestFit="1" customWidth="1"/>
    <col min="24" max="24" width="11.28515625" style="65" bestFit="1" customWidth="1"/>
    <col min="25" max="256" width="9.140625" style="65"/>
    <col min="257" max="257" width="2.85546875" style="65" customWidth="1"/>
    <col min="258" max="264" width="11.28515625" style="65" customWidth="1"/>
    <col min="265" max="265" width="10" style="65" customWidth="1"/>
    <col min="266" max="266" width="43.85546875" style="65" customWidth="1"/>
    <col min="267" max="267" width="17.42578125" style="65" customWidth="1"/>
    <col min="268" max="269" width="15.7109375" style="65" customWidth="1"/>
    <col min="270" max="270" width="9.5703125" style="65" customWidth="1"/>
    <col min="271" max="271" width="20" style="65" customWidth="1"/>
    <col min="272" max="272" width="40.140625" style="65" customWidth="1"/>
    <col min="273" max="273" width="9" style="65" customWidth="1"/>
    <col min="274" max="274" width="13.5703125" style="65" customWidth="1"/>
    <col min="275" max="275" width="24.42578125" style="65" customWidth="1"/>
    <col min="276" max="276" width="9.140625" style="65"/>
    <col min="277" max="277" width="12.7109375" style="65" bestFit="1" customWidth="1"/>
    <col min="278" max="278" width="64" style="65" bestFit="1" customWidth="1"/>
    <col min="279" max="279" width="7" style="65" bestFit="1" customWidth="1"/>
    <col min="280" max="280" width="11.28515625" style="65" bestFit="1" customWidth="1"/>
    <col min="281" max="512" width="9.140625" style="65"/>
    <col min="513" max="513" width="2.85546875" style="65" customWidth="1"/>
    <col min="514" max="520" width="11.28515625" style="65" customWidth="1"/>
    <col min="521" max="521" width="10" style="65" customWidth="1"/>
    <col min="522" max="522" width="43.85546875" style="65" customWidth="1"/>
    <col min="523" max="523" width="17.42578125" style="65" customWidth="1"/>
    <col min="524" max="525" width="15.7109375" style="65" customWidth="1"/>
    <col min="526" max="526" width="9.5703125" style="65" customWidth="1"/>
    <col min="527" max="527" width="20" style="65" customWidth="1"/>
    <col min="528" max="528" width="40.140625" style="65" customWidth="1"/>
    <col min="529" max="529" width="9" style="65" customWidth="1"/>
    <col min="530" max="530" width="13.5703125" style="65" customWidth="1"/>
    <col min="531" max="531" width="24.42578125" style="65" customWidth="1"/>
    <col min="532" max="532" width="9.140625" style="65"/>
    <col min="533" max="533" width="12.7109375" style="65" bestFit="1" customWidth="1"/>
    <col min="534" max="534" width="64" style="65" bestFit="1" customWidth="1"/>
    <col min="535" max="535" width="7" style="65" bestFit="1" customWidth="1"/>
    <col min="536" max="536" width="11.28515625" style="65" bestFit="1" customWidth="1"/>
    <col min="537" max="768" width="9.140625" style="65"/>
    <col min="769" max="769" width="2.85546875" style="65" customWidth="1"/>
    <col min="770" max="776" width="11.28515625" style="65" customWidth="1"/>
    <col min="777" max="777" width="10" style="65" customWidth="1"/>
    <col min="778" max="778" width="43.85546875" style="65" customWidth="1"/>
    <col min="779" max="779" width="17.42578125" style="65" customWidth="1"/>
    <col min="780" max="781" width="15.7109375" style="65" customWidth="1"/>
    <col min="782" max="782" width="9.5703125" style="65" customWidth="1"/>
    <col min="783" max="783" width="20" style="65" customWidth="1"/>
    <col min="784" max="784" width="40.140625" style="65" customWidth="1"/>
    <col min="785" max="785" width="9" style="65" customWidth="1"/>
    <col min="786" max="786" width="13.5703125" style="65" customWidth="1"/>
    <col min="787" max="787" width="24.42578125" style="65" customWidth="1"/>
    <col min="788" max="788" width="9.140625" style="65"/>
    <col min="789" max="789" width="12.7109375" style="65" bestFit="1" customWidth="1"/>
    <col min="790" max="790" width="64" style="65" bestFit="1" customWidth="1"/>
    <col min="791" max="791" width="7" style="65" bestFit="1" customWidth="1"/>
    <col min="792" max="792" width="11.28515625" style="65" bestFit="1" customWidth="1"/>
    <col min="793" max="1024" width="9.140625" style="65"/>
    <col min="1025" max="1025" width="2.85546875" style="65" customWidth="1"/>
    <col min="1026" max="1032" width="11.28515625" style="65" customWidth="1"/>
    <col min="1033" max="1033" width="10" style="65" customWidth="1"/>
    <col min="1034" max="1034" width="43.85546875" style="65" customWidth="1"/>
    <col min="1035" max="1035" width="17.42578125" style="65" customWidth="1"/>
    <col min="1036" max="1037" width="15.7109375" style="65" customWidth="1"/>
    <col min="1038" max="1038" width="9.5703125" style="65" customWidth="1"/>
    <col min="1039" max="1039" width="20" style="65" customWidth="1"/>
    <col min="1040" max="1040" width="40.140625" style="65" customWidth="1"/>
    <col min="1041" max="1041" width="9" style="65" customWidth="1"/>
    <col min="1042" max="1042" width="13.5703125" style="65" customWidth="1"/>
    <col min="1043" max="1043" width="24.42578125" style="65" customWidth="1"/>
    <col min="1044" max="1044" width="9.140625" style="65"/>
    <col min="1045" max="1045" width="12.7109375" style="65" bestFit="1" customWidth="1"/>
    <col min="1046" max="1046" width="64" style="65" bestFit="1" customWidth="1"/>
    <col min="1047" max="1047" width="7" style="65" bestFit="1" customWidth="1"/>
    <col min="1048" max="1048" width="11.28515625" style="65" bestFit="1" customWidth="1"/>
    <col min="1049" max="1280" width="9.140625" style="65"/>
    <col min="1281" max="1281" width="2.85546875" style="65" customWidth="1"/>
    <col min="1282" max="1288" width="11.28515625" style="65" customWidth="1"/>
    <col min="1289" max="1289" width="10" style="65" customWidth="1"/>
    <col min="1290" max="1290" width="43.85546875" style="65" customWidth="1"/>
    <col min="1291" max="1291" width="17.42578125" style="65" customWidth="1"/>
    <col min="1292" max="1293" width="15.7109375" style="65" customWidth="1"/>
    <col min="1294" max="1294" width="9.5703125" style="65" customWidth="1"/>
    <col min="1295" max="1295" width="20" style="65" customWidth="1"/>
    <col min="1296" max="1296" width="40.140625" style="65" customWidth="1"/>
    <col min="1297" max="1297" width="9" style="65" customWidth="1"/>
    <col min="1298" max="1298" width="13.5703125" style="65" customWidth="1"/>
    <col min="1299" max="1299" width="24.42578125" style="65" customWidth="1"/>
    <col min="1300" max="1300" width="9.140625" style="65"/>
    <col min="1301" max="1301" width="12.7109375" style="65" bestFit="1" customWidth="1"/>
    <col min="1302" max="1302" width="64" style="65" bestFit="1" customWidth="1"/>
    <col min="1303" max="1303" width="7" style="65" bestFit="1" customWidth="1"/>
    <col min="1304" max="1304" width="11.28515625" style="65" bestFit="1" customWidth="1"/>
    <col min="1305" max="1536" width="9.140625" style="65"/>
    <col min="1537" max="1537" width="2.85546875" style="65" customWidth="1"/>
    <col min="1538" max="1544" width="11.28515625" style="65" customWidth="1"/>
    <col min="1545" max="1545" width="10" style="65" customWidth="1"/>
    <col min="1546" max="1546" width="43.85546875" style="65" customWidth="1"/>
    <col min="1547" max="1547" width="17.42578125" style="65" customWidth="1"/>
    <col min="1548" max="1549" width="15.7109375" style="65" customWidth="1"/>
    <col min="1550" max="1550" width="9.5703125" style="65" customWidth="1"/>
    <col min="1551" max="1551" width="20" style="65" customWidth="1"/>
    <col min="1552" max="1552" width="40.140625" style="65" customWidth="1"/>
    <col min="1553" max="1553" width="9" style="65" customWidth="1"/>
    <col min="1554" max="1554" width="13.5703125" style="65" customWidth="1"/>
    <col min="1555" max="1555" width="24.42578125" style="65" customWidth="1"/>
    <col min="1556" max="1556" width="9.140625" style="65"/>
    <col min="1557" max="1557" width="12.7109375" style="65" bestFit="1" customWidth="1"/>
    <col min="1558" max="1558" width="64" style="65" bestFit="1" customWidth="1"/>
    <col min="1559" max="1559" width="7" style="65" bestFit="1" customWidth="1"/>
    <col min="1560" max="1560" width="11.28515625" style="65" bestFit="1" customWidth="1"/>
    <col min="1561" max="1792" width="9.140625" style="65"/>
    <col min="1793" max="1793" width="2.85546875" style="65" customWidth="1"/>
    <col min="1794" max="1800" width="11.28515625" style="65" customWidth="1"/>
    <col min="1801" max="1801" width="10" style="65" customWidth="1"/>
    <col min="1802" max="1802" width="43.85546875" style="65" customWidth="1"/>
    <col min="1803" max="1803" width="17.42578125" style="65" customWidth="1"/>
    <col min="1804" max="1805" width="15.7109375" style="65" customWidth="1"/>
    <col min="1806" max="1806" width="9.5703125" style="65" customWidth="1"/>
    <col min="1807" max="1807" width="20" style="65" customWidth="1"/>
    <col min="1808" max="1808" width="40.140625" style="65" customWidth="1"/>
    <col min="1809" max="1809" width="9" style="65" customWidth="1"/>
    <col min="1810" max="1810" width="13.5703125" style="65" customWidth="1"/>
    <col min="1811" max="1811" width="24.42578125" style="65" customWidth="1"/>
    <col min="1812" max="1812" width="9.140625" style="65"/>
    <col min="1813" max="1813" width="12.7109375" style="65" bestFit="1" customWidth="1"/>
    <col min="1814" max="1814" width="64" style="65" bestFit="1" customWidth="1"/>
    <col min="1815" max="1815" width="7" style="65" bestFit="1" customWidth="1"/>
    <col min="1816" max="1816" width="11.28515625" style="65" bestFit="1" customWidth="1"/>
    <col min="1817" max="2048" width="9.140625" style="65"/>
    <col min="2049" max="2049" width="2.85546875" style="65" customWidth="1"/>
    <col min="2050" max="2056" width="11.28515625" style="65" customWidth="1"/>
    <col min="2057" max="2057" width="10" style="65" customWidth="1"/>
    <col min="2058" max="2058" width="43.85546875" style="65" customWidth="1"/>
    <col min="2059" max="2059" width="17.42578125" style="65" customWidth="1"/>
    <col min="2060" max="2061" width="15.7109375" style="65" customWidth="1"/>
    <col min="2062" max="2062" width="9.5703125" style="65" customWidth="1"/>
    <col min="2063" max="2063" width="20" style="65" customWidth="1"/>
    <col min="2064" max="2064" width="40.140625" style="65" customWidth="1"/>
    <col min="2065" max="2065" width="9" style="65" customWidth="1"/>
    <col min="2066" max="2066" width="13.5703125" style="65" customWidth="1"/>
    <col min="2067" max="2067" width="24.42578125" style="65" customWidth="1"/>
    <col min="2068" max="2068" width="9.140625" style="65"/>
    <col min="2069" max="2069" width="12.7109375" style="65" bestFit="1" customWidth="1"/>
    <col min="2070" max="2070" width="64" style="65" bestFit="1" customWidth="1"/>
    <col min="2071" max="2071" width="7" style="65" bestFit="1" customWidth="1"/>
    <col min="2072" max="2072" width="11.28515625" style="65" bestFit="1" customWidth="1"/>
    <col min="2073" max="2304" width="9.140625" style="65"/>
    <col min="2305" max="2305" width="2.85546875" style="65" customWidth="1"/>
    <col min="2306" max="2312" width="11.28515625" style="65" customWidth="1"/>
    <col min="2313" max="2313" width="10" style="65" customWidth="1"/>
    <col min="2314" max="2314" width="43.85546875" style="65" customWidth="1"/>
    <col min="2315" max="2315" width="17.42578125" style="65" customWidth="1"/>
    <col min="2316" max="2317" width="15.7109375" style="65" customWidth="1"/>
    <col min="2318" max="2318" width="9.5703125" style="65" customWidth="1"/>
    <col min="2319" max="2319" width="20" style="65" customWidth="1"/>
    <col min="2320" max="2320" width="40.140625" style="65" customWidth="1"/>
    <col min="2321" max="2321" width="9" style="65" customWidth="1"/>
    <col min="2322" max="2322" width="13.5703125" style="65" customWidth="1"/>
    <col min="2323" max="2323" width="24.42578125" style="65" customWidth="1"/>
    <col min="2324" max="2324" width="9.140625" style="65"/>
    <col min="2325" max="2325" width="12.7109375" style="65" bestFit="1" customWidth="1"/>
    <col min="2326" max="2326" width="64" style="65" bestFit="1" customWidth="1"/>
    <col min="2327" max="2327" width="7" style="65" bestFit="1" customWidth="1"/>
    <col min="2328" max="2328" width="11.28515625" style="65" bestFit="1" customWidth="1"/>
    <col min="2329" max="2560" width="9.140625" style="65"/>
    <col min="2561" max="2561" width="2.85546875" style="65" customWidth="1"/>
    <col min="2562" max="2568" width="11.28515625" style="65" customWidth="1"/>
    <col min="2569" max="2569" width="10" style="65" customWidth="1"/>
    <col min="2570" max="2570" width="43.85546875" style="65" customWidth="1"/>
    <col min="2571" max="2571" width="17.42578125" style="65" customWidth="1"/>
    <col min="2572" max="2573" width="15.7109375" style="65" customWidth="1"/>
    <col min="2574" max="2574" width="9.5703125" style="65" customWidth="1"/>
    <col min="2575" max="2575" width="20" style="65" customWidth="1"/>
    <col min="2576" max="2576" width="40.140625" style="65" customWidth="1"/>
    <col min="2577" max="2577" width="9" style="65" customWidth="1"/>
    <col min="2578" max="2578" width="13.5703125" style="65" customWidth="1"/>
    <col min="2579" max="2579" width="24.42578125" style="65" customWidth="1"/>
    <col min="2580" max="2580" width="9.140625" style="65"/>
    <col min="2581" max="2581" width="12.7109375" style="65" bestFit="1" customWidth="1"/>
    <col min="2582" max="2582" width="64" style="65" bestFit="1" customWidth="1"/>
    <col min="2583" max="2583" width="7" style="65" bestFit="1" customWidth="1"/>
    <col min="2584" max="2584" width="11.28515625" style="65" bestFit="1" customWidth="1"/>
    <col min="2585" max="2816" width="9.140625" style="65"/>
    <col min="2817" max="2817" width="2.85546875" style="65" customWidth="1"/>
    <col min="2818" max="2824" width="11.28515625" style="65" customWidth="1"/>
    <col min="2825" max="2825" width="10" style="65" customWidth="1"/>
    <col min="2826" max="2826" width="43.85546875" style="65" customWidth="1"/>
    <col min="2827" max="2827" width="17.42578125" style="65" customWidth="1"/>
    <col min="2828" max="2829" width="15.7109375" style="65" customWidth="1"/>
    <col min="2830" max="2830" width="9.5703125" style="65" customWidth="1"/>
    <col min="2831" max="2831" width="20" style="65" customWidth="1"/>
    <col min="2832" max="2832" width="40.140625" style="65" customWidth="1"/>
    <col min="2833" max="2833" width="9" style="65" customWidth="1"/>
    <col min="2834" max="2834" width="13.5703125" style="65" customWidth="1"/>
    <col min="2835" max="2835" width="24.42578125" style="65" customWidth="1"/>
    <col min="2836" max="2836" width="9.140625" style="65"/>
    <col min="2837" max="2837" width="12.7109375" style="65" bestFit="1" customWidth="1"/>
    <col min="2838" max="2838" width="64" style="65" bestFit="1" customWidth="1"/>
    <col min="2839" max="2839" width="7" style="65" bestFit="1" customWidth="1"/>
    <col min="2840" max="2840" width="11.28515625" style="65" bestFit="1" customWidth="1"/>
    <col min="2841" max="3072" width="9.140625" style="65"/>
    <col min="3073" max="3073" width="2.85546875" style="65" customWidth="1"/>
    <col min="3074" max="3080" width="11.28515625" style="65" customWidth="1"/>
    <col min="3081" max="3081" width="10" style="65" customWidth="1"/>
    <col min="3082" max="3082" width="43.85546875" style="65" customWidth="1"/>
    <col min="3083" max="3083" width="17.42578125" style="65" customWidth="1"/>
    <col min="3084" max="3085" width="15.7109375" style="65" customWidth="1"/>
    <col min="3086" max="3086" width="9.5703125" style="65" customWidth="1"/>
    <col min="3087" max="3087" width="20" style="65" customWidth="1"/>
    <col min="3088" max="3088" width="40.140625" style="65" customWidth="1"/>
    <col min="3089" max="3089" width="9" style="65" customWidth="1"/>
    <col min="3090" max="3090" width="13.5703125" style="65" customWidth="1"/>
    <col min="3091" max="3091" width="24.42578125" style="65" customWidth="1"/>
    <col min="3092" max="3092" width="9.140625" style="65"/>
    <col min="3093" max="3093" width="12.7109375" style="65" bestFit="1" customWidth="1"/>
    <col min="3094" max="3094" width="64" style="65" bestFit="1" customWidth="1"/>
    <col min="3095" max="3095" width="7" style="65" bestFit="1" customWidth="1"/>
    <col min="3096" max="3096" width="11.28515625" style="65" bestFit="1" customWidth="1"/>
    <col min="3097" max="3328" width="9.140625" style="65"/>
    <col min="3329" max="3329" width="2.85546875" style="65" customWidth="1"/>
    <col min="3330" max="3336" width="11.28515625" style="65" customWidth="1"/>
    <col min="3337" max="3337" width="10" style="65" customWidth="1"/>
    <col min="3338" max="3338" width="43.85546875" style="65" customWidth="1"/>
    <col min="3339" max="3339" width="17.42578125" style="65" customWidth="1"/>
    <col min="3340" max="3341" width="15.7109375" style="65" customWidth="1"/>
    <col min="3342" max="3342" width="9.5703125" style="65" customWidth="1"/>
    <col min="3343" max="3343" width="20" style="65" customWidth="1"/>
    <col min="3344" max="3344" width="40.140625" style="65" customWidth="1"/>
    <col min="3345" max="3345" width="9" style="65" customWidth="1"/>
    <col min="3346" max="3346" width="13.5703125" style="65" customWidth="1"/>
    <col min="3347" max="3347" width="24.42578125" style="65" customWidth="1"/>
    <col min="3348" max="3348" width="9.140625" style="65"/>
    <col min="3349" max="3349" width="12.7109375" style="65" bestFit="1" customWidth="1"/>
    <col min="3350" max="3350" width="64" style="65" bestFit="1" customWidth="1"/>
    <col min="3351" max="3351" width="7" style="65" bestFit="1" customWidth="1"/>
    <col min="3352" max="3352" width="11.28515625" style="65" bestFit="1" customWidth="1"/>
    <col min="3353" max="3584" width="9.140625" style="65"/>
    <col min="3585" max="3585" width="2.85546875" style="65" customWidth="1"/>
    <col min="3586" max="3592" width="11.28515625" style="65" customWidth="1"/>
    <col min="3593" max="3593" width="10" style="65" customWidth="1"/>
    <col min="3594" max="3594" width="43.85546875" style="65" customWidth="1"/>
    <col min="3595" max="3595" width="17.42578125" style="65" customWidth="1"/>
    <col min="3596" max="3597" width="15.7109375" style="65" customWidth="1"/>
    <col min="3598" max="3598" width="9.5703125" style="65" customWidth="1"/>
    <col min="3599" max="3599" width="20" style="65" customWidth="1"/>
    <col min="3600" max="3600" width="40.140625" style="65" customWidth="1"/>
    <col min="3601" max="3601" width="9" style="65" customWidth="1"/>
    <col min="3602" max="3602" width="13.5703125" style="65" customWidth="1"/>
    <col min="3603" max="3603" width="24.42578125" style="65" customWidth="1"/>
    <col min="3604" max="3604" width="9.140625" style="65"/>
    <col min="3605" max="3605" width="12.7109375" style="65" bestFit="1" customWidth="1"/>
    <col min="3606" max="3606" width="64" style="65" bestFit="1" customWidth="1"/>
    <col min="3607" max="3607" width="7" style="65" bestFit="1" customWidth="1"/>
    <col min="3608" max="3608" width="11.28515625" style="65" bestFit="1" customWidth="1"/>
    <col min="3609" max="3840" width="9.140625" style="65"/>
    <col min="3841" max="3841" width="2.85546875" style="65" customWidth="1"/>
    <col min="3842" max="3848" width="11.28515625" style="65" customWidth="1"/>
    <col min="3849" max="3849" width="10" style="65" customWidth="1"/>
    <col min="3850" max="3850" width="43.85546875" style="65" customWidth="1"/>
    <col min="3851" max="3851" width="17.42578125" style="65" customWidth="1"/>
    <col min="3852" max="3853" width="15.7109375" style="65" customWidth="1"/>
    <col min="3854" max="3854" width="9.5703125" style="65" customWidth="1"/>
    <col min="3855" max="3855" width="20" style="65" customWidth="1"/>
    <col min="3856" max="3856" width="40.140625" style="65" customWidth="1"/>
    <col min="3857" max="3857" width="9" style="65" customWidth="1"/>
    <col min="3858" max="3858" width="13.5703125" style="65" customWidth="1"/>
    <col min="3859" max="3859" width="24.42578125" style="65" customWidth="1"/>
    <col min="3860" max="3860" width="9.140625" style="65"/>
    <col min="3861" max="3861" width="12.7109375" style="65" bestFit="1" customWidth="1"/>
    <col min="3862" max="3862" width="64" style="65" bestFit="1" customWidth="1"/>
    <col min="3863" max="3863" width="7" style="65" bestFit="1" customWidth="1"/>
    <col min="3864" max="3864" width="11.28515625" style="65" bestFit="1" customWidth="1"/>
    <col min="3865" max="4096" width="9.140625" style="65"/>
    <col min="4097" max="4097" width="2.85546875" style="65" customWidth="1"/>
    <col min="4098" max="4104" width="11.28515625" style="65" customWidth="1"/>
    <col min="4105" max="4105" width="10" style="65" customWidth="1"/>
    <col min="4106" max="4106" width="43.85546875" style="65" customWidth="1"/>
    <col min="4107" max="4107" width="17.42578125" style="65" customWidth="1"/>
    <col min="4108" max="4109" width="15.7109375" style="65" customWidth="1"/>
    <col min="4110" max="4110" width="9.5703125" style="65" customWidth="1"/>
    <col min="4111" max="4111" width="20" style="65" customWidth="1"/>
    <col min="4112" max="4112" width="40.140625" style="65" customWidth="1"/>
    <col min="4113" max="4113" width="9" style="65" customWidth="1"/>
    <col min="4114" max="4114" width="13.5703125" style="65" customWidth="1"/>
    <col min="4115" max="4115" width="24.42578125" style="65" customWidth="1"/>
    <col min="4116" max="4116" width="9.140625" style="65"/>
    <col min="4117" max="4117" width="12.7109375" style="65" bestFit="1" customWidth="1"/>
    <col min="4118" max="4118" width="64" style="65" bestFit="1" customWidth="1"/>
    <col min="4119" max="4119" width="7" style="65" bestFit="1" customWidth="1"/>
    <col min="4120" max="4120" width="11.28515625" style="65" bestFit="1" customWidth="1"/>
    <col min="4121" max="4352" width="9.140625" style="65"/>
    <col min="4353" max="4353" width="2.85546875" style="65" customWidth="1"/>
    <col min="4354" max="4360" width="11.28515625" style="65" customWidth="1"/>
    <col min="4361" max="4361" width="10" style="65" customWidth="1"/>
    <col min="4362" max="4362" width="43.85546875" style="65" customWidth="1"/>
    <col min="4363" max="4363" width="17.42578125" style="65" customWidth="1"/>
    <col min="4364" max="4365" width="15.7109375" style="65" customWidth="1"/>
    <col min="4366" max="4366" width="9.5703125" style="65" customWidth="1"/>
    <col min="4367" max="4367" width="20" style="65" customWidth="1"/>
    <col min="4368" max="4368" width="40.140625" style="65" customWidth="1"/>
    <col min="4369" max="4369" width="9" style="65" customWidth="1"/>
    <col min="4370" max="4370" width="13.5703125" style="65" customWidth="1"/>
    <col min="4371" max="4371" width="24.42578125" style="65" customWidth="1"/>
    <col min="4372" max="4372" width="9.140625" style="65"/>
    <col min="4373" max="4373" width="12.7109375" style="65" bestFit="1" customWidth="1"/>
    <col min="4374" max="4374" width="64" style="65" bestFit="1" customWidth="1"/>
    <col min="4375" max="4375" width="7" style="65" bestFit="1" customWidth="1"/>
    <col min="4376" max="4376" width="11.28515625" style="65" bestFit="1" customWidth="1"/>
    <col min="4377" max="4608" width="9.140625" style="65"/>
    <col min="4609" max="4609" width="2.85546875" style="65" customWidth="1"/>
    <col min="4610" max="4616" width="11.28515625" style="65" customWidth="1"/>
    <col min="4617" max="4617" width="10" style="65" customWidth="1"/>
    <col min="4618" max="4618" width="43.85546875" style="65" customWidth="1"/>
    <col min="4619" max="4619" width="17.42578125" style="65" customWidth="1"/>
    <col min="4620" max="4621" width="15.7109375" style="65" customWidth="1"/>
    <col min="4622" max="4622" width="9.5703125" style="65" customWidth="1"/>
    <col min="4623" max="4623" width="20" style="65" customWidth="1"/>
    <col min="4624" max="4624" width="40.140625" style="65" customWidth="1"/>
    <col min="4625" max="4625" width="9" style="65" customWidth="1"/>
    <col min="4626" max="4626" width="13.5703125" style="65" customWidth="1"/>
    <col min="4627" max="4627" width="24.42578125" style="65" customWidth="1"/>
    <col min="4628" max="4628" width="9.140625" style="65"/>
    <col min="4629" max="4629" width="12.7109375" style="65" bestFit="1" customWidth="1"/>
    <col min="4630" max="4630" width="64" style="65" bestFit="1" customWidth="1"/>
    <col min="4631" max="4631" width="7" style="65" bestFit="1" customWidth="1"/>
    <col min="4632" max="4632" width="11.28515625" style="65" bestFit="1" customWidth="1"/>
    <col min="4633" max="4864" width="9.140625" style="65"/>
    <col min="4865" max="4865" width="2.85546875" style="65" customWidth="1"/>
    <col min="4866" max="4872" width="11.28515625" style="65" customWidth="1"/>
    <col min="4873" max="4873" width="10" style="65" customWidth="1"/>
    <col min="4874" max="4874" width="43.85546875" style="65" customWidth="1"/>
    <col min="4875" max="4875" width="17.42578125" style="65" customWidth="1"/>
    <col min="4876" max="4877" width="15.7109375" style="65" customWidth="1"/>
    <col min="4878" max="4878" width="9.5703125" style="65" customWidth="1"/>
    <col min="4879" max="4879" width="20" style="65" customWidth="1"/>
    <col min="4880" max="4880" width="40.140625" style="65" customWidth="1"/>
    <col min="4881" max="4881" width="9" style="65" customWidth="1"/>
    <col min="4882" max="4882" width="13.5703125" style="65" customWidth="1"/>
    <col min="4883" max="4883" width="24.42578125" style="65" customWidth="1"/>
    <col min="4884" max="4884" width="9.140625" style="65"/>
    <col min="4885" max="4885" width="12.7109375" style="65" bestFit="1" customWidth="1"/>
    <col min="4886" max="4886" width="64" style="65" bestFit="1" customWidth="1"/>
    <col min="4887" max="4887" width="7" style="65" bestFit="1" customWidth="1"/>
    <col min="4888" max="4888" width="11.28515625" style="65" bestFit="1" customWidth="1"/>
    <col min="4889" max="5120" width="9.140625" style="65"/>
    <col min="5121" max="5121" width="2.85546875" style="65" customWidth="1"/>
    <col min="5122" max="5128" width="11.28515625" style="65" customWidth="1"/>
    <col min="5129" max="5129" width="10" style="65" customWidth="1"/>
    <col min="5130" max="5130" width="43.85546875" style="65" customWidth="1"/>
    <col min="5131" max="5131" width="17.42578125" style="65" customWidth="1"/>
    <col min="5132" max="5133" width="15.7109375" style="65" customWidth="1"/>
    <col min="5134" max="5134" width="9.5703125" style="65" customWidth="1"/>
    <col min="5135" max="5135" width="20" style="65" customWidth="1"/>
    <col min="5136" max="5136" width="40.140625" style="65" customWidth="1"/>
    <col min="5137" max="5137" width="9" style="65" customWidth="1"/>
    <col min="5138" max="5138" width="13.5703125" style="65" customWidth="1"/>
    <col min="5139" max="5139" width="24.42578125" style="65" customWidth="1"/>
    <col min="5140" max="5140" width="9.140625" style="65"/>
    <col min="5141" max="5141" width="12.7109375" style="65" bestFit="1" customWidth="1"/>
    <col min="5142" max="5142" width="64" style="65" bestFit="1" customWidth="1"/>
    <col min="5143" max="5143" width="7" style="65" bestFit="1" customWidth="1"/>
    <col min="5144" max="5144" width="11.28515625" style="65" bestFit="1" customWidth="1"/>
    <col min="5145" max="5376" width="9.140625" style="65"/>
    <col min="5377" max="5377" width="2.85546875" style="65" customWidth="1"/>
    <col min="5378" max="5384" width="11.28515625" style="65" customWidth="1"/>
    <col min="5385" max="5385" width="10" style="65" customWidth="1"/>
    <col min="5386" max="5386" width="43.85546875" style="65" customWidth="1"/>
    <col min="5387" max="5387" width="17.42578125" style="65" customWidth="1"/>
    <col min="5388" max="5389" width="15.7109375" style="65" customWidth="1"/>
    <col min="5390" max="5390" width="9.5703125" style="65" customWidth="1"/>
    <col min="5391" max="5391" width="20" style="65" customWidth="1"/>
    <col min="5392" max="5392" width="40.140625" style="65" customWidth="1"/>
    <col min="5393" max="5393" width="9" style="65" customWidth="1"/>
    <col min="5394" max="5394" width="13.5703125" style="65" customWidth="1"/>
    <col min="5395" max="5395" width="24.42578125" style="65" customWidth="1"/>
    <col min="5396" max="5396" width="9.140625" style="65"/>
    <col min="5397" max="5397" width="12.7109375" style="65" bestFit="1" customWidth="1"/>
    <col min="5398" max="5398" width="64" style="65" bestFit="1" customWidth="1"/>
    <col min="5399" max="5399" width="7" style="65" bestFit="1" customWidth="1"/>
    <col min="5400" max="5400" width="11.28515625" style="65" bestFit="1" customWidth="1"/>
    <col min="5401" max="5632" width="9.140625" style="65"/>
    <col min="5633" max="5633" width="2.85546875" style="65" customWidth="1"/>
    <col min="5634" max="5640" width="11.28515625" style="65" customWidth="1"/>
    <col min="5641" max="5641" width="10" style="65" customWidth="1"/>
    <col min="5642" max="5642" width="43.85546875" style="65" customWidth="1"/>
    <col min="5643" max="5643" width="17.42578125" style="65" customWidth="1"/>
    <col min="5644" max="5645" width="15.7109375" style="65" customWidth="1"/>
    <col min="5646" max="5646" width="9.5703125" style="65" customWidth="1"/>
    <col min="5647" max="5647" width="20" style="65" customWidth="1"/>
    <col min="5648" max="5648" width="40.140625" style="65" customWidth="1"/>
    <col min="5649" max="5649" width="9" style="65" customWidth="1"/>
    <col min="5650" max="5650" width="13.5703125" style="65" customWidth="1"/>
    <col min="5651" max="5651" width="24.42578125" style="65" customWidth="1"/>
    <col min="5652" max="5652" width="9.140625" style="65"/>
    <col min="5653" max="5653" width="12.7109375" style="65" bestFit="1" customWidth="1"/>
    <col min="5654" max="5654" width="64" style="65" bestFit="1" customWidth="1"/>
    <col min="5655" max="5655" width="7" style="65" bestFit="1" customWidth="1"/>
    <col min="5656" max="5656" width="11.28515625" style="65" bestFit="1" customWidth="1"/>
    <col min="5657" max="5888" width="9.140625" style="65"/>
    <col min="5889" max="5889" width="2.85546875" style="65" customWidth="1"/>
    <col min="5890" max="5896" width="11.28515625" style="65" customWidth="1"/>
    <col min="5897" max="5897" width="10" style="65" customWidth="1"/>
    <col min="5898" max="5898" width="43.85546875" style="65" customWidth="1"/>
    <col min="5899" max="5899" width="17.42578125" style="65" customWidth="1"/>
    <col min="5900" max="5901" width="15.7109375" style="65" customWidth="1"/>
    <col min="5902" max="5902" width="9.5703125" style="65" customWidth="1"/>
    <col min="5903" max="5903" width="20" style="65" customWidth="1"/>
    <col min="5904" max="5904" width="40.140625" style="65" customWidth="1"/>
    <col min="5905" max="5905" width="9" style="65" customWidth="1"/>
    <col min="5906" max="5906" width="13.5703125" style="65" customWidth="1"/>
    <col min="5907" max="5907" width="24.42578125" style="65" customWidth="1"/>
    <col min="5908" max="5908" width="9.140625" style="65"/>
    <col min="5909" max="5909" width="12.7109375" style="65" bestFit="1" customWidth="1"/>
    <col min="5910" max="5910" width="64" style="65" bestFit="1" customWidth="1"/>
    <col min="5911" max="5911" width="7" style="65" bestFit="1" customWidth="1"/>
    <col min="5912" max="5912" width="11.28515625" style="65" bestFit="1" customWidth="1"/>
    <col min="5913" max="6144" width="9.140625" style="65"/>
    <col min="6145" max="6145" width="2.85546875" style="65" customWidth="1"/>
    <col min="6146" max="6152" width="11.28515625" style="65" customWidth="1"/>
    <col min="6153" max="6153" width="10" style="65" customWidth="1"/>
    <col min="6154" max="6154" width="43.85546875" style="65" customWidth="1"/>
    <col min="6155" max="6155" width="17.42578125" style="65" customWidth="1"/>
    <col min="6156" max="6157" width="15.7109375" style="65" customWidth="1"/>
    <col min="6158" max="6158" width="9.5703125" style="65" customWidth="1"/>
    <col min="6159" max="6159" width="20" style="65" customWidth="1"/>
    <col min="6160" max="6160" width="40.140625" style="65" customWidth="1"/>
    <col min="6161" max="6161" width="9" style="65" customWidth="1"/>
    <col min="6162" max="6162" width="13.5703125" style="65" customWidth="1"/>
    <col min="6163" max="6163" width="24.42578125" style="65" customWidth="1"/>
    <col min="6164" max="6164" width="9.140625" style="65"/>
    <col min="6165" max="6165" width="12.7109375" style="65" bestFit="1" customWidth="1"/>
    <col min="6166" max="6166" width="64" style="65" bestFit="1" customWidth="1"/>
    <col min="6167" max="6167" width="7" style="65" bestFit="1" customWidth="1"/>
    <col min="6168" max="6168" width="11.28515625" style="65" bestFit="1" customWidth="1"/>
    <col min="6169" max="6400" width="9.140625" style="65"/>
    <col min="6401" max="6401" width="2.85546875" style="65" customWidth="1"/>
    <col min="6402" max="6408" width="11.28515625" style="65" customWidth="1"/>
    <col min="6409" max="6409" width="10" style="65" customWidth="1"/>
    <col min="6410" max="6410" width="43.85546875" style="65" customWidth="1"/>
    <col min="6411" max="6411" width="17.42578125" style="65" customWidth="1"/>
    <col min="6412" max="6413" width="15.7109375" style="65" customWidth="1"/>
    <col min="6414" max="6414" width="9.5703125" style="65" customWidth="1"/>
    <col min="6415" max="6415" width="20" style="65" customWidth="1"/>
    <col min="6416" max="6416" width="40.140625" style="65" customWidth="1"/>
    <col min="6417" max="6417" width="9" style="65" customWidth="1"/>
    <col min="6418" max="6418" width="13.5703125" style="65" customWidth="1"/>
    <col min="6419" max="6419" width="24.42578125" style="65" customWidth="1"/>
    <col min="6420" max="6420" width="9.140625" style="65"/>
    <col min="6421" max="6421" width="12.7109375" style="65" bestFit="1" customWidth="1"/>
    <col min="6422" max="6422" width="64" style="65" bestFit="1" customWidth="1"/>
    <col min="6423" max="6423" width="7" style="65" bestFit="1" customWidth="1"/>
    <col min="6424" max="6424" width="11.28515625" style="65" bestFit="1" customWidth="1"/>
    <col min="6425" max="6656" width="9.140625" style="65"/>
    <col min="6657" max="6657" width="2.85546875" style="65" customWidth="1"/>
    <col min="6658" max="6664" width="11.28515625" style="65" customWidth="1"/>
    <col min="6665" max="6665" width="10" style="65" customWidth="1"/>
    <col min="6666" max="6666" width="43.85546875" style="65" customWidth="1"/>
    <col min="6667" max="6667" width="17.42578125" style="65" customWidth="1"/>
    <col min="6668" max="6669" width="15.7109375" style="65" customWidth="1"/>
    <col min="6670" max="6670" width="9.5703125" style="65" customWidth="1"/>
    <col min="6671" max="6671" width="20" style="65" customWidth="1"/>
    <col min="6672" max="6672" width="40.140625" style="65" customWidth="1"/>
    <col min="6673" max="6673" width="9" style="65" customWidth="1"/>
    <col min="6674" max="6674" width="13.5703125" style="65" customWidth="1"/>
    <col min="6675" max="6675" width="24.42578125" style="65" customWidth="1"/>
    <col min="6676" max="6676" width="9.140625" style="65"/>
    <col min="6677" max="6677" width="12.7109375" style="65" bestFit="1" customWidth="1"/>
    <col min="6678" max="6678" width="64" style="65" bestFit="1" customWidth="1"/>
    <col min="6679" max="6679" width="7" style="65" bestFit="1" customWidth="1"/>
    <col min="6680" max="6680" width="11.28515625" style="65" bestFit="1" customWidth="1"/>
    <col min="6681" max="6912" width="9.140625" style="65"/>
    <col min="6913" max="6913" width="2.85546875" style="65" customWidth="1"/>
    <col min="6914" max="6920" width="11.28515625" style="65" customWidth="1"/>
    <col min="6921" max="6921" width="10" style="65" customWidth="1"/>
    <col min="6922" max="6922" width="43.85546875" style="65" customWidth="1"/>
    <col min="6923" max="6923" width="17.42578125" style="65" customWidth="1"/>
    <col min="6924" max="6925" width="15.7109375" style="65" customWidth="1"/>
    <col min="6926" max="6926" width="9.5703125" style="65" customWidth="1"/>
    <col min="6927" max="6927" width="20" style="65" customWidth="1"/>
    <col min="6928" max="6928" width="40.140625" style="65" customWidth="1"/>
    <col min="6929" max="6929" width="9" style="65" customWidth="1"/>
    <col min="6930" max="6930" width="13.5703125" style="65" customWidth="1"/>
    <col min="6931" max="6931" width="24.42578125" style="65" customWidth="1"/>
    <col min="6932" max="6932" width="9.140625" style="65"/>
    <col min="6933" max="6933" width="12.7109375" style="65" bestFit="1" customWidth="1"/>
    <col min="6934" max="6934" width="64" style="65" bestFit="1" customWidth="1"/>
    <col min="6935" max="6935" width="7" style="65" bestFit="1" customWidth="1"/>
    <col min="6936" max="6936" width="11.28515625" style="65" bestFit="1" customWidth="1"/>
    <col min="6937" max="7168" width="9.140625" style="65"/>
    <col min="7169" max="7169" width="2.85546875" style="65" customWidth="1"/>
    <col min="7170" max="7176" width="11.28515625" style="65" customWidth="1"/>
    <col min="7177" max="7177" width="10" style="65" customWidth="1"/>
    <col min="7178" max="7178" width="43.85546875" style="65" customWidth="1"/>
    <col min="7179" max="7179" width="17.42578125" style="65" customWidth="1"/>
    <col min="7180" max="7181" width="15.7109375" style="65" customWidth="1"/>
    <col min="7182" max="7182" width="9.5703125" style="65" customWidth="1"/>
    <col min="7183" max="7183" width="20" style="65" customWidth="1"/>
    <col min="7184" max="7184" width="40.140625" style="65" customWidth="1"/>
    <col min="7185" max="7185" width="9" style="65" customWidth="1"/>
    <col min="7186" max="7186" width="13.5703125" style="65" customWidth="1"/>
    <col min="7187" max="7187" width="24.42578125" style="65" customWidth="1"/>
    <col min="7188" max="7188" width="9.140625" style="65"/>
    <col min="7189" max="7189" width="12.7109375" style="65" bestFit="1" customWidth="1"/>
    <col min="7190" max="7190" width="64" style="65" bestFit="1" customWidth="1"/>
    <col min="7191" max="7191" width="7" style="65" bestFit="1" customWidth="1"/>
    <col min="7192" max="7192" width="11.28515625" style="65" bestFit="1" customWidth="1"/>
    <col min="7193" max="7424" width="9.140625" style="65"/>
    <col min="7425" max="7425" width="2.85546875" style="65" customWidth="1"/>
    <col min="7426" max="7432" width="11.28515625" style="65" customWidth="1"/>
    <col min="7433" max="7433" width="10" style="65" customWidth="1"/>
    <col min="7434" max="7434" width="43.85546875" style="65" customWidth="1"/>
    <col min="7435" max="7435" width="17.42578125" style="65" customWidth="1"/>
    <col min="7436" max="7437" width="15.7109375" style="65" customWidth="1"/>
    <col min="7438" max="7438" width="9.5703125" style="65" customWidth="1"/>
    <col min="7439" max="7439" width="20" style="65" customWidth="1"/>
    <col min="7440" max="7440" width="40.140625" style="65" customWidth="1"/>
    <col min="7441" max="7441" width="9" style="65" customWidth="1"/>
    <col min="7442" max="7442" width="13.5703125" style="65" customWidth="1"/>
    <col min="7443" max="7443" width="24.42578125" style="65" customWidth="1"/>
    <col min="7444" max="7444" width="9.140625" style="65"/>
    <col min="7445" max="7445" width="12.7109375" style="65" bestFit="1" customWidth="1"/>
    <col min="7446" max="7446" width="64" style="65" bestFit="1" customWidth="1"/>
    <col min="7447" max="7447" width="7" style="65" bestFit="1" customWidth="1"/>
    <col min="7448" max="7448" width="11.28515625" style="65" bestFit="1" customWidth="1"/>
    <col min="7449" max="7680" width="9.140625" style="65"/>
    <col min="7681" max="7681" width="2.85546875" style="65" customWidth="1"/>
    <col min="7682" max="7688" width="11.28515625" style="65" customWidth="1"/>
    <col min="7689" max="7689" width="10" style="65" customWidth="1"/>
    <col min="7690" max="7690" width="43.85546875" style="65" customWidth="1"/>
    <col min="7691" max="7691" width="17.42578125" style="65" customWidth="1"/>
    <col min="7692" max="7693" width="15.7109375" style="65" customWidth="1"/>
    <col min="7694" max="7694" width="9.5703125" style="65" customWidth="1"/>
    <col min="7695" max="7695" width="20" style="65" customWidth="1"/>
    <col min="7696" max="7696" width="40.140625" style="65" customWidth="1"/>
    <col min="7697" max="7697" width="9" style="65" customWidth="1"/>
    <col min="7698" max="7698" width="13.5703125" style="65" customWidth="1"/>
    <col min="7699" max="7699" width="24.42578125" style="65" customWidth="1"/>
    <col min="7700" max="7700" width="9.140625" style="65"/>
    <col min="7701" max="7701" width="12.7109375" style="65" bestFit="1" customWidth="1"/>
    <col min="7702" max="7702" width="64" style="65" bestFit="1" customWidth="1"/>
    <col min="7703" max="7703" width="7" style="65" bestFit="1" customWidth="1"/>
    <col min="7704" max="7704" width="11.28515625" style="65" bestFit="1" customWidth="1"/>
    <col min="7705" max="7936" width="9.140625" style="65"/>
    <col min="7937" max="7937" width="2.85546875" style="65" customWidth="1"/>
    <col min="7938" max="7944" width="11.28515625" style="65" customWidth="1"/>
    <col min="7945" max="7945" width="10" style="65" customWidth="1"/>
    <col min="7946" max="7946" width="43.85546875" style="65" customWidth="1"/>
    <col min="7947" max="7947" width="17.42578125" style="65" customWidth="1"/>
    <col min="7948" max="7949" width="15.7109375" style="65" customWidth="1"/>
    <col min="7950" max="7950" width="9.5703125" style="65" customWidth="1"/>
    <col min="7951" max="7951" width="20" style="65" customWidth="1"/>
    <col min="7952" max="7952" width="40.140625" style="65" customWidth="1"/>
    <col min="7953" max="7953" width="9" style="65" customWidth="1"/>
    <col min="7954" max="7954" width="13.5703125" style="65" customWidth="1"/>
    <col min="7955" max="7955" width="24.42578125" style="65" customWidth="1"/>
    <col min="7956" max="7956" width="9.140625" style="65"/>
    <col min="7957" max="7957" width="12.7109375" style="65" bestFit="1" customWidth="1"/>
    <col min="7958" max="7958" width="64" style="65" bestFit="1" customWidth="1"/>
    <col min="7959" max="7959" width="7" style="65" bestFit="1" customWidth="1"/>
    <col min="7960" max="7960" width="11.28515625" style="65" bestFit="1" customWidth="1"/>
    <col min="7961" max="8192" width="9.140625" style="65"/>
    <col min="8193" max="8193" width="2.85546875" style="65" customWidth="1"/>
    <col min="8194" max="8200" width="11.28515625" style="65" customWidth="1"/>
    <col min="8201" max="8201" width="10" style="65" customWidth="1"/>
    <col min="8202" max="8202" width="43.85546875" style="65" customWidth="1"/>
    <col min="8203" max="8203" width="17.42578125" style="65" customWidth="1"/>
    <col min="8204" max="8205" width="15.7109375" style="65" customWidth="1"/>
    <col min="8206" max="8206" width="9.5703125" style="65" customWidth="1"/>
    <col min="8207" max="8207" width="20" style="65" customWidth="1"/>
    <col min="8208" max="8208" width="40.140625" style="65" customWidth="1"/>
    <col min="8209" max="8209" width="9" style="65" customWidth="1"/>
    <col min="8210" max="8210" width="13.5703125" style="65" customWidth="1"/>
    <col min="8211" max="8211" width="24.42578125" style="65" customWidth="1"/>
    <col min="8212" max="8212" width="9.140625" style="65"/>
    <col min="8213" max="8213" width="12.7109375" style="65" bestFit="1" customWidth="1"/>
    <col min="8214" max="8214" width="64" style="65" bestFit="1" customWidth="1"/>
    <col min="8215" max="8215" width="7" style="65" bestFit="1" customWidth="1"/>
    <col min="8216" max="8216" width="11.28515625" style="65" bestFit="1" customWidth="1"/>
    <col min="8217" max="8448" width="9.140625" style="65"/>
    <col min="8449" max="8449" width="2.85546875" style="65" customWidth="1"/>
    <col min="8450" max="8456" width="11.28515625" style="65" customWidth="1"/>
    <col min="8457" max="8457" width="10" style="65" customWidth="1"/>
    <col min="8458" max="8458" width="43.85546875" style="65" customWidth="1"/>
    <col min="8459" max="8459" width="17.42578125" style="65" customWidth="1"/>
    <col min="8460" max="8461" width="15.7109375" style="65" customWidth="1"/>
    <col min="8462" max="8462" width="9.5703125" style="65" customWidth="1"/>
    <col min="8463" max="8463" width="20" style="65" customWidth="1"/>
    <col min="8464" max="8464" width="40.140625" style="65" customWidth="1"/>
    <col min="8465" max="8465" width="9" style="65" customWidth="1"/>
    <col min="8466" max="8466" width="13.5703125" style="65" customWidth="1"/>
    <col min="8467" max="8467" width="24.42578125" style="65" customWidth="1"/>
    <col min="8468" max="8468" width="9.140625" style="65"/>
    <col min="8469" max="8469" width="12.7109375" style="65" bestFit="1" customWidth="1"/>
    <col min="8470" max="8470" width="64" style="65" bestFit="1" customWidth="1"/>
    <col min="8471" max="8471" width="7" style="65" bestFit="1" customWidth="1"/>
    <col min="8472" max="8472" width="11.28515625" style="65" bestFit="1" customWidth="1"/>
    <col min="8473" max="8704" width="9.140625" style="65"/>
    <col min="8705" max="8705" width="2.85546875" style="65" customWidth="1"/>
    <col min="8706" max="8712" width="11.28515625" style="65" customWidth="1"/>
    <col min="8713" max="8713" width="10" style="65" customWidth="1"/>
    <col min="8714" max="8714" width="43.85546875" style="65" customWidth="1"/>
    <col min="8715" max="8715" width="17.42578125" style="65" customWidth="1"/>
    <col min="8716" max="8717" width="15.7109375" style="65" customWidth="1"/>
    <col min="8718" max="8718" width="9.5703125" style="65" customWidth="1"/>
    <col min="8719" max="8719" width="20" style="65" customWidth="1"/>
    <col min="8720" max="8720" width="40.140625" style="65" customWidth="1"/>
    <col min="8721" max="8721" width="9" style="65" customWidth="1"/>
    <col min="8722" max="8722" width="13.5703125" style="65" customWidth="1"/>
    <col min="8723" max="8723" width="24.42578125" style="65" customWidth="1"/>
    <col min="8724" max="8724" width="9.140625" style="65"/>
    <col min="8725" max="8725" width="12.7109375" style="65" bestFit="1" customWidth="1"/>
    <col min="8726" max="8726" width="64" style="65" bestFit="1" customWidth="1"/>
    <col min="8727" max="8727" width="7" style="65" bestFit="1" customWidth="1"/>
    <col min="8728" max="8728" width="11.28515625" style="65" bestFit="1" customWidth="1"/>
    <col min="8729" max="8960" width="9.140625" style="65"/>
    <col min="8961" max="8961" width="2.85546875" style="65" customWidth="1"/>
    <col min="8962" max="8968" width="11.28515625" style="65" customWidth="1"/>
    <col min="8969" max="8969" width="10" style="65" customWidth="1"/>
    <col min="8970" max="8970" width="43.85546875" style="65" customWidth="1"/>
    <col min="8971" max="8971" width="17.42578125" style="65" customWidth="1"/>
    <col min="8972" max="8973" width="15.7109375" style="65" customWidth="1"/>
    <col min="8974" max="8974" width="9.5703125" style="65" customWidth="1"/>
    <col min="8975" max="8975" width="20" style="65" customWidth="1"/>
    <col min="8976" max="8976" width="40.140625" style="65" customWidth="1"/>
    <col min="8977" max="8977" width="9" style="65" customWidth="1"/>
    <col min="8978" max="8978" width="13.5703125" style="65" customWidth="1"/>
    <col min="8979" max="8979" width="24.42578125" style="65" customWidth="1"/>
    <col min="8980" max="8980" width="9.140625" style="65"/>
    <col min="8981" max="8981" width="12.7109375" style="65" bestFit="1" customWidth="1"/>
    <col min="8982" max="8982" width="64" style="65" bestFit="1" customWidth="1"/>
    <col min="8983" max="8983" width="7" style="65" bestFit="1" customWidth="1"/>
    <col min="8984" max="8984" width="11.28515625" style="65" bestFit="1" customWidth="1"/>
    <col min="8985" max="9216" width="9.140625" style="65"/>
    <col min="9217" max="9217" width="2.85546875" style="65" customWidth="1"/>
    <col min="9218" max="9224" width="11.28515625" style="65" customWidth="1"/>
    <col min="9225" max="9225" width="10" style="65" customWidth="1"/>
    <col min="9226" max="9226" width="43.85546875" style="65" customWidth="1"/>
    <col min="9227" max="9227" width="17.42578125" style="65" customWidth="1"/>
    <col min="9228" max="9229" width="15.7109375" style="65" customWidth="1"/>
    <col min="9230" max="9230" width="9.5703125" style="65" customWidth="1"/>
    <col min="9231" max="9231" width="20" style="65" customWidth="1"/>
    <col min="9232" max="9232" width="40.140625" style="65" customWidth="1"/>
    <col min="9233" max="9233" width="9" style="65" customWidth="1"/>
    <col min="9234" max="9234" width="13.5703125" style="65" customWidth="1"/>
    <col min="9235" max="9235" width="24.42578125" style="65" customWidth="1"/>
    <col min="9236" max="9236" width="9.140625" style="65"/>
    <col min="9237" max="9237" width="12.7109375" style="65" bestFit="1" customWidth="1"/>
    <col min="9238" max="9238" width="64" style="65" bestFit="1" customWidth="1"/>
    <col min="9239" max="9239" width="7" style="65" bestFit="1" customWidth="1"/>
    <col min="9240" max="9240" width="11.28515625" style="65" bestFit="1" customWidth="1"/>
    <col min="9241" max="9472" width="9.140625" style="65"/>
    <col min="9473" max="9473" width="2.85546875" style="65" customWidth="1"/>
    <col min="9474" max="9480" width="11.28515625" style="65" customWidth="1"/>
    <col min="9481" max="9481" width="10" style="65" customWidth="1"/>
    <col min="9482" max="9482" width="43.85546875" style="65" customWidth="1"/>
    <col min="9483" max="9483" width="17.42578125" style="65" customWidth="1"/>
    <col min="9484" max="9485" width="15.7109375" style="65" customWidth="1"/>
    <col min="9486" max="9486" width="9.5703125" style="65" customWidth="1"/>
    <col min="9487" max="9487" width="20" style="65" customWidth="1"/>
    <col min="9488" max="9488" width="40.140625" style="65" customWidth="1"/>
    <col min="9489" max="9489" width="9" style="65" customWidth="1"/>
    <col min="9490" max="9490" width="13.5703125" style="65" customWidth="1"/>
    <col min="9491" max="9491" width="24.42578125" style="65" customWidth="1"/>
    <col min="9492" max="9492" width="9.140625" style="65"/>
    <col min="9493" max="9493" width="12.7109375" style="65" bestFit="1" customWidth="1"/>
    <col min="9494" max="9494" width="64" style="65" bestFit="1" customWidth="1"/>
    <col min="9495" max="9495" width="7" style="65" bestFit="1" customWidth="1"/>
    <col min="9496" max="9496" width="11.28515625" style="65" bestFit="1" customWidth="1"/>
    <col min="9497" max="9728" width="9.140625" style="65"/>
    <col min="9729" max="9729" width="2.85546875" style="65" customWidth="1"/>
    <col min="9730" max="9736" width="11.28515625" style="65" customWidth="1"/>
    <col min="9737" max="9737" width="10" style="65" customWidth="1"/>
    <col min="9738" max="9738" width="43.85546875" style="65" customWidth="1"/>
    <col min="9739" max="9739" width="17.42578125" style="65" customWidth="1"/>
    <col min="9740" max="9741" width="15.7109375" style="65" customWidth="1"/>
    <col min="9742" max="9742" width="9.5703125" style="65" customWidth="1"/>
    <col min="9743" max="9743" width="20" style="65" customWidth="1"/>
    <col min="9744" max="9744" width="40.140625" style="65" customWidth="1"/>
    <col min="9745" max="9745" width="9" style="65" customWidth="1"/>
    <col min="9746" max="9746" width="13.5703125" style="65" customWidth="1"/>
    <col min="9747" max="9747" width="24.42578125" style="65" customWidth="1"/>
    <col min="9748" max="9748" width="9.140625" style="65"/>
    <col min="9749" max="9749" width="12.7109375" style="65" bestFit="1" customWidth="1"/>
    <col min="9750" max="9750" width="64" style="65" bestFit="1" customWidth="1"/>
    <col min="9751" max="9751" width="7" style="65" bestFit="1" customWidth="1"/>
    <col min="9752" max="9752" width="11.28515625" style="65" bestFit="1" customWidth="1"/>
    <col min="9753" max="9984" width="9.140625" style="65"/>
    <col min="9985" max="9985" width="2.85546875" style="65" customWidth="1"/>
    <col min="9986" max="9992" width="11.28515625" style="65" customWidth="1"/>
    <col min="9993" max="9993" width="10" style="65" customWidth="1"/>
    <col min="9994" max="9994" width="43.85546875" style="65" customWidth="1"/>
    <col min="9995" max="9995" width="17.42578125" style="65" customWidth="1"/>
    <col min="9996" max="9997" width="15.7109375" style="65" customWidth="1"/>
    <col min="9998" max="9998" width="9.5703125" style="65" customWidth="1"/>
    <col min="9999" max="9999" width="20" style="65" customWidth="1"/>
    <col min="10000" max="10000" width="40.140625" style="65" customWidth="1"/>
    <col min="10001" max="10001" width="9" style="65" customWidth="1"/>
    <col min="10002" max="10002" width="13.5703125" style="65" customWidth="1"/>
    <col min="10003" max="10003" width="24.42578125" style="65" customWidth="1"/>
    <col min="10004" max="10004" width="9.140625" style="65"/>
    <col min="10005" max="10005" width="12.7109375" style="65" bestFit="1" customWidth="1"/>
    <col min="10006" max="10006" width="64" style="65" bestFit="1" customWidth="1"/>
    <col min="10007" max="10007" width="7" style="65" bestFit="1" customWidth="1"/>
    <col min="10008" max="10008" width="11.28515625" style="65" bestFit="1" customWidth="1"/>
    <col min="10009" max="10240" width="9.140625" style="65"/>
    <col min="10241" max="10241" width="2.85546875" style="65" customWidth="1"/>
    <col min="10242" max="10248" width="11.28515625" style="65" customWidth="1"/>
    <col min="10249" max="10249" width="10" style="65" customWidth="1"/>
    <col min="10250" max="10250" width="43.85546875" style="65" customWidth="1"/>
    <col min="10251" max="10251" width="17.42578125" style="65" customWidth="1"/>
    <col min="10252" max="10253" width="15.7109375" style="65" customWidth="1"/>
    <col min="10254" max="10254" width="9.5703125" style="65" customWidth="1"/>
    <col min="10255" max="10255" width="20" style="65" customWidth="1"/>
    <col min="10256" max="10256" width="40.140625" style="65" customWidth="1"/>
    <col min="10257" max="10257" width="9" style="65" customWidth="1"/>
    <col min="10258" max="10258" width="13.5703125" style="65" customWidth="1"/>
    <col min="10259" max="10259" width="24.42578125" style="65" customWidth="1"/>
    <col min="10260" max="10260" width="9.140625" style="65"/>
    <col min="10261" max="10261" width="12.7109375" style="65" bestFit="1" customWidth="1"/>
    <col min="10262" max="10262" width="64" style="65" bestFit="1" customWidth="1"/>
    <col min="10263" max="10263" width="7" style="65" bestFit="1" customWidth="1"/>
    <col min="10264" max="10264" width="11.28515625" style="65" bestFit="1" customWidth="1"/>
    <col min="10265" max="10496" width="9.140625" style="65"/>
    <col min="10497" max="10497" width="2.85546875" style="65" customWidth="1"/>
    <col min="10498" max="10504" width="11.28515625" style="65" customWidth="1"/>
    <col min="10505" max="10505" width="10" style="65" customWidth="1"/>
    <col min="10506" max="10506" width="43.85546875" style="65" customWidth="1"/>
    <col min="10507" max="10507" width="17.42578125" style="65" customWidth="1"/>
    <col min="10508" max="10509" width="15.7109375" style="65" customWidth="1"/>
    <col min="10510" max="10510" width="9.5703125" style="65" customWidth="1"/>
    <col min="10511" max="10511" width="20" style="65" customWidth="1"/>
    <col min="10512" max="10512" width="40.140625" style="65" customWidth="1"/>
    <col min="10513" max="10513" width="9" style="65" customWidth="1"/>
    <col min="10514" max="10514" width="13.5703125" style="65" customWidth="1"/>
    <col min="10515" max="10515" width="24.42578125" style="65" customWidth="1"/>
    <col min="10516" max="10516" width="9.140625" style="65"/>
    <col min="10517" max="10517" width="12.7109375" style="65" bestFit="1" customWidth="1"/>
    <col min="10518" max="10518" width="64" style="65" bestFit="1" customWidth="1"/>
    <col min="10519" max="10519" width="7" style="65" bestFit="1" customWidth="1"/>
    <col min="10520" max="10520" width="11.28515625" style="65" bestFit="1" customWidth="1"/>
    <col min="10521" max="10752" width="9.140625" style="65"/>
    <col min="10753" max="10753" width="2.85546875" style="65" customWidth="1"/>
    <col min="10754" max="10760" width="11.28515625" style="65" customWidth="1"/>
    <col min="10761" max="10761" width="10" style="65" customWidth="1"/>
    <col min="10762" max="10762" width="43.85546875" style="65" customWidth="1"/>
    <col min="10763" max="10763" width="17.42578125" style="65" customWidth="1"/>
    <col min="10764" max="10765" width="15.7109375" style="65" customWidth="1"/>
    <col min="10766" max="10766" width="9.5703125" style="65" customWidth="1"/>
    <col min="10767" max="10767" width="20" style="65" customWidth="1"/>
    <col min="10768" max="10768" width="40.140625" style="65" customWidth="1"/>
    <col min="10769" max="10769" width="9" style="65" customWidth="1"/>
    <col min="10770" max="10770" width="13.5703125" style="65" customWidth="1"/>
    <col min="10771" max="10771" width="24.42578125" style="65" customWidth="1"/>
    <col min="10772" max="10772" width="9.140625" style="65"/>
    <col min="10773" max="10773" width="12.7109375" style="65" bestFit="1" customWidth="1"/>
    <col min="10774" max="10774" width="64" style="65" bestFit="1" customWidth="1"/>
    <col min="10775" max="10775" width="7" style="65" bestFit="1" customWidth="1"/>
    <col min="10776" max="10776" width="11.28515625" style="65" bestFit="1" customWidth="1"/>
    <col min="10777" max="11008" width="9.140625" style="65"/>
    <col min="11009" max="11009" width="2.85546875" style="65" customWidth="1"/>
    <col min="11010" max="11016" width="11.28515625" style="65" customWidth="1"/>
    <col min="11017" max="11017" width="10" style="65" customWidth="1"/>
    <col min="11018" max="11018" width="43.85546875" style="65" customWidth="1"/>
    <col min="11019" max="11019" width="17.42578125" style="65" customWidth="1"/>
    <col min="11020" max="11021" width="15.7109375" style="65" customWidth="1"/>
    <col min="11022" max="11022" width="9.5703125" style="65" customWidth="1"/>
    <col min="11023" max="11023" width="20" style="65" customWidth="1"/>
    <col min="11024" max="11024" width="40.140625" style="65" customWidth="1"/>
    <col min="11025" max="11025" width="9" style="65" customWidth="1"/>
    <col min="11026" max="11026" width="13.5703125" style="65" customWidth="1"/>
    <col min="11027" max="11027" width="24.42578125" style="65" customWidth="1"/>
    <col min="11028" max="11028" width="9.140625" style="65"/>
    <col min="11029" max="11029" width="12.7109375" style="65" bestFit="1" customWidth="1"/>
    <col min="11030" max="11030" width="64" style="65" bestFit="1" customWidth="1"/>
    <col min="11031" max="11031" width="7" style="65" bestFit="1" customWidth="1"/>
    <col min="11032" max="11032" width="11.28515625" style="65" bestFit="1" customWidth="1"/>
    <col min="11033" max="11264" width="9.140625" style="65"/>
    <col min="11265" max="11265" width="2.85546875" style="65" customWidth="1"/>
    <col min="11266" max="11272" width="11.28515625" style="65" customWidth="1"/>
    <col min="11273" max="11273" width="10" style="65" customWidth="1"/>
    <col min="11274" max="11274" width="43.85546875" style="65" customWidth="1"/>
    <col min="11275" max="11275" width="17.42578125" style="65" customWidth="1"/>
    <col min="11276" max="11277" width="15.7109375" style="65" customWidth="1"/>
    <col min="11278" max="11278" width="9.5703125" style="65" customWidth="1"/>
    <col min="11279" max="11279" width="20" style="65" customWidth="1"/>
    <col min="11280" max="11280" width="40.140625" style="65" customWidth="1"/>
    <col min="11281" max="11281" width="9" style="65" customWidth="1"/>
    <col min="11282" max="11282" width="13.5703125" style="65" customWidth="1"/>
    <col min="11283" max="11283" width="24.42578125" style="65" customWidth="1"/>
    <col min="11284" max="11284" width="9.140625" style="65"/>
    <col min="11285" max="11285" width="12.7109375" style="65" bestFit="1" customWidth="1"/>
    <col min="11286" max="11286" width="64" style="65" bestFit="1" customWidth="1"/>
    <col min="11287" max="11287" width="7" style="65" bestFit="1" customWidth="1"/>
    <col min="11288" max="11288" width="11.28515625" style="65" bestFit="1" customWidth="1"/>
    <col min="11289" max="11520" width="9.140625" style="65"/>
    <col min="11521" max="11521" width="2.85546875" style="65" customWidth="1"/>
    <col min="11522" max="11528" width="11.28515625" style="65" customWidth="1"/>
    <col min="11529" max="11529" width="10" style="65" customWidth="1"/>
    <col min="11530" max="11530" width="43.85546875" style="65" customWidth="1"/>
    <col min="11531" max="11531" width="17.42578125" style="65" customWidth="1"/>
    <col min="11532" max="11533" width="15.7109375" style="65" customWidth="1"/>
    <col min="11534" max="11534" width="9.5703125" style="65" customWidth="1"/>
    <col min="11535" max="11535" width="20" style="65" customWidth="1"/>
    <col min="11536" max="11536" width="40.140625" style="65" customWidth="1"/>
    <col min="11537" max="11537" width="9" style="65" customWidth="1"/>
    <col min="11538" max="11538" width="13.5703125" style="65" customWidth="1"/>
    <col min="11539" max="11539" width="24.42578125" style="65" customWidth="1"/>
    <col min="11540" max="11540" width="9.140625" style="65"/>
    <col min="11541" max="11541" width="12.7109375" style="65" bestFit="1" customWidth="1"/>
    <col min="11542" max="11542" width="64" style="65" bestFit="1" customWidth="1"/>
    <col min="11543" max="11543" width="7" style="65" bestFit="1" customWidth="1"/>
    <col min="11544" max="11544" width="11.28515625" style="65" bestFit="1" customWidth="1"/>
    <col min="11545" max="11776" width="9.140625" style="65"/>
    <col min="11777" max="11777" width="2.85546875" style="65" customWidth="1"/>
    <col min="11778" max="11784" width="11.28515625" style="65" customWidth="1"/>
    <col min="11785" max="11785" width="10" style="65" customWidth="1"/>
    <col min="11786" max="11786" width="43.85546875" style="65" customWidth="1"/>
    <col min="11787" max="11787" width="17.42578125" style="65" customWidth="1"/>
    <col min="11788" max="11789" width="15.7109375" style="65" customWidth="1"/>
    <col min="11790" max="11790" width="9.5703125" style="65" customWidth="1"/>
    <col min="11791" max="11791" width="20" style="65" customWidth="1"/>
    <col min="11792" max="11792" width="40.140625" style="65" customWidth="1"/>
    <col min="11793" max="11793" width="9" style="65" customWidth="1"/>
    <col min="11794" max="11794" width="13.5703125" style="65" customWidth="1"/>
    <col min="11795" max="11795" width="24.42578125" style="65" customWidth="1"/>
    <col min="11796" max="11796" width="9.140625" style="65"/>
    <col min="11797" max="11797" width="12.7109375" style="65" bestFit="1" customWidth="1"/>
    <col min="11798" max="11798" width="64" style="65" bestFit="1" customWidth="1"/>
    <col min="11799" max="11799" width="7" style="65" bestFit="1" customWidth="1"/>
    <col min="11800" max="11800" width="11.28515625" style="65" bestFit="1" customWidth="1"/>
    <col min="11801" max="12032" width="9.140625" style="65"/>
    <col min="12033" max="12033" width="2.85546875" style="65" customWidth="1"/>
    <col min="12034" max="12040" width="11.28515625" style="65" customWidth="1"/>
    <col min="12041" max="12041" width="10" style="65" customWidth="1"/>
    <col min="12042" max="12042" width="43.85546875" style="65" customWidth="1"/>
    <col min="12043" max="12043" width="17.42578125" style="65" customWidth="1"/>
    <col min="12044" max="12045" width="15.7109375" style="65" customWidth="1"/>
    <col min="12046" max="12046" width="9.5703125" style="65" customWidth="1"/>
    <col min="12047" max="12047" width="20" style="65" customWidth="1"/>
    <col min="12048" max="12048" width="40.140625" style="65" customWidth="1"/>
    <col min="12049" max="12049" width="9" style="65" customWidth="1"/>
    <col min="12050" max="12050" width="13.5703125" style="65" customWidth="1"/>
    <col min="12051" max="12051" width="24.42578125" style="65" customWidth="1"/>
    <col min="12052" max="12052" width="9.140625" style="65"/>
    <col min="12053" max="12053" width="12.7109375" style="65" bestFit="1" customWidth="1"/>
    <col min="12054" max="12054" width="64" style="65" bestFit="1" customWidth="1"/>
    <col min="12055" max="12055" width="7" style="65" bestFit="1" customWidth="1"/>
    <col min="12056" max="12056" width="11.28515625" style="65" bestFit="1" customWidth="1"/>
    <col min="12057" max="12288" width="9.140625" style="65"/>
    <col min="12289" max="12289" width="2.85546875" style="65" customWidth="1"/>
    <col min="12290" max="12296" width="11.28515625" style="65" customWidth="1"/>
    <col min="12297" max="12297" width="10" style="65" customWidth="1"/>
    <col min="12298" max="12298" width="43.85546875" style="65" customWidth="1"/>
    <col min="12299" max="12299" width="17.42578125" style="65" customWidth="1"/>
    <col min="12300" max="12301" width="15.7109375" style="65" customWidth="1"/>
    <col min="12302" max="12302" width="9.5703125" style="65" customWidth="1"/>
    <col min="12303" max="12303" width="20" style="65" customWidth="1"/>
    <col min="12304" max="12304" width="40.140625" style="65" customWidth="1"/>
    <col min="12305" max="12305" width="9" style="65" customWidth="1"/>
    <col min="12306" max="12306" width="13.5703125" style="65" customWidth="1"/>
    <col min="12307" max="12307" width="24.42578125" style="65" customWidth="1"/>
    <col min="12308" max="12308" width="9.140625" style="65"/>
    <col min="12309" max="12309" width="12.7109375" style="65" bestFit="1" customWidth="1"/>
    <col min="12310" max="12310" width="64" style="65" bestFit="1" customWidth="1"/>
    <col min="12311" max="12311" width="7" style="65" bestFit="1" customWidth="1"/>
    <col min="12312" max="12312" width="11.28515625" style="65" bestFit="1" customWidth="1"/>
    <col min="12313" max="12544" width="9.140625" style="65"/>
    <col min="12545" max="12545" width="2.85546875" style="65" customWidth="1"/>
    <col min="12546" max="12552" width="11.28515625" style="65" customWidth="1"/>
    <col min="12553" max="12553" width="10" style="65" customWidth="1"/>
    <col min="12554" max="12554" width="43.85546875" style="65" customWidth="1"/>
    <col min="12555" max="12555" width="17.42578125" style="65" customWidth="1"/>
    <col min="12556" max="12557" width="15.7109375" style="65" customWidth="1"/>
    <col min="12558" max="12558" width="9.5703125" style="65" customWidth="1"/>
    <col min="12559" max="12559" width="20" style="65" customWidth="1"/>
    <col min="12560" max="12560" width="40.140625" style="65" customWidth="1"/>
    <col min="12561" max="12561" width="9" style="65" customWidth="1"/>
    <col min="12562" max="12562" width="13.5703125" style="65" customWidth="1"/>
    <col min="12563" max="12563" width="24.42578125" style="65" customWidth="1"/>
    <col min="12564" max="12564" width="9.140625" style="65"/>
    <col min="12565" max="12565" width="12.7109375" style="65" bestFit="1" customWidth="1"/>
    <col min="12566" max="12566" width="64" style="65" bestFit="1" customWidth="1"/>
    <col min="12567" max="12567" width="7" style="65" bestFit="1" customWidth="1"/>
    <col min="12568" max="12568" width="11.28515625" style="65" bestFit="1" customWidth="1"/>
    <col min="12569" max="12800" width="9.140625" style="65"/>
    <col min="12801" max="12801" width="2.85546875" style="65" customWidth="1"/>
    <col min="12802" max="12808" width="11.28515625" style="65" customWidth="1"/>
    <col min="12809" max="12809" width="10" style="65" customWidth="1"/>
    <col min="12810" max="12810" width="43.85546875" style="65" customWidth="1"/>
    <col min="12811" max="12811" width="17.42578125" style="65" customWidth="1"/>
    <col min="12812" max="12813" width="15.7109375" style="65" customWidth="1"/>
    <col min="12814" max="12814" width="9.5703125" style="65" customWidth="1"/>
    <col min="12815" max="12815" width="20" style="65" customWidth="1"/>
    <col min="12816" max="12816" width="40.140625" style="65" customWidth="1"/>
    <col min="12817" max="12817" width="9" style="65" customWidth="1"/>
    <col min="12818" max="12818" width="13.5703125" style="65" customWidth="1"/>
    <col min="12819" max="12819" width="24.42578125" style="65" customWidth="1"/>
    <col min="12820" max="12820" width="9.140625" style="65"/>
    <col min="12821" max="12821" width="12.7109375" style="65" bestFit="1" customWidth="1"/>
    <col min="12822" max="12822" width="64" style="65" bestFit="1" customWidth="1"/>
    <col min="12823" max="12823" width="7" style="65" bestFit="1" customWidth="1"/>
    <col min="12824" max="12824" width="11.28515625" style="65" bestFit="1" customWidth="1"/>
    <col min="12825" max="13056" width="9.140625" style="65"/>
    <col min="13057" max="13057" width="2.85546875" style="65" customWidth="1"/>
    <col min="13058" max="13064" width="11.28515625" style="65" customWidth="1"/>
    <col min="13065" max="13065" width="10" style="65" customWidth="1"/>
    <col min="13066" max="13066" width="43.85546875" style="65" customWidth="1"/>
    <col min="13067" max="13067" width="17.42578125" style="65" customWidth="1"/>
    <col min="13068" max="13069" width="15.7109375" style="65" customWidth="1"/>
    <col min="13070" max="13070" width="9.5703125" style="65" customWidth="1"/>
    <col min="13071" max="13071" width="20" style="65" customWidth="1"/>
    <col min="13072" max="13072" width="40.140625" style="65" customWidth="1"/>
    <col min="13073" max="13073" width="9" style="65" customWidth="1"/>
    <col min="13074" max="13074" width="13.5703125" style="65" customWidth="1"/>
    <col min="13075" max="13075" width="24.42578125" style="65" customWidth="1"/>
    <col min="13076" max="13076" width="9.140625" style="65"/>
    <col min="13077" max="13077" width="12.7109375" style="65" bestFit="1" customWidth="1"/>
    <col min="13078" max="13078" width="64" style="65" bestFit="1" customWidth="1"/>
    <col min="13079" max="13079" width="7" style="65" bestFit="1" customWidth="1"/>
    <col min="13080" max="13080" width="11.28515625" style="65" bestFit="1" customWidth="1"/>
    <col min="13081" max="13312" width="9.140625" style="65"/>
    <col min="13313" max="13313" width="2.85546875" style="65" customWidth="1"/>
    <col min="13314" max="13320" width="11.28515625" style="65" customWidth="1"/>
    <col min="13321" max="13321" width="10" style="65" customWidth="1"/>
    <col min="13322" max="13322" width="43.85546875" style="65" customWidth="1"/>
    <col min="13323" max="13323" width="17.42578125" style="65" customWidth="1"/>
    <col min="13324" max="13325" width="15.7109375" style="65" customWidth="1"/>
    <col min="13326" max="13326" width="9.5703125" style="65" customWidth="1"/>
    <col min="13327" max="13327" width="20" style="65" customWidth="1"/>
    <col min="13328" max="13328" width="40.140625" style="65" customWidth="1"/>
    <col min="13329" max="13329" width="9" style="65" customWidth="1"/>
    <col min="13330" max="13330" width="13.5703125" style="65" customWidth="1"/>
    <col min="13331" max="13331" width="24.42578125" style="65" customWidth="1"/>
    <col min="13332" max="13332" width="9.140625" style="65"/>
    <col min="13333" max="13333" width="12.7109375" style="65" bestFit="1" customWidth="1"/>
    <col min="13334" max="13334" width="64" style="65" bestFit="1" customWidth="1"/>
    <col min="13335" max="13335" width="7" style="65" bestFit="1" customWidth="1"/>
    <col min="13336" max="13336" width="11.28515625" style="65" bestFit="1" customWidth="1"/>
    <col min="13337" max="13568" width="9.140625" style="65"/>
    <col min="13569" max="13569" width="2.85546875" style="65" customWidth="1"/>
    <col min="13570" max="13576" width="11.28515625" style="65" customWidth="1"/>
    <col min="13577" max="13577" width="10" style="65" customWidth="1"/>
    <col min="13578" max="13578" width="43.85546875" style="65" customWidth="1"/>
    <col min="13579" max="13579" width="17.42578125" style="65" customWidth="1"/>
    <col min="13580" max="13581" width="15.7109375" style="65" customWidth="1"/>
    <col min="13582" max="13582" width="9.5703125" style="65" customWidth="1"/>
    <col min="13583" max="13583" width="20" style="65" customWidth="1"/>
    <col min="13584" max="13584" width="40.140625" style="65" customWidth="1"/>
    <col min="13585" max="13585" width="9" style="65" customWidth="1"/>
    <col min="13586" max="13586" width="13.5703125" style="65" customWidth="1"/>
    <col min="13587" max="13587" width="24.42578125" style="65" customWidth="1"/>
    <col min="13588" max="13588" width="9.140625" style="65"/>
    <col min="13589" max="13589" width="12.7109375" style="65" bestFit="1" customWidth="1"/>
    <col min="13590" max="13590" width="64" style="65" bestFit="1" customWidth="1"/>
    <col min="13591" max="13591" width="7" style="65" bestFit="1" customWidth="1"/>
    <col min="13592" max="13592" width="11.28515625" style="65" bestFit="1" customWidth="1"/>
    <col min="13593" max="13824" width="9.140625" style="65"/>
    <col min="13825" max="13825" width="2.85546875" style="65" customWidth="1"/>
    <col min="13826" max="13832" width="11.28515625" style="65" customWidth="1"/>
    <col min="13833" max="13833" width="10" style="65" customWidth="1"/>
    <col min="13834" max="13834" width="43.85546875" style="65" customWidth="1"/>
    <col min="13835" max="13835" width="17.42578125" style="65" customWidth="1"/>
    <col min="13836" max="13837" width="15.7109375" style="65" customWidth="1"/>
    <col min="13838" max="13838" width="9.5703125" style="65" customWidth="1"/>
    <col min="13839" max="13839" width="20" style="65" customWidth="1"/>
    <col min="13840" max="13840" width="40.140625" style="65" customWidth="1"/>
    <col min="13841" max="13841" width="9" style="65" customWidth="1"/>
    <col min="13842" max="13842" width="13.5703125" style="65" customWidth="1"/>
    <col min="13843" max="13843" width="24.42578125" style="65" customWidth="1"/>
    <col min="13844" max="13844" width="9.140625" style="65"/>
    <col min="13845" max="13845" width="12.7109375" style="65" bestFit="1" customWidth="1"/>
    <col min="13846" max="13846" width="64" style="65" bestFit="1" customWidth="1"/>
    <col min="13847" max="13847" width="7" style="65" bestFit="1" customWidth="1"/>
    <col min="13848" max="13848" width="11.28515625" style="65" bestFit="1" customWidth="1"/>
    <col min="13849" max="14080" width="9.140625" style="65"/>
    <col min="14081" max="14081" width="2.85546875" style="65" customWidth="1"/>
    <col min="14082" max="14088" width="11.28515625" style="65" customWidth="1"/>
    <col min="14089" max="14089" width="10" style="65" customWidth="1"/>
    <col min="14090" max="14090" width="43.85546875" style="65" customWidth="1"/>
    <col min="14091" max="14091" width="17.42578125" style="65" customWidth="1"/>
    <col min="14092" max="14093" width="15.7109375" style="65" customWidth="1"/>
    <col min="14094" max="14094" width="9.5703125" style="65" customWidth="1"/>
    <col min="14095" max="14095" width="20" style="65" customWidth="1"/>
    <col min="14096" max="14096" width="40.140625" style="65" customWidth="1"/>
    <col min="14097" max="14097" width="9" style="65" customWidth="1"/>
    <col min="14098" max="14098" width="13.5703125" style="65" customWidth="1"/>
    <col min="14099" max="14099" width="24.42578125" style="65" customWidth="1"/>
    <col min="14100" max="14100" width="9.140625" style="65"/>
    <col min="14101" max="14101" width="12.7109375" style="65" bestFit="1" customWidth="1"/>
    <col min="14102" max="14102" width="64" style="65" bestFit="1" customWidth="1"/>
    <col min="14103" max="14103" width="7" style="65" bestFit="1" customWidth="1"/>
    <col min="14104" max="14104" width="11.28515625" style="65" bestFit="1" customWidth="1"/>
    <col min="14105" max="14336" width="9.140625" style="65"/>
    <col min="14337" max="14337" width="2.85546875" style="65" customWidth="1"/>
    <col min="14338" max="14344" width="11.28515625" style="65" customWidth="1"/>
    <col min="14345" max="14345" width="10" style="65" customWidth="1"/>
    <col min="14346" max="14346" width="43.85546875" style="65" customWidth="1"/>
    <col min="14347" max="14347" width="17.42578125" style="65" customWidth="1"/>
    <col min="14348" max="14349" width="15.7109375" style="65" customWidth="1"/>
    <col min="14350" max="14350" width="9.5703125" style="65" customWidth="1"/>
    <col min="14351" max="14351" width="20" style="65" customWidth="1"/>
    <col min="14352" max="14352" width="40.140625" style="65" customWidth="1"/>
    <col min="14353" max="14353" width="9" style="65" customWidth="1"/>
    <col min="14354" max="14354" width="13.5703125" style="65" customWidth="1"/>
    <col min="14355" max="14355" width="24.42578125" style="65" customWidth="1"/>
    <col min="14356" max="14356" width="9.140625" style="65"/>
    <col min="14357" max="14357" width="12.7109375" style="65" bestFit="1" customWidth="1"/>
    <col min="14358" max="14358" width="64" style="65" bestFit="1" customWidth="1"/>
    <col min="14359" max="14359" width="7" style="65" bestFit="1" customWidth="1"/>
    <col min="14360" max="14360" width="11.28515625" style="65" bestFit="1" customWidth="1"/>
    <col min="14361" max="14592" width="9.140625" style="65"/>
    <col min="14593" max="14593" width="2.85546875" style="65" customWidth="1"/>
    <col min="14594" max="14600" width="11.28515625" style="65" customWidth="1"/>
    <col min="14601" max="14601" width="10" style="65" customWidth="1"/>
    <col min="14602" max="14602" width="43.85546875" style="65" customWidth="1"/>
    <col min="14603" max="14603" width="17.42578125" style="65" customWidth="1"/>
    <col min="14604" max="14605" width="15.7109375" style="65" customWidth="1"/>
    <col min="14606" max="14606" width="9.5703125" style="65" customWidth="1"/>
    <col min="14607" max="14607" width="20" style="65" customWidth="1"/>
    <col min="14608" max="14608" width="40.140625" style="65" customWidth="1"/>
    <col min="14609" max="14609" width="9" style="65" customWidth="1"/>
    <col min="14610" max="14610" width="13.5703125" style="65" customWidth="1"/>
    <col min="14611" max="14611" width="24.42578125" style="65" customWidth="1"/>
    <col min="14612" max="14612" width="9.140625" style="65"/>
    <col min="14613" max="14613" width="12.7109375" style="65" bestFit="1" customWidth="1"/>
    <col min="14614" max="14614" width="64" style="65" bestFit="1" customWidth="1"/>
    <col min="14615" max="14615" width="7" style="65" bestFit="1" customWidth="1"/>
    <col min="14616" max="14616" width="11.28515625" style="65" bestFit="1" customWidth="1"/>
    <col min="14617" max="14848" width="9.140625" style="65"/>
    <col min="14849" max="14849" width="2.85546875" style="65" customWidth="1"/>
    <col min="14850" max="14856" width="11.28515625" style="65" customWidth="1"/>
    <col min="14857" max="14857" width="10" style="65" customWidth="1"/>
    <col min="14858" max="14858" width="43.85546875" style="65" customWidth="1"/>
    <col min="14859" max="14859" width="17.42578125" style="65" customWidth="1"/>
    <col min="14860" max="14861" width="15.7109375" style="65" customWidth="1"/>
    <col min="14862" max="14862" width="9.5703125" style="65" customWidth="1"/>
    <col min="14863" max="14863" width="20" style="65" customWidth="1"/>
    <col min="14864" max="14864" width="40.140625" style="65" customWidth="1"/>
    <col min="14865" max="14865" width="9" style="65" customWidth="1"/>
    <col min="14866" max="14866" width="13.5703125" style="65" customWidth="1"/>
    <col min="14867" max="14867" width="24.42578125" style="65" customWidth="1"/>
    <col min="14868" max="14868" width="9.140625" style="65"/>
    <col min="14869" max="14869" width="12.7109375" style="65" bestFit="1" customWidth="1"/>
    <col min="14870" max="14870" width="64" style="65" bestFit="1" customWidth="1"/>
    <col min="14871" max="14871" width="7" style="65" bestFit="1" customWidth="1"/>
    <col min="14872" max="14872" width="11.28515625" style="65" bestFit="1" customWidth="1"/>
    <col min="14873" max="15104" width="9.140625" style="65"/>
    <col min="15105" max="15105" width="2.85546875" style="65" customWidth="1"/>
    <col min="15106" max="15112" width="11.28515625" style="65" customWidth="1"/>
    <col min="15113" max="15113" width="10" style="65" customWidth="1"/>
    <col min="15114" max="15114" width="43.85546875" style="65" customWidth="1"/>
    <col min="15115" max="15115" width="17.42578125" style="65" customWidth="1"/>
    <col min="15116" max="15117" width="15.7109375" style="65" customWidth="1"/>
    <col min="15118" max="15118" width="9.5703125" style="65" customWidth="1"/>
    <col min="15119" max="15119" width="20" style="65" customWidth="1"/>
    <col min="15120" max="15120" width="40.140625" style="65" customWidth="1"/>
    <col min="15121" max="15121" width="9" style="65" customWidth="1"/>
    <col min="15122" max="15122" width="13.5703125" style="65" customWidth="1"/>
    <col min="15123" max="15123" width="24.42578125" style="65" customWidth="1"/>
    <col min="15124" max="15124" width="9.140625" style="65"/>
    <col min="15125" max="15125" width="12.7109375" style="65" bestFit="1" customWidth="1"/>
    <col min="15126" max="15126" width="64" style="65" bestFit="1" customWidth="1"/>
    <col min="15127" max="15127" width="7" style="65" bestFit="1" customWidth="1"/>
    <col min="15128" max="15128" width="11.28515625" style="65" bestFit="1" customWidth="1"/>
    <col min="15129" max="15360" width="9.140625" style="65"/>
    <col min="15361" max="15361" width="2.85546875" style="65" customWidth="1"/>
    <col min="15362" max="15368" width="11.28515625" style="65" customWidth="1"/>
    <col min="15369" max="15369" width="10" style="65" customWidth="1"/>
    <col min="15370" max="15370" width="43.85546875" style="65" customWidth="1"/>
    <col min="15371" max="15371" width="17.42578125" style="65" customWidth="1"/>
    <col min="15372" max="15373" width="15.7109375" style="65" customWidth="1"/>
    <col min="15374" max="15374" width="9.5703125" style="65" customWidth="1"/>
    <col min="15375" max="15375" width="20" style="65" customWidth="1"/>
    <col min="15376" max="15376" width="40.140625" style="65" customWidth="1"/>
    <col min="15377" max="15377" width="9" style="65" customWidth="1"/>
    <col min="15378" max="15378" width="13.5703125" style="65" customWidth="1"/>
    <col min="15379" max="15379" width="24.42578125" style="65" customWidth="1"/>
    <col min="15380" max="15380" width="9.140625" style="65"/>
    <col min="15381" max="15381" width="12.7109375" style="65" bestFit="1" customWidth="1"/>
    <col min="15382" max="15382" width="64" style="65" bestFit="1" customWidth="1"/>
    <col min="15383" max="15383" width="7" style="65" bestFit="1" customWidth="1"/>
    <col min="15384" max="15384" width="11.28515625" style="65" bestFit="1" customWidth="1"/>
    <col min="15385" max="15616" width="9.140625" style="65"/>
    <col min="15617" max="15617" width="2.85546875" style="65" customWidth="1"/>
    <col min="15618" max="15624" width="11.28515625" style="65" customWidth="1"/>
    <col min="15625" max="15625" width="10" style="65" customWidth="1"/>
    <col min="15626" max="15626" width="43.85546875" style="65" customWidth="1"/>
    <col min="15627" max="15627" width="17.42578125" style="65" customWidth="1"/>
    <col min="15628" max="15629" width="15.7109375" style="65" customWidth="1"/>
    <col min="15630" max="15630" width="9.5703125" style="65" customWidth="1"/>
    <col min="15631" max="15631" width="20" style="65" customWidth="1"/>
    <col min="15632" max="15632" width="40.140625" style="65" customWidth="1"/>
    <col min="15633" max="15633" width="9" style="65" customWidth="1"/>
    <col min="15634" max="15634" width="13.5703125" style="65" customWidth="1"/>
    <col min="15635" max="15635" width="24.42578125" style="65" customWidth="1"/>
    <col min="15636" max="15636" width="9.140625" style="65"/>
    <col min="15637" max="15637" width="12.7109375" style="65" bestFit="1" customWidth="1"/>
    <col min="15638" max="15638" width="64" style="65" bestFit="1" customWidth="1"/>
    <col min="15639" max="15639" width="7" style="65" bestFit="1" customWidth="1"/>
    <col min="15640" max="15640" width="11.28515625" style="65" bestFit="1" customWidth="1"/>
    <col min="15641" max="15872" width="9.140625" style="65"/>
    <col min="15873" max="15873" width="2.85546875" style="65" customWidth="1"/>
    <col min="15874" max="15880" width="11.28515625" style="65" customWidth="1"/>
    <col min="15881" max="15881" width="10" style="65" customWidth="1"/>
    <col min="15882" max="15882" width="43.85546875" style="65" customWidth="1"/>
    <col min="15883" max="15883" width="17.42578125" style="65" customWidth="1"/>
    <col min="15884" max="15885" width="15.7109375" style="65" customWidth="1"/>
    <col min="15886" max="15886" width="9.5703125" style="65" customWidth="1"/>
    <col min="15887" max="15887" width="20" style="65" customWidth="1"/>
    <col min="15888" max="15888" width="40.140625" style="65" customWidth="1"/>
    <col min="15889" max="15889" width="9" style="65" customWidth="1"/>
    <col min="15890" max="15890" width="13.5703125" style="65" customWidth="1"/>
    <col min="15891" max="15891" width="24.42578125" style="65" customWidth="1"/>
    <col min="15892" max="15892" width="9.140625" style="65"/>
    <col min="15893" max="15893" width="12.7109375" style="65" bestFit="1" customWidth="1"/>
    <col min="15894" max="15894" width="64" style="65" bestFit="1" customWidth="1"/>
    <col min="15895" max="15895" width="7" style="65" bestFit="1" customWidth="1"/>
    <col min="15896" max="15896" width="11.28515625" style="65" bestFit="1" customWidth="1"/>
    <col min="15897" max="16128" width="9.140625" style="65"/>
    <col min="16129" max="16129" width="2.85546875" style="65" customWidth="1"/>
    <col min="16130" max="16136" width="11.28515625" style="65" customWidth="1"/>
    <col min="16137" max="16137" width="10" style="65" customWidth="1"/>
    <col min="16138" max="16138" width="43.85546875" style="65" customWidth="1"/>
    <col min="16139" max="16139" width="17.42578125" style="65" customWidth="1"/>
    <col min="16140" max="16141" width="15.7109375" style="65" customWidth="1"/>
    <col min="16142" max="16142" width="9.5703125" style="65" customWidth="1"/>
    <col min="16143" max="16143" width="20" style="65" customWidth="1"/>
    <col min="16144" max="16144" width="40.140625" style="65" customWidth="1"/>
    <col min="16145" max="16145" width="9" style="65" customWidth="1"/>
    <col min="16146" max="16146" width="13.5703125" style="65" customWidth="1"/>
    <col min="16147" max="16147" width="24.42578125" style="65" customWidth="1"/>
    <col min="16148" max="16148" width="9.140625" style="65"/>
    <col min="16149" max="16149" width="12.7109375" style="65" bestFit="1" customWidth="1"/>
    <col min="16150" max="16150" width="64" style="65" bestFit="1" customWidth="1"/>
    <col min="16151" max="16151" width="7" style="65" bestFit="1" customWidth="1"/>
    <col min="16152" max="16152" width="11.28515625" style="65" bestFit="1" customWidth="1"/>
    <col min="16153" max="16384" width="9.140625" style="65"/>
  </cols>
  <sheetData>
    <row r="2" spans="1:24" x14ac:dyDescent="0.25">
      <c r="B2" s="170" t="s">
        <v>123</v>
      </c>
      <c r="C2" s="170"/>
      <c r="D2" s="170"/>
      <c r="E2" s="170"/>
      <c r="F2" s="170"/>
      <c r="G2" s="170"/>
      <c r="H2" s="170"/>
      <c r="J2" s="156" t="s">
        <v>124</v>
      </c>
      <c r="K2" s="156"/>
      <c r="L2" s="156"/>
      <c r="M2" s="156"/>
      <c r="O2" s="170" t="s">
        <v>125</v>
      </c>
      <c r="P2" s="170"/>
      <c r="Q2" s="170"/>
      <c r="R2" s="170"/>
      <c r="S2" s="170"/>
      <c r="U2" s="170" t="s">
        <v>126</v>
      </c>
      <c r="V2" s="170"/>
      <c r="W2" s="170"/>
      <c r="X2" s="170"/>
    </row>
    <row r="3" spans="1:24" x14ac:dyDescent="0.25">
      <c r="B3" s="172"/>
      <c r="C3" s="172"/>
      <c r="D3" s="172"/>
      <c r="E3" s="172"/>
      <c r="F3" s="172"/>
      <c r="G3" s="172"/>
      <c r="H3" s="172"/>
      <c r="J3" s="170" t="s">
        <v>127</v>
      </c>
      <c r="K3" s="170" t="s">
        <v>128</v>
      </c>
      <c r="L3" s="170" t="s">
        <v>129</v>
      </c>
      <c r="M3" s="170"/>
      <c r="O3" s="148" t="s">
        <v>130</v>
      </c>
      <c r="P3" s="148"/>
      <c r="Q3" s="148"/>
      <c r="R3" s="148"/>
      <c r="S3" s="148"/>
      <c r="U3" s="148" t="s">
        <v>131</v>
      </c>
      <c r="V3" s="148"/>
      <c r="W3" s="21" t="s">
        <v>68</v>
      </c>
      <c r="X3" s="21" t="s">
        <v>69</v>
      </c>
    </row>
    <row r="4" spans="1:24" ht="28.5" x14ac:dyDescent="0.25">
      <c r="B4" s="51"/>
      <c r="C4" s="51"/>
      <c r="D4" s="51"/>
      <c r="E4" s="51"/>
      <c r="F4" s="51"/>
      <c r="G4" s="51"/>
      <c r="H4" s="51"/>
      <c r="J4" s="170"/>
      <c r="K4" s="170"/>
      <c r="L4" s="26" t="s">
        <v>15</v>
      </c>
      <c r="M4" s="26" t="s">
        <v>68</v>
      </c>
      <c r="O4" s="173" t="s">
        <v>132</v>
      </c>
      <c r="P4" s="173"/>
      <c r="Q4" s="173"/>
      <c r="R4" s="19" t="s">
        <v>133</v>
      </c>
      <c r="S4" s="19" t="s">
        <v>81</v>
      </c>
      <c r="U4" s="19" t="s">
        <v>134</v>
      </c>
      <c r="V4" s="29" t="s">
        <v>135</v>
      </c>
      <c r="W4" s="19">
        <v>0</v>
      </c>
      <c r="X4" s="19" t="s">
        <v>60</v>
      </c>
    </row>
    <row r="5" spans="1:24" ht="28.5" x14ac:dyDescent="0.25">
      <c r="B5" s="148" t="s">
        <v>136</v>
      </c>
      <c r="C5" s="148"/>
      <c r="D5" s="148"/>
      <c r="E5" s="148"/>
      <c r="F5" s="148"/>
      <c r="G5" s="148"/>
      <c r="H5" s="148"/>
      <c r="J5" s="154" t="s">
        <v>137</v>
      </c>
      <c r="K5" s="154">
        <v>10.297000000000001</v>
      </c>
      <c r="L5" s="45">
        <v>2019</v>
      </c>
      <c r="M5" s="37">
        <f>'OT pump_UMAC - Granja Silva'!I39*'BE - Granja Silva'!Q51</f>
        <v>714.29166666666663</v>
      </c>
      <c r="N5" s="75"/>
      <c r="O5" s="148" t="s">
        <v>131</v>
      </c>
      <c r="P5" s="148"/>
      <c r="Q5" s="21" t="s">
        <v>15</v>
      </c>
      <c r="R5" s="21" t="s">
        <v>68</v>
      </c>
      <c r="S5" s="21" t="s">
        <v>69</v>
      </c>
      <c r="U5" s="19" t="s">
        <v>138</v>
      </c>
      <c r="V5" s="29" t="s">
        <v>139</v>
      </c>
      <c r="W5" s="19">
        <v>0</v>
      </c>
      <c r="X5" s="19" t="s">
        <v>60</v>
      </c>
    </row>
    <row r="6" spans="1:24" ht="15.75" x14ac:dyDescent="0.25">
      <c r="B6" s="21" t="s">
        <v>15</v>
      </c>
      <c r="C6" s="21" t="s">
        <v>140</v>
      </c>
      <c r="D6" s="21" t="s">
        <v>141</v>
      </c>
      <c r="E6" s="21" t="s">
        <v>142</v>
      </c>
      <c r="F6" s="21" t="s">
        <v>143</v>
      </c>
      <c r="G6" s="21" t="s">
        <v>144</v>
      </c>
      <c r="H6" s="21" t="s">
        <v>145</v>
      </c>
      <c r="J6" s="155"/>
      <c r="K6" s="155"/>
      <c r="L6" s="76">
        <v>2020</v>
      </c>
      <c r="M6" s="37">
        <f>'OT pump_UMAC - Granja Silva'!I39*'BE - Granja Silva'!R51</f>
        <v>1165.25</v>
      </c>
      <c r="N6" s="75"/>
      <c r="O6" s="19" t="s">
        <v>146</v>
      </c>
      <c r="P6" s="29" t="s">
        <v>147</v>
      </c>
      <c r="Q6" s="29">
        <v>2019</v>
      </c>
      <c r="R6" s="14">
        <f>'OT pump_UMAC - Granja Silva'!L39*'BE - Granja Silva'!Q51</f>
        <v>884.11002203424664</v>
      </c>
      <c r="S6" s="19" t="s">
        <v>148</v>
      </c>
      <c r="U6" s="19" t="s">
        <v>149</v>
      </c>
      <c r="V6" s="29" t="s">
        <v>150</v>
      </c>
      <c r="W6" s="19">
        <v>0</v>
      </c>
      <c r="X6" s="19" t="s">
        <v>60</v>
      </c>
    </row>
    <row r="7" spans="1:24" ht="15.75" x14ac:dyDescent="0.25">
      <c r="B7" s="19">
        <v>2019</v>
      </c>
      <c r="C7" s="38">
        <f>K22</f>
        <v>2.8061128218159901</v>
      </c>
      <c r="D7" s="38">
        <f>R13</f>
        <v>99.020322467835626</v>
      </c>
      <c r="E7" s="38">
        <f>W5</f>
        <v>0</v>
      </c>
      <c r="F7" s="38">
        <f>W4</f>
        <v>0</v>
      </c>
      <c r="G7" s="38">
        <f>W5</f>
        <v>0</v>
      </c>
      <c r="H7" s="77">
        <f>SUM(C7:G7)</f>
        <v>101.82643528965161</v>
      </c>
      <c r="J7" s="154" t="s">
        <v>151</v>
      </c>
      <c r="K7" s="154">
        <v>5.516</v>
      </c>
      <c r="L7" s="19">
        <v>2019</v>
      </c>
      <c r="M7" s="37">
        <f>'OT pump_UMAC - Granja Silva'!F39*'BE - Granja Silva'!Q51</f>
        <v>158.22916666666669</v>
      </c>
      <c r="N7" s="78"/>
      <c r="O7" s="19" t="s">
        <v>152</v>
      </c>
      <c r="P7" s="29" t="s">
        <v>147</v>
      </c>
      <c r="Q7" s="29">
        <v>2020</v>
      </c>
      <c r="R7" s="14">
        <f>'OT pump_UMAC - Granja Silva'!L39*'BE - Granja Silva'!R51</f>
        <v>1442.2808654383562</v>
      </c>
      <c r="S7" s="19" t="s">
        <v>148</v>
      </c>
    </row>
    <row r="8" spans="1:24" ht="30" x14ac:dyDescent="0.25">
      <c r="A8" s="70"/>
      <c r="B8" s="19">
        <v>2020</v>
      </c>
      <c r="C8" s="38">
        <f>K23</f>
        <v>4.0735631896575004</v>
      </c>
      <c r="D8" s="38">
        <f>R14</f>
        <v>161.53545692909589</v>
      </c>
      <c r="E8" s="38">
        <f>SUM(E7:E7)</f>
        <v>0</v>
      </c>
      <c r="F8" s="38">
        <f>SUM(F7:F7)</f>
        <v>0</v>
      </c>
      <c r="G8" s="38">
        <f>SUM(G7:G7)</f>
        <v>0</v>
      </c>
      <c r="H8" s="77">
        <f>SUM(C8:G8)</f>
        <v>165.60902011875339</v>
      </c>
      <c r="J8" s="155"/>
      <c r="K8" s="155"/>
      <c r="L8" s="19">
        <v>2020</v>
      </c>
      <c r="M8" s="37">
        <f>'OT pump_UMAC - Granja Silva'!F39*'BE - Granja Silva'!R51</f>
        <v>258.125</v>
      </c>
      <c r="N8" s="78"/>
      <c r="O8" s="19" t="s">
        <v>153</v>
      </c>
      <c r="P8" s="29" t="s">
        <v>154</v>
      </c>
      <c r="Q8" s="19" t="s">
        <v>155</v>
      </c>
      <c r="R8" s="19">
        <f>IF('PE - Granja Silva'!R4="wet",4/1000,10/1000)</f>
        <v>4.0000000000000001E-3</v>
      </c>
      <c r="S8" s="29" t="s">
        <v>156</v>
      </c>
      <c r="U8" s="70"/>
      <c r="V8" s="70"/>
    </row>
    <row r="9" spans="1:24" ht="15.75" x14ac:dyDescent="0.25">
      <c r="A9" s="70"/>
      <c r="B9" s="43" t="s">
        <v>16</v>
      </c>
      <c r="C9" s="77">
        <f t="shared" ref="C9:H9" si="0">SUM(C7:C8)</f>
        <v>6.8796760114734905</v>
      </c>
      <c r="D9" s="77">
        <f t="shared" si="0"/>
        <v>260.55577939693148</v>
      </c>
      <c r="E9" s="77">
        <f t="shared" si="0"/>
        <v>0</v>
      </c>
      <c r="F9" s="77">
        <f t="shared" si="0"/>
        <v>0</v>
      </c>
      <c r="G9" s="77">
        <f t="shared" si="0"/>
        <v>0</v>
      </c>
      <c r="H9" s="77">
        <f t="shared" si="0"/>
        <v>267.43545540840501</v>
      </c>
      <c r="N9" s="78"/>
      <c r="O9" s="19" t="s">
        <v>80</v>
      </c>
      <c r="P9" s="29" t="s">
        <v>157</v>
      </c>
      <c r="Q9" s="19" t="s">
        <v>155</v>
      </c>
      <c r="R9" s="19">
        <f>'BE - Granja Silva'!M7</f>
        <v>28</v>
      </c>
      <c r="S9" s="19" t="s">
        <v>158</v>
      </c>
      <c r="U9" s="70"/>
      <c r="V9" s="70"/>
    </row>
    <row r="10" spans="1:24" x14ac:dyDescent="0.25">
      <c r="A10" s="70"/>
      <c r="B10" s="79"/>
      <c r="C10" s="80"/>
      <c r="D10" s="80"/>
      <c r="E10" s="80"/>
      <c r="F10" s="80"/>
      <c r="G10" s="80"/>
      <c r="H10" s="80"/>
      <c r="J10" s="148" t="s">
        <v>159</v>
      </c>
      <c r="K10" s="148"/>
      <c r="L10" s="148"/>
      <c r="M10" s="70"/>
      <c r="O10" s="19"/>
      <c r="P10" s="19"/>
      <c r="Q10" s="19"/>
      <c r="R10" s="19"/>
      <c r="S10" s="19"/>
      <c r="U10" s="70"/>
      <c r="V10" s="70"/>
    </row>
    <row r="11" spans="1:24" x14ac:dyDescent="0.25">
      <c r="B11" s="79"/>
      <c r="C11" s="80"/>
      <c r="D11" s="80"/>
      <c r="E11" s="80"/>
      <c r="F11" s="80"/>
      <c r="G11" s="80"/>
      <c r="H11" s="80"/>
      <c r="J11" s="52" t="s">
        <v>67</v>
      </c>
      <c r="K11" s="26" t="s">
        <v>68</v>
      </c>
      <c r="L11" s="26" t="s">
        <v>69</v>
      </c>
      <c r="M11" s="81"/>
      <c r="O11" s="19"/>
      <c r="P11" s="19"/>
      <c r="Q11" s="19"/>
      <c r="R11" s="19"/>
      <c r="S11" s="19"/>
    </row>
    <row r="12" spans="1:24" x14ac:dyDescent="0.25">
      <c r="B12" s="79"/>
      <c r="C12" s="80"/>
      <c r="D12" s="80"/>
      <c r="E12" s="80"/>
      <c r="F12" s="80"/>
      <c r="G12" s="80"/>
      <c r="H12" s="80"/>
      <c r="J12" s="174" t="s">
        <v>160</v>
      </c>
      <c r="K12" s="68">
        <f>($K$5*$M$5)+($K$7*$M$7)</f>
        <v>8227.8533750000006</v>
      </c>
      <c r="L12" s="9" t="s">
        <v>161</v>
      </c>
      <c r="M12" s="78"/>
      <c r="O12" s="19"/>
      <c r="P12" s="19"/>
      <c r="Q12" s="19"/>
      <c r="R12" s="19"/>
      <c r="S12" s="19"/>
    </row>
    <row r="13" spans="1:24" ht="15.75" x14ac:dyDescent="0.25">
      <c r="J13" s="174"/>
      <c r="K13" s="68">
        <f>K12/1000</f>
        <v>8.2278533750000005</v>
      </c>
      <c r="L13" s="9" t="s">
        <v>162</v>
      </c>
      <c r="M13" s="78"/>
      <c r="O13" s="19" t="s">
        <v>163</v>
      </c>
      <c r="P13" s="29" t="s">
        <v>164</v>
      </c>
      <c r="Q13" s="29">
        <v>2019</v>
      </c>
      <c r="R13" s="38">
        <f>R6*$R$8*$R$9</f>
        <v>99.020322467835626</v>
      </c>
      <c r="S13" s="19" t="s">
        <v>60</v>
      </c>
    </row>
    <row r="14" spans="1:24" ht="15.75" x14ac:dyDescent="0.25">
      <c r="J14" s="174" t="s">
        <v>165</v>
      </c>
      <c r="K14" s="68">
        <f>($K$5*$M$6)+($K$7*$M$8)</f>
        <v>13422.39675</v>
      </c>
      <c r="L14" s="9" t="s">
        <v>161</v>
      </c>
      <c r="M14" s="78"/>
      <c r="O14" s="19" t="s">
        <v>166</v>
      </c>
      <c r="P14" s="29" t="s">
        <v>164</v>
      </c>
      <c r="Q14" s="19">
        <v>2020</v>
      </c>
      <c r="R14" s="38">
        <f>R7*$R$8*$R$9</f>
        <v>161.53545692909589</v>
      </c>
      <c r="S14" s="19" t="s">
        <v>60</v>
      </c>
    </row>
    <row r="15" spans="1:24" ht="15.75" x14ac:dyDescent="0.25">
      <c r="J15" s="174"/>
      <c r="K15" s="68">
        <f>K14/1000</f>
        <v>13.422396750000001</v>
      </c>
      <c r="L15" s="9" t="s">
        <v>162</v>
      </c>
      <c r="M15" s="78"/>
      <c r="O15" s="43" t="s">
        <v>167</v>
      </c>
      <c r="P15" s="43" t="s">
        <v>168</v>
      </c>
      <c r="Q15" s="43" t="s">
        <v>155</v>
      </c>
      <c r="R15" s="77">
        <f>SUM(R13:R14)</f>
        <v>260.55577939693148</v>
      </c>
      <c r="S15" s="43" t="s">
        <v>61</v>
      </c>
    </row>
    <row r="16" spans="1:24" ht="30" x14ac:dyDescent="0.25">
      <c r="J16" s="29" t="s">
        <v>169</v>
      </c>
      <c r="K16" s="82">
        <f>'EF - Granja Silva'!L17</f>
        <v>0.31004583333333335</v>
      </c>
      <c r="L16" s="19" t="s">
        <v>170</v>
      </c>
      <c r="M16" s="78"/>
    </row>
    <row r="17" spans="10:13" ht="30" x14ac:dyDescent="0.25">
      <c r="J17" s="29" t="s">
        <v>171</v>
      </c>
      <c r="K17" s="82">
        <f>'EF - Granja Silva'!L35</f>
        <v>0.27589999999999998</v>
      </c>
      <c r="L17" s="19" t="s">
        <v>170</v>
      </c>
      <c r="M17" s="78"/>
    </row>
    <row r="18" spans="10:13" ht="15.75" x14ac:dyDescent="0.25">
      <c r="J18" s="9" t="s">
        <v>172</v>
      </c>
      <c r="K18" s="83">
        <v>0.1</v>
      </c>
      <c r="L18" s="9" t="s">
        <v>173</v>
      </c>
      <c r="M18" s="78"/>
    </row>
    <row r="19" spans="10:13" x14ac:dyDescent="0.25">
      <c r="M19" s="78"/>
    </row>
    <row r="20" spans="10:13" ht="15.75" x14ac:dyDescent="0.25">
      <c r="J20" s="148" t="s">
        <v>174</v>
      </c>
      <c r="K20" s="148"/>
      <c r="L20" s="148"/>
      <c r="M20" s="78"/>
    </row>
    <row r="21" spans="10:13" ht="45" customHeight="1" x14ac:dyDescent="0.25">
      <c r="J21" s="175"/>
      <c r="K21" s="176"/>
      <c r="L21" s="177"/>
      <c r="M21" s="78"/>
    </row>
    <row r="22" spans="10:13" ht="15.75" x14ac:dyDescent="0.25">
      <c r="J22" s="19" t="s">
        <v>175</v>
      </c>
      <c r="K22" s="68">
        <f>$K$13*K16*(1+$K$18)</f>
        <v>2.8061128218159901</v>
      </c>
      <c r="L22" s="19" t="s">
        <v>60</v>
      </c>
    </row>
    <row r="23" spans="10:13" ht="15.75" x14ac:dyDescent="0.25">
      <c r="J23" s="19" t="s">
        <v>176</v>
      </c>
      <c r="K23" s="68">
        <f>$K$15*K17*(1+$K$18)</f>
        <v>4.0735631896575004</v>
      </c>
      <c r="L23" s="19" t="s">
        <v>60</v>
      </c>
    </row>
    <row r="24" spans="10:13" ht="15.75" x14ac:dyDescent="0.25">
      <c r="J24" s="43" t="s">
        <v>177</v>
      </c>
      <c r="K24" s="68">
        <f>SUM(K22:K23)</f>
        <v>6.8796760114734905</v>
      </c>
      <c r="L24" s="19" t="s">
        <v>60</v>
      </c>
    </row>
    <row r="27" spans="10:13" x14ac:dyDescent="0.25">
      <c r="M27" s="78"/>
    </row>
    <row r="29" spans="10:13" x14ac:dyDescent="0.25">
      <c r="M29" s="70"/>
    </row>
    <row r="32" spans="10:13" x14ac:dyDescent="0.25">
      <c r="J32" s="84"/>
    </row>
    <row r="35" spans="13:13" x14ac:dyDescent="0.25">
      <c r="M35" s="79"/>
    </row>
  </sheetData>
  <mergeCells count="22">
    <mergeCell ref="J10:L10"/>
    <mergeCell ref="J12:J13"/>
    <mergeCell ref="J14:J15"/>
    <mergeCell ref="J20:L20"/>
    <mergeCell ref="J21:L21"/>
    <mergeCell ref="J7:J8"/>
    <mergeCell ref="K7:K8"/>
    <mergeCell ref="B2:H2"/>
    <mergeCell ref="J2:M2"/>
    <mergeCell ref="O2:S2"/>
    <mergeCell ref="O4:Q4"/>
    <mergeCell ref="B5:H5"/>
    <mergeCell ref="J5:J6"/>
    <mergeCell ref="K5:K6"/>
    <mergeCell ref="O5:P5"/>
    <mergeCell ref="U2:X2"/>
    <mergeCell ref="B3:H3"/>
    <mergeCell ref="J3:J4"/>
    <mergeCell ref="K3:K4"/>
    <mergeCell ref="L3:M3"/>
    <mergeCell ref="O3:S3"/>
    <mergeCell ref="U3:V3"/>
  </mergeCells>
  <dataValidations count="1">
    <dataValidation type="list" allowBlank="1" showInputMessage="1" showErrorMessage="1" sqref="R4 JN4 TJ4 ADF4 ANB4 AWX4 BGT4 BQP4 CAL4 CKH4 CUD4 DDZ4 DNV4 DXR4 EHN4 ERJ4 FBF4 FLB4 FUX4 GET4 GOP4 GYL4 HIH4 HSD4 IBZ4 ILV4 IVR4 JFN4 JPJ4 JZF4 KJB4 KSX4 LCT4 LMP4 LWL4 MGH4 MQD4 MZZ4 NJV4 NTR4 ODN4 ONJ4 OXF4 PHB4 PQX4 QAT4 QKP4 QUL4 REH4 ROD4 RXZ4 SHV4 SRR4 TBN4 TLJ4 TVF4 UFB4 UOX4 UYT4 VIP4 VSL4 WCH4 WMD4 WVZ4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xr:uid="{93DFA163-BD53-44A8-A170-BABCCB05BDC5}">
      <formula1>"wet,dry"</formula1>
    </dataValidation>
  </dataValidations>
  <pageMargins left="0.511811024" right="0.511811024" top="0.78740157499999996" bottom="0.78740157499999996" header="0.31496062000000002" footer="0.31496062000000002"/>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A2B2F-DD3B-4269-B5DA-6BA3FC3E8803}">
  <sheetPr>
    <tabColor rgb="FFC2D7E0"/>
  </sheetPr>
  <dimension ref="B1:R799"/>
  <sheetViews>
    <sheetView showGridLines="0" zoomScale="80" zoomScaleNormal="80" workbookViewId="0">
      <selection activeCell="M25" sqref="M25:P25"/>
    </sheetView>
  </sheetViews>
  <sheetFormatPr defaultRowHeight="14.25" x14ac:dyDescent="0.25"/>
  <cols>
    <col min="1" max="1" width="2.28515625" style="85" customWidth="1"/>
    <col min="2" max="2" width="22.28515625" style="85" customWidth="1"/>
    <col min="3" max="3" width="10.5703125" style="85" customWidth="1"/>
    <col min="4" max="4" width="22.140625" style="85" customWidth="1"/>
    <col min="5" max="5" width="22.28515625" style="85" customWidth="1"/>
    <col min="6" max="6" width="21.5703125" style="85" customWidth="1"/>
    <col min="7" max="7" width="21.28515625" style="85" customWidth="1"/>
    <col min="8" max="8" width="15.140625" style="85" customWidth="1"/>
    <col min="9" max="9" width="22.5703125" style="85" customWidth="1"/>
    <col min="10" max="11" width="21" style="85" customWidth="1"/>
    <col min="12" max="12" width="27.5703125" style="85" customWidth="1"/>
    <col min="13" max="13" width="26" style="85" customWidth="1"/>
    <col min="14" max="14" width="27.140625" style="85" customWidth="1"/>
    <col min="15" max="15" width="13" style="85" customWidth="1"/>
    <col min="16" max="17" width="20" style="85" customWidth="1"/>
    <col min="18" max="18" width="23" style="85" customWidth="1"/>
    <col min="19" max="256" width="9.140625" style="85"/>
    <col min="257" max="257" width="2.28515625" style="85" customWidth="1"/>
    <col min="258" max="258" width="22.28515625" style="85" customWidth="1"/>
    <col min="259" max="259" width="10.5703125" style="85" customWidth="1"/>
    <col min="260" max="260" width="22.140625" style="85" customWidth="1"/>
    <col min="261" max="261" width="22.28515625" style="85" customWidth="1"/>
    <col min="262" max="262" width="21.5703125" style="85" customWidth="1"/>
    <col min="263" max="263" width="21.28515625" style="85" customWidth="1"/>
    <col min="264" max="264" width="15.140625" style="85" customWidth="1"/>
    <col min="265" max="265" width="22.5703125" style="85" customWidth="1"/>
    <col min="266" max="267" width="21" style="85" customWidth="1"/>
    <col min="268" max="268" width="27.5703125" style="85" customWidth="1"/>
    <col min="269" max="269" width="26" style="85" customWidth="1"/>
    <col min="270" max="270" width="27.140625" style="85" customWidth="1"/>
    <col min="271" max="271" width="13" style="85" customWidth="1"/>
    <col min="272" max="273" width="20" style="85" customWidth="1"/>
    <col min="274" max="274" width="23" style="85" customWidth="1"/>
    <col min="275" max="512" width="9.140625" style="85"/>
    <col min="513" max="513" width="2.28515625" style="85" customWidth="1"/>
    <col min="514" max="514" width="22.28515625" style="85" customWidth="1"/>
    <col min="515" max="515" width="10.5703125" style="85" customWidth="1"/>
    <col min="516" max="516" width="22.140625" style="85" customWidth="1"/>
    <col min="517" max="517" width="22.28515625" style="85" customWidth="1"/>
    <col min="518" max="518" width="21.5703125" style="85" customWidth="1"/>
    <col min="519" max="519" width="21.28515625" style="85" customWidth="1"/>
    <col min="520" max="520" width="15.140625" style="85" customWidth="1"/>
    <col min="521" max="521" width="22.5703125" style="85" customWidth="1"/>
    <col min="522" max="523" width="21" style="85" customWidth="1"/>
    <col min="524" max="524" width="27.5703125" style="85" customWidth="1"/>
    <col min="525" max="525" width="26" style="85" customWidth="1"/>
    <col min="526" max="526" width="27.140625" style="85" customWidth="1"/>
    <col min="527" max="527" width="13" style="85" customWidth="1"/>
    <col min="528" max="529" width="20" style="85" customWidth="1"/>
    <col min="530" max="530" width="23" style="85" customWidth="1"/>
    <col min="531" max="768" width="9.140625" style="85"/>
    <col min="769" max="769" width="2.28515625" style="85" customWidth="1"/>
    <col min="770" max="770" width="22.28515625" style="85" customWidth="1"/>
    <col min="771" max="771" width="10.5703125" style="85" customWidth="1"/>
    <col min="772" max="772" width="22.140625" style="85" customWidth="1"/>
    <col min="773" max="773" width="22.28515625" style="85" customWidth="1"/>
    <col min="774" max="774" width="21.5703125" style="85" customWidth="1"/>
    <col min="775" max="775" width="21.28515625" style="85" customWidth="1"/>
    <col min="776" max="776" width="15.140625" style="85" customWidth="1"/>
    <col min="777" max="777" width="22.5703125" style="85" customWidth="1"/>
    <col min="778" max="779" width="21" style="85" customWidth="1"/>
    <col min="780" max="780" width="27.5703125" style="85" customWidth="1"/>
    <col min="781" max="781" width="26" style="85" customWidth="1"/>
    <col min="782" max="782" width="27.140625" style="85" customWidth="1"/>
    <col min="783" max="783" width="13" style="85" customWidth="1"/>
    <col min="784" max="785" width="20" style="85" customWidth="1"/>
    <col min="786" max="786" width="23" style="85" customWidth="1"/>
    <col min="787" max="1024" width="9.140625" style="85"/>
    <col min="1025" max="1025" width="2.28515625" style="85" customWidth="1"/>
    <col min="1026" max="1026" width="22.28515625" style="85" customWidth="1"/>
    <col min="1027" max="1027" width="10.5703125" style="85" customWidth="1"/>
    <col min="1028" max="1028" width="22.140625" style="85" customWidth="1"/>
    <col min="1029" max="1029" width="22.28515625" style="85" customWidth="1"/>
    <col min="1030" max="1030" width="21.5703125" style="85" customWidth="1"/>
    <col min="1031" max="1031" width="21.28515625" style="85" customWidth="1"/>
    <col min="1032" max="1032" width="15.140625" style="85" customWidth="1"/>
    <col min="1033" max="1033" width="22.5703125" style="85" customWidth="1"/>
    <col min="1034" max="1035" width="21" style="85" customWidth="1"/>
    <col min="1036" max="1036" width="27.5703125" style="85" customWidth="1"/>
    <col min="1037" max="1037" width="26" style="85" customWidth="1"/>
    <col min="1038" max="1038" width="27.140625" style="85" customWidth="1"/>
    <col min="1039" max="1039" width="13" style="85" customWidth="1"/>
    <col min="1040" max="1041" width="20" style="85" customWidth="1"/>
    <col min="1042" max="1042" width="23" style="85" customWidth="1"/>
    <col min="1043" max="1280" width="9.140625" style="85"/>
    <col min="1281" max="1281" width="2.28515625" style="85" customWidth="1"/>
    <col min="1282" max="1282" width="22.28515625" style="85" customWidth="1"/>
    <col min="1283" max="1283" width="10.5703125" style="85" customWidth="1"/>
    <col min="1284" max="1284" width="22.140625" style="85" customWidth="1"/>
    <col min="1285" max="1285" width="22.28515625" style="85" customWidth="1"/>
    <col min="1286" max="1286" width="21.5703125" style="85" customWidth="1"/>
    <col min="1287" max="1287" width="21.28515625" style="85" customWidth="1"/>
    <col min="1288" max="1288" width="15.140625" style="85" customWidth="1"/>
    <col min="1289" max="1289" width="22.5703125" style="85" customWidth="1"/>
    <col min="1290" max="1291" width="21" style="85" customWidth="1"/>
    <col min="1292" max="1292" width="27.5703125" style="85" customWidth="1"/>
    <col min="1293" max="1293" width="26" style="85" customWidth="1"/>
    <col min="1294" max="1294" width="27.140625" style="85" customWidth="1"/>
    <col min="1295" max="1295" width="13" style="85" customWidth="1"/>
    <col min="1296" max="1297" width="20" style="85" customWidth="1"/>
    <col min="1298" max="1298" width="23" style="85" customWidth="1"/>
    <col min="1299" max="1536" width="9.140625" style="85"/>
    <col min="1537" max="1537" width="2.28515625" style="85" customWidth="1"/>
    <col min="1538" max="1538" width="22.28515625" style="85" customWidth="1"/>
    <col min="1539" max="1539" width="10.5703125" style="85" customWidth="1"/>
    <col min="1540" max="1540" width="22.140625" style="85" customWidth="1"/>
    <col min="1541" max="1541" width="22.28515625" style="85" customWidth="1"/>
    <col min="1542" max="1542" width="21.5703125" style="85" customWidth="1"/>
    <col min="1543" max="1543" width="21.28515625" style="85" customWidth="1"/>
    <col min="1544" max="1544" width="15.140625" style="85" customWidth="1"/>
    <col min="1545" max="1545" width="22.5703125" style="85" customWidth="1"/>
    <col min="1546" max="1547" width="21" style="85" customWidth="1"/>
    <col min="1548" max="1548" width="27.5703125" style="85" customWidth="1"/>
    <col min="1549" max="1549" width="26" style="85" customWidth="1"/>
    <col min="1550" max="1550" width="27.140625" style="85" customWidth="1"/>
    <col min="1551" max="1551" width="13" style="85" customWidth="1"/>
    <col min="1552" max="1553" width="20" style="85" customWidth="1"/>
    <col min="1554" max="1554" width="23" style="85" customWidth="1"/>
    <col min="1555" max="1792" width="9.140625" style="85"/>
    <col min="1793" max="1793" width="2.28515625" style="85" customWidth="1"/>
    <col min="1794" max="1794" width="22.28515625" style="85" customWidth="1"/>
    <col min="1795" max="1795" width="10.5703125" style="85" customWidth="1"/>
    <col min="1796" max="1796" width="22.140625" style="85" customWidth="1"/>
    <col min="1797" max="1797" width="22.28515625" style="85" customWidth="1"/>
    <col min="1798" max="1798" width="21.5703125" style="85" customWidth="1"/>
    <col min="1799" max="1799" width="21.28515625" style="85" customWidth="1"/>
    <col min="1800" max="1800" width="15.140625" style="85" customWidth="1"/>
    <col min="1801" max="1801" width="22.5703125" style="85" customWidth="1"/>
    <col min="1802" max="1803" width="21" style="85" customWidth="1"/>
    <col min="1804" max="1804" width="27.5703125" style="85" customWidth="1"/>
    <col min="1805" max="1805" width="26" style="85" customWidth="1"/>
    <col min="1806" max="1806" width="27.140625" style="85" customWidth="1"/>
    <col min="1807" max="1807" width="13" style="85" customWidth="1"/>
    <col min="1808" max="1809" width="20" style="85" customWidth="1"/>
    <col min="1810" max="1810" width="23" style="85" customWidth="1"/>
    <col min="1811" max="2048" width="9.140625" style="85"/>
    <col min="2049" max="2049" width="2.28515625" style="85" customWidth="1"/>
    <col min="2050" max="2050" width="22.28515625" style="85" customWidth="1"/>
    <col min="2051" max="2051" width="10.5703125" style="85" customWidth="1"/>
    <col min="2052" max="2052" width="22.140625" style="85" customWidth="1"/>
    <col min="2053" max="2053" width="22.28515625" style="85" customWidth="1"/>
    <col min="2054" max="2054" width="21.5703125" style="85" customWidth="1"/>
    <col min="2055" max="2055" width="21.28515625" style="85" customWidth="1"/>
    <col min="2056" max="2056" width="15.140625" style="85" customWidth="1"/>
    <col min="2057" max="2057" width="22.5703125" style="85" customWidth="1"/>
    <col min="2058" max="2059" width="21" style="85" customWidth="1"/>
    <col min="2060" max="2060" width="27.5703125" style="85" customWidth="1"/>
    <col min="2061" max="2061" width="26" style="85" customWidth="1"/>
    <col min="2062" max="2062" width="27.140625" style="85" customWidth="1"/>
    <col min="2063" max="2063" width="13" style="85" customWidth="1"/>
    <col min="2064" max="2065" width="20" style="85" customWidth="1"/>
    <col min="2066" max="2066" width="23" style="85" customWidth="1"/>
    <col min="2067" max="2304" width="9.140625" style="85"/>
    <col min="2305" max="2305" width="2.28515625" style="85" customWidth="1"/>
    <col min="2306" max="2306" width="22.28515625" style="85" customWidth="1"/>
    <col min="2307" max="2307" width="10.5703125" style="85" customWidth="1"/>
    <col min="2308" max="2308" width="22.140625" style="85" customWidth="1"/>
    <col min="2309" max="2309" width="22.28515625" style="85" customWidth="1"/>
    <col min="2310" max="2310" width="21.5703125" style="85" customWidth="1"/>
    <col min="2311" max="2311" width="21.28515625" style="85" customWidth="1"/>
    <col min="2312" max="2312" width="15.140625" style="85" customWidth="1"/>
    <col min="2313" max="2313" width="22.5703125" style="85" customWidth="1"/>
    <col min="2314" max="2315" width="21" style="85" customWidth="1"/>
    <col min="2316" max="2316" width="27.5703125" style="85" customWidth="1"/>
    <col min="2317" max="2317" width="26" style="85" customWidth="1"/>
    <col min="2318" max="2318" width="27.140625" style="85" customWidth="1"/>
    <col min="2319" max="2319" width="13" style="85" customWidth="1"/>
    <col min="2320" max="2321" width="20" style="85" customWidth="1"/>
    <col min="2322" max="2322" width="23" style="85" customWidth="1"/>
    <col min="2323" max="2560" width="9.140625" style="85"/>
    <col min="2561" max="2561" width="2.28515625" style="85" customWidth="1"/>
    <col min="2562" max="2562" width="22.28515625" style="85" customWidth="1"/>
    <col min="2563" max="2563" width="10.5703125" style="85" customWidth="1"/>
    <col min="2564" max="2564" width="22.140625" style="85" customWidth="1"/>
    <col min="2565" max="2565" width="22.28515625" style="85" customWidth="1"/>
    <col min="2566" max="2566" width="21.5703125" style="85" customWidth="1"/>
    <col min="2567" max="2567" width="21.28515625" style="85" customWidth="1"/>
    <col min="2568" max="2568" width="15.140625" style="85" customWidth="1"/>
    <col min="2569" max="2569" width="22.5703125" style="85" customWidth="1"/>
    <col min="2570" max="2571" width="21" style="85" customWidth="1"/>
    <col min="2572" max="2572" width="27.5703125" style="85" customWidth="1"/>
    <col min="2573" max="2573" width="26" style="85" customWidth="1"/>
    <col min="2574" max="2574" width="27.140625" style="85" customWidth="1"/>
    <col min="2575" max="2575" width="13" style="85" customWidth="1"/>
    <col min="2576" max="2577" width="20" style="85" customWidth="1"/>
    <col min="2578" max="2578" width="23" style="85" customWidth="1"/>
    <col min="2579" max="2816" width="9.140625" style="85"/>
    <col min="2817" max="2817" width="2.28515625" style="85" customWidth="1"/>
    <col min="2818" max="2818" width="22.28515625" style="85" customWidth="1"/>
    <col min="2819" max="2819" width="10.5703125" style="85" customWidth="1"/>
    <col min="2820" max="2820" width="22.140625" style="85" customWidth="1"/>
    <col min="2821" max="2821" width="22.28515625" style="85" customWidth="1"/>
    <col min="2822" max="2822" width="21.5703125" style="85" customWidth="1"/>
    <col min="2823" max="2823" width="21.28515625" style="85" customWidth="1"/>
    <col min="2824" max="2824" width="15.140625" style="85" customWidth="1"/>
    <col min="2825" max="2825" width="22.5703125" style="85" customWidth="1"/>
    <col min="2826" max="2827" width="21" style="85" customWidth="1"/>
    <col min="2828" max="2828" width="27.5703125" style="85" customWidth="1"/>
    <col min="2829" max="2829" width="26" style="85" customWidth="1"/>
    <col min="2830" max="2830" width="27.140625" style="85" customWidth="1"/>
    <col min="2831" max="2831" width="13" style="85" customWidth="1"/>
    <col min="2832" max="2833" width="20" style="85" customWidth="1"/>
    <col min="2834" max="2834" width="23" style="85" customWidth="1"/>
    <col min="2835" max="3072" width="9.140625" style="85"/>
    <col min="3073" max="3073" width="2.28515625" style="85" customWidth="1"/>
    <col min="3074" max="3074" width="22.28515625" style="85" customWidth="1"/>
    <col min="3075" max="3075" width="10.5703125" style="85" customWidth="1"/>
    <col min="3076" max="3076" width="22.140625" style="85" customWidth="1"/>
    <col min="3077" max="3077" width="22.28515625" style="85" customWidth="1"/>
    <col min="3078" max="3078" width="21.5703125" style="85" customWidth="1"/>
    <col min="3079" max="3079" width="21.28515625" style="85" customWidth="1"/>
    <col min="3080" max="3080" width="15.140625" style="85" customWidth="1"/>
    <col min="3081" max="3081" width="22.5703125" style="85" customWidth="1"/>
    <col min="3082" max="3083" width="21" style="85" customWidth="1"/>
    <col min="3084" max="3084" width="27.5703125" style="85" customWidth="1"/>
    <col min="3085" max="3085" width="26" style="85" customWidth="1"/>
    <col min="3086" max="3086" width="27.140625" style="85" customWidth="1"/>
    <col min="3087" max="3087" width="13" style="85" customWidth="1"/>
    <col min="3088" max="3089" width="20" style="85" customWidth="1"/>
    <col min="3090" max="3090" width="23" style="85" customWidth="1"/>
    <col min="3091" max="3328" width="9.140625" style="85"/>
    <col min="3329" max="3329" width="2.28515625" style="85" customWidth="1"/>
    <col min="3330" max="3330" width="22.28515625" style="85" customWidth="1"/>
    <col min="3331" max="3331" width="10.5703125" style="85" customWidth="1"/>
    <col min="3332" max="3332" width="22.140625" style="85" customWidth="1"/>
    <col min="3333" max="3333" width="22.28515625" style="85" customWidth="1"/>
    <col min="3334" max="3334" width="21.5703125" style="85" customWidth="1"/>
    <col min="3335" max="3335" width="21.28515625" style="85" customWidth="1"/>
    <col min="3336" max="3336" width="15.140625" style="85" customWidth="1"/>
    <col min="3337" max="3337" width="22.5703125" style="85" customWidth="1"/>
    <col min="3338" max="3339" width="21" style="85" customWidth="1"/>
    <col min="3340" max="3340" width="27.5703125" style="85" customWidth="1"/>
    <col min="3341" max="3341" width="26" style="85" customWidth="1"/>
    <col min="3342" max="3342" width="27.140625" style="85" customWidth="1"/>
    <col min="3343" max="3343" width="13" style="85" customWidth="1"/>
    <col min="3344" max="3345" width="20" style="85" customWidth="1"/>
    <col min="3346" max="3346" width="23" style="85" customWidth="1"/>
    <col min="3347" max="3584" width="9.140625" style="85"/>
    <col min="3585" max="3585" width="2.28515625" style="85" customWidth="1"/>
    <col min="3586" max="3586" width="22.28515625" style="85" customWidth="1"/>
    <col min="3587" max="3587" width="10.5703125" style="85" customWidth="1"/>
    <col min="3588" max="3588" width="22.140625" style="85" customWidth="1"/>
    <col min="3589" max="3589" width="22.28515625" style="85" customWidth="1"/>
    <col min="3590" max="3590" width="21.5703125" style="85" customWidth="1"/>
    <col min="3591" max="3591" width="21.28515625" style="85" customWidth="1"/>
    <col min="3592" max="3592" width="15.140625" style="85" customWidth="1"/>
    <col min="3593" max="3593" width="22.5703125" style="85" customWidth="1"/>
    <col min="3594" max="3595" width="21" style="85" customWidth="1"/>
    <col min="3596" max="3596" width="27.5703125" style="85" customWidth="1"/>
    <col min="3597" max="3597" width="26" style="85" customWidth="1"/>
    <col min="3598" max="3598" width="27.140625" style="85" customWidth="1"/>
    <col min="3599" max="3599" width="13" style="85" customWidth="1"/>
    <col min="3600" max="3601" width="20" style="85" customWidth="1"/>
    <col min="3602" max="3602" width="23" style="85" customWidth="1"/>
    <col min="3603" max="3840" width="9.140625" style="85"/>
    <col min="3841" max="3841" width="2.28515625" style="85" customWidth="1"/>
    <col min="3842" max="3842" width="22.28515625" style="85" customWidth="1"/>
    <col min="3843" max="3843" width="10.5703125" style="85" customWidth="1"/>
    <col min="3844" max="3844" width="22.140625" style="85" customWidth="1"/>
    <col min="3845" max="3845" width="22.28515625" style="85" customWidth="1"/>
    <col min="3846" max="3846" width="21.5703125" style="85" customWidth="1"/>
    <col min="3847" max="3847" width="21.28515625" style="85" customWidth="1"/>
    <col min="3848" max="3848" width="15.140625" style="85" customWidth="1"/>
    <col min="3849" max="3849" width="22.5703125" style="85" customWidth="1"/>
    <col min="3850" max="3851" width="21" style="85" customWidth="1"/>
    <col min="3852" max="3852" width="27.5703125" style="85" customWidth="1"/>
    <col min="3853" max="3853" width="26" style="85" customWidth="1"/>
    <col min="3854" max="3854" width="27.140625" style="85" customWidth="1"/>
    <col min="3855" max="3855" width="13" style="85" customWidth="1"/>
    <col min="3856" max="3857" width="20" style="85" customWidth="1"/>
    <col min="3858" max="3858" width="23" style="85" customWidth="1"/>
    <col min="3859" max="4096" width="9.140625" style="85"/>
    <col min="4097" max="4097" width="2.28515625" style="85" customWidth="1"/>
    <col min="4098" max="4098" width="22.28515625" style="85" customWidth="1"/>
    <col min="4099" max="4099" width="10.5703125" style="85" customWidth="1"/>
    <col min="4100" max="4100" width="22.140625" style="85" customWidth="1"/>
    <col min="4101" max="4101" width="22.28515625" style="85" customWidth="1"/>
    <col min="4102" max="4102" width="21.5703125" style="85" customWidth="1"/>
    <col min="4103" max="4103" width="21.28515625" style="85" customWidth="1"/>
    <col min="4104" max="4104" width="15.140625" style="85" customWidth="1"/>
    <col min="4105" max="4105" width="22.5703125" style="85" customWidth="1"/>
    <col min="4106" max="4107" width="21" style="85" customWidth="1"/>
    <col min="4108" max="4108" width="27.5703125" style="85" customWidth="1"/>
    <col min="4109" max="4109" width="26" style="85" customWidth="1"/>
    <col min="4110" max="4110" width="27.140625" style="85" customWidth="1"/>
    <col min="4111" max="4111" width="13" style="85" customWidth="1"/>
    <col min="4112" max="4113" width="20" style="85" customWidth="1"/>
    <col min="4114" max="4114" width="23" style="85" customWidth="1"/>
    <col min="4115" max="4352" width="9.140625" style="85"/>
    <col min="4353" max="4353" width="2.28515625" style="85" customWidth="1"/>
    <col min="4354" max="4354" width="22.28515625" style="85" customWidth="1"/>
    <col min="4355" max="4355" width="10.5703125" style="85" customWidth="1"/>
    <col min="4356" max="4356" width="22.140625" style="85" customWidth="1"/>
    <col min="4357" max="4357" width="22.28515625" style="85" customWidth="1"/>
    <col min="4358" max="4358" width="21.5703125" style="85" customWidth="1"/>
    <col min="4359" max="4359" width="21.28515625" style="85" customWidth="1"/>
    <col min="4360" max="4360" width="15.140625" style="85" customWidth="1"/>
    <col min="4361" max="4361" width="22.5703125" style="85" customWidth="1"/>
    <col min="4362" max="4363" width="21" style="85" customWidth="1"/>
    <col min="4364" max="4364" width="27.5703125" style="85" customWidth="1"/>
    <col min="4365" max="4365" width="26" style="85" customWidth="1"/>
    <col min="4366" max="4366" width="27.140625" style="85" customWidth="1"/>
    <col min="4367" max="4367" width="13" style="85" customWidth="1"/>
    <col min="4368" max="4369" width="20" style="85" customWidth="1"/>
    <col min="4370" max="4370" width="23" style="85" customWidth="1"/>
    <col min="4371" max="4608" width="9.140625" style="85"/>
    <col min="4609" max="4609" width="2.28515625" style="85" customWidth="1"/>
    <col min="4610" max="4610" width="22.28515625" style="85" customWidth="1"/>
    <col min="4611" max="4611" width="10.5703125" style="85" customWidth="1"/>
    <col min="4612" max="4612" width="22.140625" style="85" customWidth="1"/>
    <col min="4613" max="4613" width="22.28515625" style="85" customWidth="1"/>
    <col min="4614" max="4614" width="21.5703125" style="85" customWidth="1"/>
    <col min="4615" max="4615" width="21.28515625" style="85" customWidth="1"/>
    <col min="4616" max="4616" width="15.140625" style="85" customWidth="1"/>
    <col min="4617" max="4617" width="22.5703125" style="85" customWidth="1"/>
    <col min="4618" max="4619" width="21" style="85" customWidth="1"/>
    <col min="4620" max="4620" width="27.5703125" style="85" customWidth="1"/>
    <col min="4621" max="4621" width="26" style="85" customWidth="1"/>
    <col min="4622" max="4622" width="27.140625" style="85" customWidth="1"/>
    <col min="4623" max="4623" width="13" style="85" customWidth="1"/>
    <col min="4624" max="4625" width="20" style="85" customWidth="1"/>
    <col min="4626" max="4626" width="23" style="85" customWidth="1"/>
    <col min="4627" max="4864" width="9.140625" style="85"/>
    <col min="4865" max="4865" width="2.28515625" style="85" customWidth="1"/>
    <col min="4866" max="4866" width="22.28515625" style="85" customWidth="1"/>
    <col min="4867" max="4867" width="10.5703125" style="85" customWidth="1"/>
    <col min="4868" max="4868" width="22.140625" style="85" customWidth="1"/>
    <col min="4869" max="4869" width="22.28515625" style="85" customWidth="1"/>
    <col min="4870" max="4870" width="21.5703125" style="85" customWidth="1"/>
    <col min="4871" max="4871" width="21.28515625" style="85" customWidth="1"/>
    <col min="4872" max="4872" width="15.140625" style="85" customWidth="1"/>
    <col min="4873" max="4873" width="22.5703125" style="85" customWidth="1"/>
    <col min="4874" max="4875" width="21" style="85" customWidth="1"/>
    <col min="4876" max="4876" width="27.5703125" style="85" customWidth="1"/>
    <col min="4877" max="4877" width="26" style="85" customWidth="1"/>
    <col min="4878" max="4878" width="27.140625" style="85" customWidth="1"/>
    <col min="4879" max="4879" width="13" style="85" customWidth="1"/>
    <col min="4880" max="4881" width="20" style="85" customWidth="1"/>
    <col min="4882" max="4882" width="23" style="85" customWidth="1"/>
    <col min="4883" max="5120" width="9.140625" style="85"/>
    <col min="5121" max="5121" width="2.28515625" style="85" customWidth="1"/>
    <col min="5122" max="5122" width="22.28515625" style="85" customWidth="1"/>
    <col min="5123" max="5123" width="10.5703125" style="85" customWidth="1"/>
    <col min="5124" max="5124" width="22.140625" style="85" customWidth="1"/>
    <col min="5125" max="5125" width="22.28515625" style="85" customWidth="1"/>
    <col min="5126" max="5126" width="21.5703125" style="85" customWidth="1"/>
    <col min="5127" max="5127" width="21.28515625" style="85" customWidth="1"/>
    <col min="5128" max="5128" width="15.140625" style="85" customWidth="1"/>
    <col min="5129" max="5129" width="22.5703125" style="85" customWidth="1"/>
    <col min="5130" max="5131" width="21" style="85" customWidth="1"/>
    <col min="5132" max="5132" width="27.5703125" style="85" customWidth="1"/>
    <col min="5133" max="5133" width="26" style="85" customWidth="1"/>
    <col min="5134" max="5134" width="27.140625" style="85" customWidth="1"/>
    <col min="5135" max="5135" width="13" style="85" customWidth="1"/>
    <col min="5136" max="5137" width="20" style="85" customWidth="1"/>
    <col min="5138" max="5138" width="23" style="85" customWidth="1"/>
    <col min="5139" max="5376" width="9.140625" style="85"/>
    <col min="5377" max="5377" width="2.28515625" style="85" customWidth="1"/>
    <col min="5378" max="5378" width="22.28515625" style="85" customWidth="1"/>
    <col min="5379" max="5379" width="10.5703125" style="85" customWidth="1"/>
    <col min="5380" max="5380" width="22.140625" style="85" customWidth="1"/>
    <col min="5381" max="5381" width="22.28515625" style="85" customWidth="1"/>
    <col min="5382" max="5382" width="21.5703125" style="85" customWidth="1"/>
    <col min="5383" max="5383" width="21.28515625" style="85" customWidth="1"/>
    <col min="5384" max="5384" width="15.140625" style="85" customWidth="1"/>
    <col min="5385" max="5385" width="22.5703125" style="85" customWidth="1"/>
    <col min="5386" max="5387" width="21" style="85" customWidth="1"/>
    <col min="5388" max="5388" width="27.5703125" style="85" customWidth="1"/>
    <col min="5389" max="5389" width="26" style="85" customWidth="1"/>
    <col min="5390" max="5390" width="27.140625" style="85" customWidth="1"/>
    <col min="5391" max="5391" width="13" style="85" customWidth="1"/>
    <col min="5392" max="5393" width="20" style="85" customWidth="1"/>
    <col min="5394" max="5394" width="23" style="85" customWidth="1"/>
    <col min="5395" max="5632" width="9.140625" style="85"/>
    <col min="5633" max="5633" width="2.28515625" style="85" customWidth="1"/>
    <col min="5634" max="5634" width="22.28515625" style="85" customWidth="1"/>
    <col min="5635" max="5635" width="10.5703125" style="85" customWidth="1"/>
    <col min="5636" max="5636" width="22.140625" style="85" customWidth="1"/>
    <col min="5637" max="5637" width="22.28515625" style="85" customWidth="1"/>
    <col min="5638" max="5638" width="21.5703125" style="85" customWidth="1"/>
    <col min="5639" max="5639" width="21.28515625" style="85" customWidth="1"/>
    <col min="5640" max="5640" width="15.140625" style="85" customWidth="1"/>
    <col min="5641" max="5641" width="22.5703125" style="85" customWidth="1"/>
    <col min="5642" max="5643" width="21" style="85" customWidth="1"/>
    <col min="5644" max="5644" width="27.5703125" style="85" customWidth="1"/>
    <col min="5645" max="5645" width="26" style="85" customWidth="1"/>
    <col min="5646" max="5646" width="27.140625" style="85" customWidth="1"/>
    <col min="5647" max="5647" width="13" style="85" customWidth="1"/>
    <col min="5648" max="5649" width="20" style="85" customWidth="1"/>
    <col min="5650" max="5650" width="23" style="85" customWidth="1"/>
    <col min="5651" max="5888" width="9.140625" style="85"/>
    <col min="5889" max="5889" width="2.28515625" style="85" customWidth="1"/>
    <col min="5890" max="5890" width="22.28515625" style="85" customWidth="1"/>
    <col min="5891" max="5891" width="10.5703125" style="85" customWidth="1"/>
    <col min="5892" max="5892" width="22.140625" style="85" customWidth="1"/>
    <col min="5893" max="5893" width="22.28515625" style="85" customWidth="1"/>
    <col min="5894" max="5894" width="21.5703125" style="85" customWidth="1"/>
    <col min="5895" max="5895" width="21.28515625" style="85" customWidth="1"/>
    <col min="5896" max="5896" width="15.140625" style="85" customWidth="1"/>
    <col min="5897" max="5897" width="22.5703125" style="85" customWidth="1"/>
    <col min="5898" max="5899" width="21" style="85" customWidth="1"/>
    <col min="5900" max="5900" width="27.5703125" style="85" customWidth="1"/>
    <col min="5901" max="5901" width="26" style="85" customWidth="1"/>
    <col min="5902" max="5902" width="27.140625" style="85" customWidth="1"/>
    <col min="5903" max="5903" width="13" style="85" customWidth="1"/>
    <col min="5904" max="5905" width="20" style="85" customWidth="1"/>
    <col min="5906" max="5906" width="23" style="85" customWidth="1"/>
    <col min="5907" max="6144" width="9.140625" style="85"/>
    <col min="6145" max="6145" width="2.28515625" style="85" customWidth="1"/>
    <col min="6146" max="6146" width="22.28515625" style="85" customWidth="1"/>
    <col min="6147" max="6147" width="10.5703125" style="85" customWidth="1"/>
    <col min="6148" max="6148" width="22.140625" style="85" customWidth="1"/>
    <col min="6149" max="6149" width="22.28515625" style="85" customWidth="1"/>
    <col min="6150" max="6150" width="21.5703125" style="85" customWidth="1"/>
    <col min="6151" max="6151" width="21.28515625" style="85" customWidth="1"/>
    <col min="6152" max="6152" width="15.140625" style="85" customWidth="1"/>
    <col min="6153" max="6153" width="22.5703125" style="85" customWidth="1"/>
    <col min="6154" max="6155" width="21" style="85" customWidth="1"/>
    <col min="6156" max="6156" width="27.5703125" style="85" customWidth="1"/>
    <col min="6157" max="6157" width="26" style="85" customWidth="1"/>
    <col min="6158" max="6158" width="27.140625" style="85" customWidth="1"/>
    <col min="6159" max="6159" width="13" style="85" customWidth="1"/>
    <col min="6160" max="6161" width="20" style="85" customWidth="1"/>
    <col min="6162" max="6162" width="23" style="85" customWidth="1"/>
    <col min="6163" max="6400" width="9.140625" style="85"/>
    <col min="6401" max="6401" width="2.28515625" style="85" customWidth="1"/>
    <col min="6402" max="6402" width="22.28515625" style="85" customWidth="1"/>
    <col min="6403" max="6403" width="10.5703125" style="85" customWidth="1"/>
    <col min="6404" max="6404" width="22.140625" style="85" customWidth="1"/>
    <col min="6405" max="6405" width="22.28515625" style="85" customWidth="1"/>
    <col min="6406" max="6406" width="21.5703125" style="85" customWidth="1"/>
    <col min="6407" max="6407" width="21.28515625" style="85" customWidth="1"/>
    <col min="6408" max="6408" width="15.140625" style="85" customWidth="1"/>
    <col min="6409" max="6409" width="22.5703125" style="85" customWidth="1"/>
    <col min="6410" max="6411" width="21" style="85" customWidth="1"/>
    <col min="6412" max="6412" width="27.5703125" style="85" customWidth="1"/>
    <col min="6413" max="6413" width="26" style="85" customWidth="1"/>
    <col min="6414" max="6414" width="27.140625" style="85" customWidth="1"/>
    <col min="6415" max="6415" width="13" style="85" customWidth="1"/>
    <col min="6416" max="6417" width="20" style="85" customWidth="1"/>
    <col min="6418" max="6418" width="23" style="85" customWidth="1"/>
    <col min="6419" max="6656" width="9.140625" style="85"/>
    <col min="6657" max="6657" width="2.28515625" style="85" customWidth="1"/>
    <col min="6658" max="6658" width="22.28515625" style="85" customWidth="1"/>
    <col min="6659" max="6659" width="10.5703125" style="85" customWidth="1"/>
    <col min="6660" max="6660" width="22.140625" style="85" customWidth="1"/>
    <col min="6661" max="6661" width="22.28515625" style="85" customWidth="1"/>
    <col min="6662" max="6662" width="21.5703125" style="85" customWidth="1"/>
    <col min="6663" max="6663" width="21.28515625" style="85" customWidth="1"/>
    <col min="6664" max="6664" width="15.140625" style="85" customWidth="1"/>
    <col min="6665" max="6665" width="22.5703125" style="85" customWidth="1"/>
    <col min="6666" max="6667" width="21" style="85" customWidth="1"/>
    <col min="6668" max="6668" width="27.5703125" style="85" customWidth="1"/>
    <col min="6669" max="6669" width="26" style="85" customWidth="1"/>
    <col min="6670" max="6670" width="27.140625" style="85" customWidth="1"/>
    <col min="6671" max="6671" width="13" style="85" customWidth="1"/>
    <col min="6672" max="6673" width="20" style="85" customWidth="1"/>
    <col min="6674" max="6674" width="23" style="85" customWidth="1"/>
    <col min="6675" max="6912" width="9.140625" style="85"/>
    <col min="6913" max="6913" width="2.28515625" style="85" customWidth="1"/>
    <col min="6914" max="6914" width="22.28515625" style="85" customWidth="1"/>
    <col min="6915" max="6915" width="10.5703125" style="85" customWidth="1"/>
    <col min="6916" max="6916" width="22.140625" style="85" customWidth="1"/>
    <col min="6917" max="6917" width="22.28515625" style="85" customWidth="1"/>
    <col min="6918" max="6918" width="21.5703125" style="85" customWidth="1"/>
    <col min="6919" max="6919" width="21.28515625" style="85" customWidth="1"/>
    <col min="6920" max="6920" width="15.140625" style="85" customWidth="1"/>
    <col min="6921" max="6921" width="22.5703125" style="85" customWidth="1"/>
    <col min="6922" max="6923" width="21" style="85" customWidth="1"/>
    <col min="6924" max="6924" width="27.5703125" style="85" customWidth="1"/>
    <col min="6925" max="6925" width="26" style="85" customWidth="1"/>
    <col min="6926" max="6926" width="27.140625" style="85" customWidth="1"/>
    <col min="6927" max="6927" width="13" style="85" customWidth="1"/>
    <col min="6928" max="6929" width="20" style="85" customWidth="1"/>
    <col min="6930" max="6930" width="23" style="85" customWidth="1"/>
    <col min="6931" max="7168" width="9.140625" style="85"/>
    <col min="7169" max="7169" width="2.28515625" style="85" customWidth="1"/>
    <col min="7170" max="7170" width="22.28515625" style="85" customWidth="1"/>
    <col min="7171" max="7171" width="10.5703125" style="85" customWidth="1"/>
    <col min="7172" max="7172" width="22.140625" style="85" customWidth="1"/>
    <col min="7173" max="7173" width="22.28515625" style="85" customWidth="1"/>
    <col min="7174" max="7174" width="21.5703125" style="85" customWidth="1"/>
    <col min="7175" max="7175" width="21.28515625" style="85" customWidth="1"/>
    <col min="7176" max="7176" width="15.140625" style="85" customWidth="1"/>
    <col min="7177" max="7177" width="22.5703125" style="85" customWidth="1"/>
    <col min="7178" max="7179" width="21" style="85" customWidth="1"/>
    <col min="7180" max="7180" width="27.5703125" style="85" customWidth="1"/>
    <col min="7181" max="7181" width="26" style="85" customWidth="1"/>
    <col min="7182" max="7182" width="27.140625" style="85" customWidth="1"/>
    <col min="7183" max="7183" width="13" style="85" customWidth="1"/>
    <col min="7184" max="7185" width="20" style="85" customWidth="1"/>
    <col min="7186" max="7186" width="23" style="85" customWidth="1"/>
    <col min="7187" max="7424" width="9.140625" style="85"/>
    <col min="7425" max="7425" width="2.28515625" style="85" customWidth="1"/>
    <col min="7426" max="7426" width="22.28515625" style="85" customWidth="1"/>
    <col min="7427" max="7427" width="10.5703125" style="85" customWidth="1"/>
    <col min="7428" max="7428" width="22.140625" style="85" customWidth="1"/>
    <col min="7429" max="7429" width="22.28515625" style="85" customWidth="1"/>
    <col min="7430" max="7430" width="21.5703125" style="85" customWidth="1"/>
    <col min="7431" max="7431" width="21.28515625" style="85" customWidth="1"/>
    <col min="7432" max="7432" width="15.140625" style="85" customWidth="1"/>
    <col min="7433" max="7433" width="22.5703125" style="85" customWidth="1"/>
    <col min="7434" max="7435" width="21" style="85" customWidth="1"/>
    <col min="7436" max="7436" width="27.5703125" style="85" customWidth="1"/>
    <col min="7437" max="7437" width="26" style="85" customWidth="1"/>
    <col min="7438" max="7438" width="27.140625" style="85" customWidth="1"/>
    <col min="7439" max="7439" width="13" style="85" customWidth="1"/>
    <col min="7440" max="7441" width="20" style="85" customWidth="1"/>
    <col min="7442" max="7442" width="23" style="85" customWidth="1"/>
    <col min="7443" max="7680" width="9.140625" style="85"/>
    <col min="7681" max="7681" width="2.28515625" style="85" customWidth="1"/>
    <col min="7682" max="7682" width="22.28515625" style="85" customWidth="1"/>
    <col min="7683" max="7683" width="10.5703125" style="85" customWidth="1"/>
    <col min="7684" max="7684" width="22.140625" style="85" customWidth="1"/>
    <col min="7685" max="7685" width="22.28515625" style="85" customWidth="1"/>
    <col min="7686" max="7686" width="21.5703125" style="85" customWidth="1"/>
    <col min="7687" max="7687" width="21.28515625" style="85" customWidth="1"/>
    <col min="7688" max="7688" width="15.140625" style="85" customWidth="1"/>
    <col min="7689" max="7689" width="22.5703125" style="85" customWidth="1"/>
    <col min="7690" max="7691" width="21" style="85" customWidth="1"/>
    <col min="7692" max="7692" width="27.5703125" style="85" customWidth="1"/>
    <col min="7693" max="7693" width="26" style="85" customWidth="1"/>
    <col min="7694" max="7694" width="27.140625" style="85" customWidth="1"/>
    <col min="7695" max="7695" width="13" style="85" customWidth="1"/>
    <col min="7696" max="7697" width="20" style="85" customWidth="1"/>
    <col min="7698" max="7698" width="23" style="85" customWidth="1"/>
    <col min="7699" max="7936" width="9.140625" style="85"/>
    <col min="7937" max="7937" width="2.28515625" style="85" customWidth="1"/>
    <col min="7938" max="7938" width="22.28515625" style="85" customWidth="1"/>
    <col min="7939" max="7939" width="10.5703125" style="85" customWidth="1"/>
    <col min="7940" max="7940" width="22.140625" style="85" customWidth="1"/>
    <col min="7941" max="7941" width="22.28515625" style="85" customWidth="1"/>
    <col min="7942" max="7942" width="21.5703125" style="85" customWidth="1"/>
    <col min="7943" max="7943" width="21.28515625" style="85" customWidth="1"/>
    <col min="7944" max="7944" width="15.140625" style="85" customWidth="1"/>
    <col min="7945" max="7945" width="22.5703125" style="85" customWidth="1"/>
    <col min="7946" max="7947" width="21" style="85" customWidth="1"/>
    <col min="7948" max="7948" width="27.5703125" style="85" customWidth="1"/>
    <col min="7949" max="7949" width="26" style="85" customWidth="1"/>
    <col min="7950" max="7950" width="27.140625" style="85" customWidth="1"/>
    <col min="7951" max="7951" width="13" style="85" customWidth="1"/>
    <col min="7952" max="7953" width="20" style="85" customWidth="1"/>
    <col min="7954" max="7954" width="23" style="85" customWidth="1"/>
    <col min="7955" max="8192" width="9.140625" style="85"/>
    <col min="8193" max="8193" width="2.28515625" style="85" customWidth="1"/>
    <col min="8194" max="8194" width="22.28515625" style="85" customWidth="1"/>
    <col min="8195" max="8195" width="10.5703125" style="85" customWidth="1"/>
    <col min="8196" max="8196" width="22.140625" style="85" customWidth="1"/>
    <col min="8197" max="8197" width="22.28515625" style="85" customWidth="1"/>
    <col min="8198" max="8198" width="21.5703125" style="85" customWidth="1"/>
    <col min="8199" max="8199" width="21.28515625" style="85" customWidth="1"/>
    <col min="8200" max="8200" width="15.140625" style="85" customWidth="1"/>
    <col min="8201" max="8201" width="22.5703125" style="85" customWidth="1"/>
    <col min="8202" max="8203" width="21" style="85" customWidth="1"/>
    <col min="8204" max="8204" width="27.5703125" style="85" customWidth="1"/>
    <col min="8205" max="8205" width="26" style="85" customWidth="1"/>
    <col min="8206" max="8206" width="27.140625" style="85" customWidth="1"/>
    <col min="8207" max="8207" width="13" style="85" customWidth="1"/>
    <col min="8208" max="8209" width="20" style="85" customWidth="1"/>
    <col min="8210" max="8210" width="23" style="85" customWidth="1"/>
    <col min="8211" max="8448" width="9.140625" style="85"/>
    <col min="8449" max="8449" width="2.28515625" style="85" customWidth="1"/>
    <col min="8450" max="8450" width="22.28515625" style="85" customWidth="1"/>
    <col min="8451" max="8451" width="10.5703125" style="85" customWidth="1"/>
    <col min="8452" max="8452" width="22.140625" style="85" customWidth="1"/>
    <col min="8453" max="8453" width="22.28515625" style="85" customWidth="1"/>
    <col min="8454" max="8454" width="21.5703125" style="85" customWidth="1"/>
    <col min="8455" max="8455" width="21.28515625" style="85" customWidth="1"/>
    <col min="8456" max="8456" width="15.140625" style="85" customWidth="1"/>
    <col min="8457" max="8457" width="22.5703125" style="85" customWidth="1"/>
    <col min="8458" max="8459" width="21" style="85" customWidth="1"/>
    <col min="8460" max="8460" width="27.5703125" style="85" customWidth="1"/>
    <col min="8461" max="8461" width="26" style="85" customWidth="1"/>
    <col min="8462" max="8462" width="27.140625" style="85" customWidth="1"/>
    <col min="8463" max="8463" width="13" style="85" customWidth="1"/>
    <col min="8464" max="8465" width="20" style="85" customWidth="1"/>
    <col min="8466" max="8466" width="23" style="85" customWidth="1"/>
    <col min="8467" max="8704" width="9.140625" style="85"/>
    <col min="8705" max="8705" width="2.28515625" style="85" customWidth="1"/>
    <col min="8706" max="8706" width="22.28515625" style="85" customWidth="1"/>
    <col min="8707" max="8707" width="10.5703125" style="85" customWidth="1"/>
    <col min="8708" max="8708" width="22.140625" style="85" customWidth="1"/>
    <col min="8709" max="8709" width="22.28515625" style="85" customWidth="1"/>
    <col min="8710" max="8710" width="21.5703125" style="85" customWidth="1"/>
    <col min="8711" max="8711" width="21.28515625" style="85" customWidth="1"/>
    <col min="8712" max="8712" width="15.140625" style="85" customWidth="1"/>
    <col min="8713" max="8713" width="22.5703125" style="85" customWidth="1"/>
    <col min="8714" max="8715" width="21" style="85" customWidth="1"/>
    <col min="8716" max="8716" width="27.5703125" style="85" customWidth="1"/>
    <col min="8717" max="8717" width="26" style="85" customWidth="1"/>
    <col min="8718" max="8718" width="27.140625" style="85" customWidth="1"/>
    <col min="8719" max="8719" width="13" style="85" customWidth="1"/>
    <col min="8720" max="8721" width="20" style="85" customWidth="1"/>
    <col min="8722" max="8722" width="23" style="85" customWidth="1"/>
    <col min="8723" max="8960" width="9.140625" style="85"/>
    <col min="8961" max="8961" width="2.28515625" style="85" customWidth="1"/>
    <col min="8962" max="8962" width="22.28515625" style="85" customWidth="1"/>
    <col min="8963" max="8963" width="10.5703125" style="85" customWidth="1"/>
    <col min="8964" max="8964" width="22.140625" style="85" customWidth="1"/>
    <col min="8965" max="8965" width="22.28515625" style="85" customWidth="1"/>
    <col min="8966" max="8966" width="21.5703125" style="85" customWidth="1"/>
    <col min="8967" max="8967" width="21.28515625" style="85" customWidth="1"/>
    <col min="8968" max="8968" width="15.140625" style="85" customWidth="1"/>
    <col min="8969" max="8969" width="22.5703125" style="85" customWidth="1"/>
    <col min="8970" max="8971" width="21" style="85" customWidth="1"/>
    <col min="8972" max="8972" width="27.5703125" style="85" customWidth="1"/>
    <col min="8973" max="8973" width="26" style="85" customWidth="1"/>
    <col min="8974" max="8974" width="27.140625" style="85" customWidth="1"/>
    <col min="8975" max="8975" width="13" style="85" customWidth="1"/>
    <col min="8976" max="8977" width="20" style="85" customWidth="1"/>
    <col min="8978" max="8978" width="23" style="85" customWidth="1"/>
    <col min="8979" max="9216" width="9.140625" style="85"/>
    <col min="9217" max="9217" width="2.28515625" style="85" customWidth="1"/>
    <col min="9218" max="9218" width="22.28515625" style="85" customWidth="1"/>
    <col min="9219" max="9219" width="10.5703125" style="85" customWidth="1"/>
    <col min="9220" max="9220" width="22.140625" style="85" customWidth="1"/>
    <col min="9221" max="9221" width="22.28515625" style="85" customWidth="1"/>
    <col min="9222" max="9222" width="21.5703125" style="85" customWidth="1"/>
    <col min="9223" max="9223" width="21.28515625" style="85" customWidth="1"/>
    <col min="9224" max="9224" width="15.140625" style="85" customWidth="1"/>
    <col min="9225" max="9225" width="22.5703125" style="85" customWidth="1"/>
    <col min="9226" max="9227" width="21" style="85" customWidth="1"/>
    <col min="9228" max="9228" width="27.5703125" style="85" customWidth="1"/>
    <col min="9229" max="9229" width="26" style="85" customWidth="1"/>
    <col min="9230" max="9230" width="27.140625" style="85" customWidth="1"/>
    <col min="9231" max="9231" width="13" style="85" customWidth="1"/>
    <col min="9232" max="9233" width="20" style="85" customWidth="1"/>
    <col min="9234" max="9234" width="23" style="85" customWidth="1"/>
    <col min="9235" max="9472" width="9.140625" style="85"/>
    <col min="9473" max="9473" width="2.28515625" style="85" customWidth="1"/>
    <col min="9474" max="9474" width="22.28515625" style="85" customWidth="1"/>
    <col min="9475" max="9475" width="10.5703125" style="85" customWidth="1"/>
    <col min="9476" max="9476" width="22.140625" style="85" customWidth="1"/>
    <col min="9477" max="9477" width="22.28515625" style="85" customWidth="1"/>
    <col min="9478" max="9478" width="21.5703125" style="85" customWidth="1"/>
    <col min="9479" max="9479" width="21.28515625" style="85" customWidth="1"/>
    <col min="9480" max="9480" width="15.140625" style="85" customWidth="1"/>
    <col min="9481" max="9481" width="22.5703125" style="85" customWidth="1"/>
    <col min="9482" max="9483" width="21" style="85" customWidth="1"/>
    <col min="9484" max="9484" width="27.5703125" style="85" customWidth="1"/>
    <col min="9485" max="9485" width="26" style="85" customWidth="1"/>
    <col min="9486" max="9486" width="27.140625" style="85" customWidth="1"/>
    <col min="9487" max="9487" width="13" style="85" customWidth="1"/>
    <col min="9488" max="9489" width="20" style="85" customWidth="1"/>
    <col min="9490" max="9490" width="23" style="85" customWidth="1"/>
    <col min="9491" max="9728" width="9.140625" style="85"/>
    <col min="9729" max="9729" width="2.28515625" style="85" customWidth="1"/>
    <col min="9730" max="9730" width="22.28515625" style="85" customWidth="1"/>
    <col min="9731" max="9731" width="10.5703125" style="85" customWidth="1"/>
    <col min="9732" max="9732" width="22.140625" style="85" customWidth="1"/>
    <col min="9733" max="9733" width="22.28515625" style="85" customWidth="1"/>
    <col min="9734" max="9734" width="21.5703125" style="85" customWidth="1"/>
    <col min="9735" max="9735" width="21.28515625" style="85" customWidth="1"/>
    <col min="9736" max="9736" width="15.140625" style="85" customWidth="1"/>
    <col min="9737" max="9737" width="22.5703125" style="85" customWidth="1"/>
    <col min="9738" max="9739" width="21" style="85" customWidth="1"/>
    <col min="9740" max="9740" width="27.5703125" style="85" customWidth="1"/>
    <col min="9741" max="9741" width="26" style="85" customWidth="1"/>
    <col min="9742" max="9742" width="27.140625" style="85" customWidth="1"/>
    <col min="9743" max="9743" width="13" style="85" customWidth="1"/>
    <col min="9744" max="9745" width="20" style="85" customWidth="1"/>
    <col min="9746" max="9746" width="23" style="85" customWidth="1"/>
    <col min="9747" max="9984" width="9.140625" style="85"/>
    <col min="9985" max="9985" width="2.28515625" style="85" customWidth="1"/>
    <col min="9986" max="9986" width="22.28515625" style="85" customWidth="1"/>
    <col min="9987" max="9987" width="10.5703125" style="85" customWidth="1"/>
    <col min="9988" max="9988" width="22.140625" style="85" customWidth="1"/>
    <col min="9989" max="9989" width="22.28515625" style="85" customWidth="1"/>
    <col min="9990" max="9990" width="21.5703125" style="85" customWidth="1"/>
    <col min="9991" max="9991" width="21.28515625" style="85" customWidth="1"/>
    <col min="9992" max="9992" width="15.140625" style="85" customWidth="1"/>
    <col min="9993" max="9993" width="22.5703125" style="85" customWidth="1"/>
    <col min="9994" max="9995" width="21" style="85" customWidth="1"/>
    <col min="9996" max="9996" width="27.5703125" style="85" customWidth="1"/>
    <col min="9997" max="9997" width="26" style="85" customWidth="1"/>
    <col min="9998" max="9998" width="27.140625" style="85" customWidth="1"/>
    <col min="9999" max="9999" width="13" style="85" customWidth="1"/>
    <col min="10000" max="10001" width="20" style="85" customWidth="1"/>
    <col min="10002" max="10002" width="23" style="85" customWidth="1"/>
    <col min="10003" max="10240" width="9.140625" style="85"/>
    <col min="10241" max="10241" width="2.28515625" style="85" customWidth="1"/>
    <col min="10242" max="10242" width="22.28515625" style="85" customWidth="1"/>
    <col min="10243" max="10243" width="10.5703125" style="85" customWidth="1"/>
    <col min="10244" max="10244" width="22.140625" style="85" customWidth="1"/>
    <col min="10245" max="10245" width="22.28515625" style="85" customWidth="1"/>
    <col min="10246" max="10246" width="21.5703125" style="85" customWidth="1"/>
    <col min="10247" max="10247" width="21.28515625" style="85" customWidth="1"/>
    <col min="10248" max="10248" width="15.140625" style="85" customWidth="1"/>
    <col min="10249" max="10249" width="22.5703125" style="85" customWidth="1"/>
    <col min="10250" max="10251" width="21" style="85" customWidth="1"/>
    <col min="10252" max="10252" width="27.5703125" style="85" customWidth="1"/>
    <col min="10253" max="10253" width="26" style="85" customWidth="1"/>
    <col min="10254" max="10254" width="27.140625" style="85" customWidth="1"/>
    <col min="10255" max="10255" width="13" style="85" customWidth="1"/>
    <col min="10256" max="10257" width="20" style="85" customWidth="1"/>
    <col min="10258" max="10258" width="23" style="85" customWidth="1"/>
    <col min="10259" max="10496" width="9.140625" style="85"/>
    <col min="10497" max="10497" width="2.28515625" style="85" customWidth="1"/>
    <col min="10498" max="10498" width="22.28515625" style="85" customWidth="1"/>
    <col min="10499" max="10499" width="10.5703125" style="85" customWidth="1"/>
    <col min="10500" max="10500" width="22.140625" style="85" customWidth="1"/>
    <col min="10501" max="10501" width="22.28515625" style="85" customWidth="1"/>
    <col min="10502" max="10502" width="21.5703125" style="85" customWidth="1"/>
    <col min="10503" max="10503" width="21.28515625" style="85" customWidth="1"/>
    <col min="10504" max="10504" width="15.140625" style="85" customWidth="1"/>
    <col min="10505" max="10505" width="22.5703125" style="85" customWidth="1"/>
    <col min="10506" max="10507" width="21" style="85" customWidth="1"/>
    <col min="10508" max="10508" width="27.5703125" style="85" customWidth="1"/>
    <col min="10509" max="10509" width="26" style="85" customWidth="1"/>
    <col min="10510" max="10510" width="27.140625" style="85" customWidth="1"/>
    <col min="10511" max="10511" width="13" style="85" customWidth="1"/>
    <col min="10512" max="10513" width="20" style="85" customWidth="1"/>
    <col min="10514" max="10514" width="23" style="85" customWidth="1"/>
    <col min="10515" max="10752" width="9.140625" style="85"/>
    <col min="10753" max="10753" width="2.28515625" style="85" customWidth="1"/>
    <col min="10754" max="10754" width="22.28515625" style="85" customWidth="1"/>
    <col min="10755" max="10755" width="10.5703125" style="85" customWidth="1"/>
    <col min="10756" max="10756" width="22.140625" style="85" customWidth="1"/>
    <col min="10757" max="10757" width="22.28515625" style="85" customWidth="1"/>
    <col min="10758" max="10758" width="21.5703125" style="85" customWidth="1"/>
    <col min="10759" max="10759" width="21.28515625" style="85" customWidth="1"/>
    <col min="10760" max="10760" width="15.140625" style="85" customWidth="1"/>
    <col min="10761" max="10761" width="22.5703125" style="85" customWidth="1"/>
    <col min="10762" max="10763" width="21" style="85" customWidth="1"/>
    <col min="10764" max="10764" width="27.5703125" style="85" customWidth="1"/>
    <col min="10765" max="10765" width="26" style="85" customWidth="1"/>
    <col min="10766" max="10766" width="27.140625" style="85" customWidth="1"/>
    <col min="10767" max="10767" width="13" style="85" customWidth="1"/>
    <col min="10768" max="10769" width="20" style="85" customWidth="1"/>
    <col min="10770" max="10770" width="23" style="85" customWidth="1"/>
    <col min="10771" max="11008" width="9.140625" style="85"/>
    <col min="11009" max="11009" width="2.28515625" style="85" customWidth="1"/>
    <col min="11010" max="11010" width="22.28515625" style="85" customWidth="1"/>
    <col min="11011" max="11011" width="10.5703125" style="85" customWidth="1"/>
    <col min="11012" max="11012" width="22.140625" style="85" customWidth="1"/>
    <col min="11013" max="11013" width="22.28515625" style="85" customWidth="1"/>
    <col min="11014" max="11014" width="21.5703125" style="85" customWidth="1"/>
    <col min="11015" max="11015" width="21.28515625" style="85" customWidth="1"/>
    <col min="11016" max="11016" width="15.140625" style="85" customWidth="1"/>
    <col min="11017" max="11017" width="22.5703125" style="85" customWidth="1"/>
    <col min="11018" max="11019" width="21" style="85" customWidth="1"/>
    <col min="11020" max="11020" width="27.5703125" style="85" customWidth="1"/>
    <col min="11021" max="11021" width="26" style="85" customWidth="1"/>
    <col min="11022" max="11022" width="27.140625" style="85" customWidth="1"/>
    <col min="11023" max="11023" width="13" style="85" customWidth="1"/>
    <col min="11024" max="11025" width="20" style="85" customWidth="1"/>
    <col min="11026" max="11026" width="23" style="85" customWidth="1"/>
    <col min="11027" max="11264" width="9.140625" style="85"/>
    <col min="11265" max="11265" width="2.28515625" style="85" customWidth="1"/>
    <col min="11266" max="11266" width="22.28515625" style="85" customWidth="1"/>
    <col min="11267" max="11267" width="10.5703125" style="85" customWidth="1"/>
    <col min="11268" max="11268" width="22.140625" style="85" customWidth="1"/>
    <col min="11269" max="11269" width="22.28515625" style="85" customWidth="1"/>
    <col min="11270" max="11270" width="21.5703125" style="85" customWidth="1"/>
    <col min="11271" max="11271" width="21.28515625" style="85" customWidth="1"/>
    <col min="11272" max="11272" width="15.140625" style="85" customWidth="1"/>
    <col min="11273" max="11273" width="22.5703125" style="85" customWidth="1"/>
    <col min="11274" max="11275" width="21" style="85" customWidth="1"/>
    <col min="11276" max="11276" width="27.5703125" style="85" customWidth="1"/>
    <col min="11277" max="11277" width="26" style="85" customWidth="1"/>
    <col min="11278" max="11278" width="27.140625" style="85" customWidth="1"/>
    <col min="11279" max="11279" width="13" style="85" customWidth="1"/>
    <col min="11280" max="11281" width="20" style="85" customWidth="1"/>
    <col min="11282" max="11282" width="23" style="85" customWidth="1"/>
    <col min="11283" max="11520" width="9.140625" style="85"/>
    <col min="11521" max="11521" width="2.28515625" style="85" customWidth="1"/>
    <col min="11522" max="11522" width="22.28515625" style="85" customWidth="1"/>
    <col min="11523" max="11523" width="10.5703125" style="85" customWidth="1"/>
    <col min="11524" max="11524" width="22.140625" style="85" customWidth="1"/>
    <col min="11525" max="11525" width="22.28515625" style="85" customWidth="1"/>
    <col min="11526" max="11526" width="21.5703125" style="85" customWidth="1"/>
    <col min="11527" max="11527" width="21.28515625" style="85" customWidth="1"/>
    <col min="11528" max="11528" width="15.140625" style="85" customWidth="1"/>
    <col min="11529" max="11529" width="22.5703125" style="85" customWidth="1"/>
    <col min="11530" max="11531" width="21" style="85" customWidth="1"/>
    <col min="11532" max="11532" width="27.5703125" style="85" customWidth="1"/>
    <col min="11533" max="11533" width="26" style="85" customWidth="1"/>
    <col min="11534" max="11534" width="27.140625" style="85" customWidth="1"/>
    <col min="11535" max="11535" width="13" style="85" customWidth="1"/>
    <col min="11536" max="11537" width="20" style="85" customWidth="1"/>
    <col min="11538" max="11538" width="23" style="85" customWidth="1"/>
    <col min="11539" max="11776" width="9.140625" style="85"/>
    <col min="11777" max="11777" width="2.28515625" style="85" customWidth="1"/>
    <col min="11778" max="11778" width="22.28515625" style="85" customWidth="1"/>
    <col min="11779" max="11779" width="10.5703125" style="85" customWidth="1"/>
    <col min="11780" max="11780" width="22.140625" style="85" customWidth="1"/>
    <col min="11781" max="11781" width="22.28515625" style="85" customWidth="1"/>
    <col min="11782" max="11782" width="21.5703125" style="85" customWidth="1"/>
    <col min="11783" max="11783" width="21.28515625" style="85" customWidth="1"/>
    <col min="11784" max="11784" width="15.140625" style="85" customWidth="1"/>
    <col min="11785" max="11785" width="22.5703125" style="85" customWidth="1"/>
    <col min="11786" max="11787" width="21" style="85" customWidth="1"/>
    <col min="11788" max="11788" width="27.5703125" style="85" customWidth="1"/>
    <col min="11789" max="11789" width="26" style="85" customWidth="1"/>
    <col min="11790" max="11790" width="27.140625" style="85" customWidth="1"/>
    <col min="11791" max="11791" width="13" style="85" customWidth="1"/>
    <col min="11792" max="11793" width="20" style="85" customWidth="1"/>
    <col min="11794" max="11794" width="23" style="85" customWidth="1"/>
    <col min="11795" max="12032" width="9.140625" style="85"/>
    <col min="12033" max="12033" width="2.28515625" style="85" customWidth="1"/>
    <col min="12034" max="12034" width="22.28515625" style="85" customWidth="1"/>
    <col min="12035" max="12035" width="10.5703125" style="85" customWidth="1"/>
    <col min="12036" max="12036" width="22.140625" style="85" customWidth="1"/>
    <col min="12037" max="12037" width="22.28515625" style="85" customWidth="1"/>
    <col min="12038" max="12038" width="21.5703125" style="85" customWidth="1"/>
    <col min="12039" max="12039" width="21.28515625" style="85" customWidth="1"/>
    <col min="12040" max="12040" width="15.140625" style="85" customWidth="1"/>
    <col min="12041" max="12041" width="22.5703125" style="85" customWidth="1"/>
    <col min="12042" max="12043" width="21" style="85" customWidth="1"/>
    <col min="12044" max="12044" width="27.5703125" style="85" customWidth="1"/>
    <col min="12045" max="12045" width="26" style="85" customWidth="1"/>
    <col min="12046" max="12046" width="27.140625" style="85" customWidth="1"/>
    <col min="12047" max="12047" width="13" style="85" customWidth="1"/>
    <col min="12048" max="12049" width="20" style="85" customWidth="1"/>
    <col min="12050" max="12050" width="23" style="85" customWidth="1"/>
    <col min="12051" max="12288" width="9.140625" style="85"/>
    <col min="12289" max="12289" width="2.28515625" style="85" customWidth="1"/>
    <col min="12290" max="12290" width="22.28515625" style="85" customWidth="1"/>
    <col min="12291" max="12291" width="10.5703125" style="85" customWidth="1"/>
    <col min="12292" max="12292" width="22.140625" style="85" customWidth="1"/>
    <col min="12293" max="12293" width="22.28515625" style="85" customWidth="1"/>
    <col min="12294" max="12294" width="21.5703125" style="85" customWidth="1"/>
    <col min="12295" max="12295" width="21.28515625" style="85" customWidth="1"/>
    <col min="12296" max="12296" width="15.140625" style="85" customWidth="1"/>
    <col min="12297" max="12297" width="22.5703125" style="85" customWidth="1"/>
    <col min="12298" max="12299" width="21" style="85" customWidth="1"/>
    <col min="12300" max="12300" width="27.5703125" style="85" customWidth="1"/>
    <col min="12301" max="12301" width="26" style="85" customWidth="1"/>
    <col min="12302" max="12302" width="27.140625" style="85" customWidth="1"/>
    <col min="12303" max="12303" width="13" style="85" customWidth="1"/>
    <col min="12304" max="12305" width="20" style="85" customWidth="1"/>
    <col min="12306" max="12306" width="23" style="85" customWidth="1"/>
    <col min="12307" max="12544" width="9.140625" style="85"/>
    <col min="12545" max="12545" width="2.28515625" style="85" customWidth="1"/>
    <col min="12546" max="12546" width="22.28515625" style="85" customWidth="1"/>
    <col min="12547" max="12547" width="10.5703125" style="85" customWidth="1"/>
    <col min="12548" max="12548" width="22.140625" style="85" customWidth="1"/>
    <col min="12549" max="12549" width="22.28515625" style="85" customWidth="1"/>
    <col min="12550" max="12550" width="21.5703125" style="85" customWidth="1"/>
    <col min="12551" max="12551" width="21.28515625" style="85" customWidth="1"/>
    <col min="12552" max="12552" width="15.140625" style="85" customWidth="1"/>
    <col min="12553" max="12553" width="22.5703125" style="85" customWidth="1"/>
    <col min="12554" max="12555" width="21" style="85" customWidth="1"/>
    <col min="12556" max="12556" width="27.5703125" style="85" customWidth="1"/>
    <col min="12557" max="12557" width="26" style="85" customWidth="1"/>
    <col min="12558" max="12558" width="27.140625" style="85" customWidth="1"/>
    <col min="12559" max="12559" width="13" style="85" customWidth="1"/>
    <col min="12560" max="12561" width="20" style="85" customWidth="1"/>
    <col min="12562" max="12562" width="23" style="85" customWidth="1"/>
    <col min="12563" max="12800" width="9.140625" style="85"/>
    <col min="12801" max="12801" width="2.28515625" style="85" customWidth="1"/>
    <col min="12802" max="12802" width="22.28515625" style="85" customWidth="1"/>
    <col min="12803" max="12803" width="10.5703125" style="85" customWidth="1"/>
    <col min="12804" max="12804" width="22.140625" style="85" customWidth="1"/>
    <col min="12805" max="12805" width="22.28515625" style="85" customWidth="1"/>
    <col min="12806" max="12806" width="21.5703125" style="85" customWidth="1"/>
    <col min="12807" max="12807" width="21.28515625" style="85" customWidth="1"/>
    <col min="12808" max="12808" width="15.140625" style="85" customWidth="1"/>
    <col min="12809" max="12809" width="22.5703125" style="85" customWidth="1"/>
    <col min="12810" max="12811" width="21" style="85" customWidth="1"/>
    <col min="12812" max="12812" width="27.5703125" style="85" customWidth="1"/>
    <col min="12813" max="12813" width="26" style="85" customWidth="1"/>
    <col min="12814" max="12814" width="27.140625" style="85" customWidth="1"/>
    <col min="12815" max="12815" width="13" style="85" customWidth="1"/>
    <col min="12816" max="12817" width="20" style="85" customWidth="1"/>
    <col min="12818" max="12818" width="23" style="85" customWidth="1"/>
    <col min="12819" max="13056" width="9.140625" style="85"/>
    <col min="13057" max="13057" width="2.28515625" style="85" customWidth="1"/>
    <col min="13058" max="13058" width="22.28515625" style="85" customWidth="1"/>
    <col min="13059" max="13059" width="10.5703125" style="85" customWidth="1"/>
    <col min="13060" max="13060" width="22.140625" style="85" customWidth="1"/>
    <col min="13061" max="13061" width="22.28515625" style="85" customWidth="1"/>
    <col min="13062" max="13062" width="21.5703125" style="85" customWidth="1"/>
    <col min="13063" max="13063" width="21.28515625" style="85" customWidth="1"/>
    <col min="13064" max="13064" width="15.140625" style="85" customWidth="1"/>
    <col min="13065" max="13065" width="22.5703125" style="85" customWidth="1"/>
    <col min="13066" max="13067" width="21" style="85" customWidth="1"/>
    <col min="13068" max="13068" width="27.5703125" style="85" customWidth="1"/>
    <col min="13069" max="13069" width="26" style="85" customWidth="1"/>
    <col min="13070" max="13070" width="27.140625" style="85" customWidth="1"/>
    <col min="13071" max="13071" width="13" style="85" customWidth="1"/>
    <col min="13072" max="13073" width="20" style="85" customWidth="1"/>
    <col min="13074" max="13074" width="23" style="85" customWidth="1"/>
    <col min="13075" max="13312" width="9.140625" style="85"/>
    <col min="13313" max="13313" width="2.28515625" style="85" customWidth="1"/>
    <col min="13314" max="13314" width="22.28515625" style="85" customWidth="1"/>
    <col min="13315" max="13315" width="10.5703125" style="85" customWidth="1"/>
    <col min="13316" max="13316" width="22.140625" style="85" customWidth="1"/>
    <col min="13317" max="13317" width="22.28515625" style="85" customWidth="1"/>
    <col min="13318" max="13318" width="21.5703125" style="85" customWidth="1"/>
    <col min="13319" max="13319" width="21.28515625" style="85" customWidth="1"/>
    <col min="13320" max="13320" width="15.140625" style="85" customWidth="1"/>
    <col min="13321" max="13321" width="22.5703125" style="85" customWidth="1"/>
    <col min="13322" max="13323" width="21" style="85" customWidth="1"/>
    <col min="13324" max="13324" width="27.5703125" style="85" customWidth="1"/>
    <col min="13325" max="13325" width="26" style="85" customWidth="1"/>
    <col min="13326" max="13326" width="27.140625" style="85" customWidth="1"/>
    <col min="13327" max="13327" width="13" style="85" customWidth="1"/>
    <col min="13328" max="13329" width="20" style="85" customWidth="1"/>
    <col min="13330" max="13330" width="23" style="85" customWidth="1"/>
    <col min="13331" max="13568" width="9.140625" style="85"/>
    <col min="13569" max="13569" width="2.28515625" style="85" customWidth="1"/>
    <col min="13570" max="13570" width="22.28515625" style="85" customWidth="1"/>
    <col min="13571" max="13571" width="10.5703125" style="85" customWidth="1"/>
    <col min="13572" max="13572" width="22.140625" style="85" customWidth="1"/>
    <col min="13573" max="13573" width="22.28515625" style="85" customWidth="1"/>
    <col min="13574" max="13574" width="21.5703125" style="85" customWidth="1"/>
    <col min="13575" max="13575" width="21.28515625" style="85" customWidth="1"/>
    <col min="13576" max="13576" width="15.140625" style="85" customWidth="1"/>
    <col min="13577" max="13577" width="22.5703125" style="85" customWidth="1"/>
    <col min="13578" max="13579" width="21" style="85" customWidth="1"/>
    <col min="13580" max="13580" width="27.5703125" style="85" customWidth="1"/>
    <col min="13581" max="13581" width="26" style="85" customWidth="1"/>
    <col min="13582" max="13582" width="27.140625" style="85" customWidth="1"/>
    <col min="13583" max="13583" width="13" style="85" customWidth="1"/>
    <col min="13584" max="13585" width="20" style="85" customWidth="1"/>
    <col min="13586" max="13586" width="23" style="85" customWidth="1"/>
    <col min="13587" max="13824" width="9.140625" style="85"/>
    <col min="13825" max="13825" width="2.28515625" style="85" customWidth="1"/>
    <col min="13826" max="13826" width="22.28515625" style="85" customWidth="1"/>
    <col min="13827" max="13827" width="10.5703125" style="85" customWidth="1"/>
    <col min="13828" max="13828" width="22.140625" style="85" customWidth="1"/>
    <col min="13829" max="13829" width="22.28515625" style="85" customWidth="1"/>
    <col min="13830" max="13830" width="21.5703125" style="85" customWidth="1"/>
    <col min="13831" max="13831" width="21.28515625" style="85" customWidth="1"/>
    <col min="13832" max="13832" width="15.140625" style="85" customWidth="1"/>
    <col min="13833" max="13833" width="22.5703125" style="85" customWidth="1"/>
    <col min="13834" max="13835" width="21" style="85" customWidth="1"/>
    <col min="13836" max="13836" width="27.5703125" style="85" customWidth="1"/>
    <col min="13837" max="13837" width="26" style="85" customWidth="1"/>
    <col min="13838" max="13838" width="27.140625" style="85" customWidth="1"/>
    <col min="13839" max="13839" width="13" style="85" customWidth="1"/>
    <col min="13840" max="13841" width="20" style="85" customWidth="1"/>
    <col min="13842" max="13842" width="23" style="85" customWidth="1"/>
    <col min="13843" max="14080" width="9.140625" style="85"/>
    <col min="14081" max="14081" width="2.28515625" style="85" customWidth="1"/>
    <col min="14082" max="14082" width="22.28515625" style="85" customWidth="1"/>
    <col min="14083" max="14083" width="10.5703125" style="85" customWidth="1"/>
    <col min="14084" max="14084" width="22.140625" style="85" customWidth="1"/>
    <col min="14085" max="14085" width="22.28515625" style="85" customWidth="1"/>
    <col min="14086" max="14086" width="21.5703125" style="85" customWidth="1"/>
    <col min="14087" max="14087" width="21.28515625" style="85" customWidth="1"/>
    <col min="14088" max="14088" width="15.140625" style="85" customWidth="1"/>
    <col min="14089" max="14089" width="22.5703125" style="85" customWidth="1"/>
    <col min="14090" max="14091" width="21" style="85" customWidth="1"/>
    <col min="14092" max="14092" width="27.5703125" style="85" customWidth="1"/>
    <col min="14093" max="14093" width="26" style="85" customWidth="1"/>
    <col min="14094" max="14094" width="27.140625" style="85" customWidth="1"/>
    <col min="14095" max="14095" width="13" style="85" customWidth="1"/>
    <col min="14096" max="14097" width="20" style="85" customWidth="1"/>
    <col min="14098" max="14098" width="23" style="85" customWidth="1"/>
    <col min="14099" max="14336" width="9.140625" style="85"/>
    <col min="14337" max="14337" width="2.28515625" style="85" customWidth="1"/>
    <col min="14338" max="14338" width="22.28515625" style="85" customWidth="1"/>
    <col min="14339" max="14339" width="10.5703125" style="85" customWidth="1"/>
    <col min="14340" max="14340" width="22.140625" style="85" customWidth="1"/>
    <col min="14341" max="14341" width="22.28515625" style="85" customWidth="1"/>
    <col min="14342" max="14342" width="21.5703125" style="85" customWidth="1"/>
    <col min="14343" max="14343" width="21.28515625" style="85" customWidth="1"/>
    <col min="14344" max="14344" width="15.140625" style="85" customWidth="1"/>
    <col min="14345" max="14345" width="22.5703125" style="85" customWidth="1"/>
    <col min="14346" max="14347" width="21" style="85" customWidth="1"/>
    <col min="14348" max="14348" width="27.5703125" style="85" customWidth="1"/>
    <col min="14349" max="14349" width="26" style="85" customWidth="1"/>
    <col min="14350" max="14350" width="27.140625" style="85" customWidth="1"/>
    <col min="14351" max="14351" width="13" style="85" customWidth="1"/>
    <col min="14352" max="14353" width="20" style="85" customWidth="1"/>
    <col min="14354" max="14354" width="23" style="85" customWidth="1"/>
    <col min="14355" max="14592" width="9.140625" style="85"/>
    <col min="14593" max="14593" width="2.28515625" style="85" customWidth="1"/>
    <col min="14594" max="14594" width="22.28515625" style="85" customWidth="1"/>
    <col min="14595" max="14595" width="10.5703125" style="85" customWidth="1"/>
    <col min="14596" max="14596" width="22.140625" style="85" customWidth="1"/>
    <col min="14597" max="14597" width="22.28515625" style="85" customWidth="1"/>
    <col min="14598" max="14598" width="21.5703125" style="85" customWidth="1"/>
    <col min="14599" max="14599" width="21.28515625" style="85" customWidth="1"/>
    <col min="14600" max="14600" width="15.140625" style="85" customWidth="1"/>
    <col min="14601" max="14601" width="22.5703125" style="85" customWidth="1"/>
    <col min="14602" max="14603" width="21" style="85" customWidth="1"/>
    <col min="14604" max="14604" width="27.5703125" style="85" customWidth="1"/>
    <col min="14605" max="14605" width="26" style="85" customWidth="1"/>
    <col min="14606" max="14606" width="27.140625" style="85" customWidth="1"/>
    <col min="14607" max="14607" width="13" style="85" customWidth="1"/>
    <col min="14608" max="14609" width="20" style="85" customWidth="1"/>
    <col min="14610" max="14610" width="23" style="85" customWidth="1"/>
    <col min="14611" max="14848" width="9.140625" style="85"/>
    <col min="14849" max="14849" width="2.28515625" style="85" customWidth="1"/>
    <col min="14850" max="14850" width="22.28515625" style="85" customWidth="1"/>
    <col min="14851" max="14851" width="10.5703125" style="85" customWidth="1"/>
    <col min="14852" max="14852" width="22.140625" style="85" customWidth="1"/>
    <col min="14853" max="14853" width="22.28515625" style="85" customWidth="1"/>
    <col min="14854" max="14854" width="21.5703125" style="85" customWidth="1"/>
    <col min="14855" max="14855" width="21.28515625" style="85" customWidth="1"/>
    <col min="14856" max="14856" width="15.140625" style="85" customWidth="1"/>
    <col min="14857" max="14857" width="22.5703125" style="85" customWidth="1"/>
    <col min="14858" max="14859" width="21" style="85" customWidth="1"/>
    <col min="14860" max="14860" width="27.5703125" style="85" customWidth="1"/>
    <col min="14861" max="14861" width="26" style="85" customWidth="1"/>
    <col min="14862" max="14862" width="27.140625" style="85" customWidth="1"/>
    <col min="14863" max="14863" width="13" style="85" customWidth="1"/>
    <col min="14864" max="14865" width="20" style="85" customWidth="1"/>
    <col min="14866" max="14866" width="23" style="85" customWidth="1"/>
    <col min="14867" max="15104" width="9.140625" style="85"/>
    <col min="15105" max="15105" width="2.28515625" style="85" customWidth="1"/>
    <col min="15106" max="15106" width="22.28515625" style="85" customWidth="1"/>
    <col min="15107" max="15107" width="10.5703125" style="85" customWidth="1"/>
    <col min="15108" max="15108" width="22.140625" style="85" customWidth="1"/>
    <col min="15109" max="15109" width="22.28515625" style="85" customWidth="1"/>
    <col min="15110" max="15110" width="21.5703125" style="85" customWidth="1"/>
    <col min="15111" max="15111" width="21.28515625" style="85" customWidth="1"/>
    <col min="15112" max="15112" width="15.140625" style="85" customWidth="1"/>
    <col min="15113" max="15113" width="22.5703125" style="85" customWidth="1"/>
    <col min="15114" max="15115" width="21" style="85" customWidth="1"/>
    <col min="15116" max="15116" width="27.5703125" style="85" customWidth="1"/>
    <col min="15117" max="15117" width="26" style="85" customWidth="1"/>
    <col min="15118" max="15118" width="27.140625" style="85" customWidth="1"/>
    <col min="15119" max="15119" width="13" style="85" customWidth="1"/>
    <col min="15120" max="15121" width="20" style="85" customWidth="1"/>
    <col min="15122" max="15122" width="23" style="85" customWidth="1"/>
    <col min="15123" max="15360" width="9.140625" style="85"/>
    <col min="15361" max="15361" width="2.28515625" style="85" customWidth="1"/>
    <col min="15362" max="15362" width="22.28515625" style="85" customWidth="1"/>
    <col min="15363" max="15363" width="10.5703125" style="85" customWidth="1"/>
    <col min="15364" max="15364" width="22.140625" style="85" customWidth="1"/>
    <col min="15365" max="15365" width="22.28515625" style="85" customWidth="1"/>
    <col min="15366" max="15366" width="21.5703125" style="85" customWidth="1"/>
    <col min="15367" max="15367" width="21.28515625" style="85" customWidth="1"/>
    <col min="15368" max="15368" width="15.140625" style="85" customWidth="1"/>
    <col min="15369" max="15369" width="22.5703125" style="85" customWidth="1"/>
    <col min="15370" max="15371" width="21" style="85" customWidth="1"/>
    <col min="15372" max="15372" width="27.5703125" style="85" customWidth="1"/>
    <col min="15373" max="15373" width="26" style="85" customWidth="1"/>
    <col min="15374" max="15374" width="27.140625" style="85" customWidth="1"/>
    <col min="15375" max="15375" width="13" style="85" customWidth="1"/>
    <col min="15376" max="15377" width="20" style="85" customWidth="1"/>
    <col min="15378" max="15378" width="23" style="85" customWidth="1"/>
    <col min="15379" max="15616" width="9.140625" style="85"/>
    <col min="15617" max="15617" width="2.28515625" style="85" customWidth="1"/>
    <col min="15618" max="15618" width="22.28515625" style="85" customWidth="1"/>
    <col min="15619" max="15619" width="10.5703125" style="85" customWidth="1"/>
    <col min="15620" max="15620" width="22.140625" style="85" customWidth="1"/>
    <col min="15621" max="15621" width="22.28515625" style="85" customWidth="1"/>
    <col min="15622" max="15622" width="21.5703125" style="85" customWidth="1"/>
    <col min="15623" max="15623" width="21.28515625" style="85" customWidth="1"/>
    <col min="15624" max="15624" width="15.140625" style="85" customWidth="1"/>
    <col min="15625" max="15625" width="22.5703125" style="85" customWidth="1"/>
    <col min="15626" max="15627" width="21" style="85" customWidth="1"/>
    <col min="15628" max="15628" width="27.5703125" style="85" customWidth="1"/>
    <col min="15629" max="15629" width="26" style="85" customWidth="1"/>
    <col min="15630" max="15630" width="27.140625" style="85" customWidth="1"/>
    <col min="15631" max="15631" width="13" style="85" customWidth="1"/>
    <col min="15632" max="15633" width="20" style="85" customWidth="1"/>
    <col min="15634" max="15634" width="23" style="85" customWidth="1"/>
    <col min="15635" max="15872" width="9.140625" style="85"/>
    <col min="15873" max="15873" width="2.28515625" style="85" customWidth="1"/>
    <col min="15874" max="15874" width="22.28515625" style="85" customWidth="1"/>
    <col min="15875" max="15875" width="10.5703125" style="85" customWidth="1"/>
    <col min="15876" max="15876" width="22.140625" style="85" customWidth="1"/>
    <col min="15877" max="15877" width="22.28515625" style="85" customWidth="1"/>
    <col min="15878" max="15878" width="21.5703125" style="85" customWidth="1"/>
    <col min="15879" max="15879" width="21.28515625" style="85" customWidth="1"/>
    <col min="15880" max="15880" width="15.140625" style="85" customWidth="1"/>
    <col min="15881" max="15881" width="22.5703125" style="85" customWidth="1"/>
    <col min="15882" max="15883" width="21" style="85" customWidth="1"/>
    <col min="15884" max="15884" width="27.5703125" style="85" customWidth="1"/>
    <col min="15885" max="15885" width="26" style="85" customWidth="1"/>
    <col min="15886" max="15886" width="27.140625" style="85" customWidth="1"/>
    <col min="15887" max="15887" width="13" style="85" customWidth="1"/>
    <col min="15888" max="15889" width="20" style="85" customWidth="1"/>
    <col min="15890" max="15890" width="23" style="85" customWidth="1"/>
    <col min="15891" max="16128" width="9.140625" style="85"/>
    <col min="16129" max="16129" width="2.28515625" style="85" customWidth="1"/>
    <col min="16130" max="16130" width="22.28515625" style="85" customWidth="1"/>
    <col min="16131" max="16131" width="10.5703125" style="85" customWidth="1"/>
    <col min="16132" max="16132" width="22.140625" style="85" customWidth="1"/>
    <col min="16133" max="16133" width="22.28515625" style="85" customWidth="1"/>
    <col min="16134" max="16134" width="21.5703125" style="85" customWidth="1"/>
    <col min="16135" max="16135" width="21.28515625" style="85" customWidth="1"/>
    <col min="16136" max="16136" width="15.140625" style="85" customWidth="1"/>
    <col min="16137" max="16137" width="22.5703125" style="85" customWidth="1"/>
    <col min="16138" max="16139" width="21" style="85" customWidth="1"/>
    <col min="16140" max="16140" width="27.5703125" style="85" customWidth="1"/>
    <col min="16141" max="16141" width="26" style="85" customWidth="1"/>
    <col min="16142" max="16142" width="27.140625" style="85" customWidth="1"/>
    <col min="16143" max="16143" width="13" style="85" customWidth="1"/>
    <col min="16144" max="16145" width="20" style="85" customWidth="1"/>
    <col min="16146" max="16146" width="23" style="85" customWidth="1"/>
    <col min="16147" max="16384" width="9.140625" style="85"/>
  </cols>
  <sheetData>
    <row r="1" spans="2:15" ht="21" customHeight="1" x14ac:dyDescent="0.25">
      <c r="B1" s="178" t="s">
        <v>178</v>
      </c>
      <c r="C1" s="178"/>
      <c r="D1" s="178"/>
      <c r="E1" s="178"/>
      <c r="F1" s="178"/>
      <c r="G1" s="178"/>
      <c r="H1" s="178"/>
      <c r="I1" s="178"/>
      <c r="J1" s="178"/>
      <c r="K1" s="178"/>
      <c r="L1" s="178"/>
      <c r="M1" s="178"/>
      <c r="N1" s="178"/>
      <c r="O1" s="178"/>
    </row>
    <row r="2" spans="2:15" ht="24.75" customHeight="1" x14ac:dyDescent="0.25">
      <c r="B2" s="178" t="s">
        <v>179</v>
      </c>
      <c r="C2" s="178"/>
      <c r="D2" s="178"/>
      <c r="E2" s="178"/>
      <c r="F2" s="178"/>
      <c r="G2" s="178"/>
      <c r="H2" s="86"/>
      <c r="I2" s="178" t="s">
        <v>180</v>
      </c>
      <c r="J2" s="178"/>
      <c r="K2" s="86"/>
      <c r="L2" s="178" t="s">
        <v>181</v>
      </c>
      <c r="M2" s="178"/>
      <c r="N2" s="178"/>
      <c r="O2" s="178"/>
    </row>
    <row r="3" spans="2:15" ht="18" customHeight="1" x14ac:dyDescent="0.25">
      <c r="B3" s="179" t="s">
        <v>17</v>
      </c>
      <c r="C3" s="179"/>
      <c r="D3" s="179" t="s">
        <v>182</v>
      </c>
      <c r="E3" s="179"/>
      <c r="F3" s="179" t="s">
        <v>183</v>
      </c>
      <c r="G3" s="179"/>
      <c r="H3" s="86"/>
      <c r="I3" s="178"/>
      <c r="J3" s="178"/>
      <c r="K3" s="86"/>
      <c r="L3" s="178"/>
      <c r="M3" s="178"/>
      <c r="N3" s="178"/>
      <c r="O3" s="178"/>
    </row>
    <row r="4" spans="2:15" ht="71.25" x14ac:dyDescent="0.25">
      <c r="B4" s="179"/>
      <c r="C4" s="179"/>
      <c r="D4" s="87" t="s">
        <v>184</v>
      </c>
      <c r="E4" s="87" t="s">
        <v>185</v>
      </c>
      <c r="F4" s="87" t="s">
        <v>184</v>
      </c>
      <c r="G4" s="87" t="s">
        <v>185</v>
      </c>
      <c r="H4" s="86"/>
      <c r="I4" s="87" t="s">
        <v>17</v>
      </c>
      <c r="J4" s="26" t="s">
        <v>186</v>
      </c>
      <c r="K4" s="86"/>
      <c r="L4" s="26" t="s">
        <v>187</v>
      </c>
      <c r="M4" s="26" t="s">
        <v>188</v>
      </c>
      <c r="N4" s="26" t="s">
        <v>96</v>
      </c>
      <c r="O4" s="26" t="s">
        <v>189</v>
      </c>
    </row>
    <row r="5" spans="2:15" ht="42.75" x14ac:dyDescent="0.25">
      <c r="B5" s="180" t="s">
        <v>12</v>
      </c>
      <c r="C5" s="180"/>
      <c r="D5" s="89">
        <v>2.2222222222222223E-2</v>
      </c>
      <c r="E5" s="89">
        <v>0.14583333333333334</v>
      </c>
      <c r="F5" s="90">
        <f t="shared" ref="F5:G17" si="0">(D5-INT($D$20))*24*$D$19</f>
        <v>0.66666666666666663</v>
      </c>
      <c r="G5" s="90">
        <f t="shared" si="0"/>
        <v>4.375</v>
      </c>
      <c r="H5" s="86"/>
      <c r="I5" s="88" t="s">
        <v>12</v>
      </c>
      <c r="J5" s="91">
        <v>20</v>
      </c>
      <c r="K5" s="86"/>
      <c r="L5" s="29" t="s">
        <v>190</v>
      </c>
      <c r="M5" s="92">
        <v>4.9000000000000004</v>
      </c>
      <c r="N5" s="93">
        <f>SUM('BE - Granja Silva'!S24,'BE - Granja Silva'!S30)</f>
        <v>0</v>
      </c>
      <c r="O5" s="68">
        <f>(M5/1000)*N5</f>
        <v>0</v>
      </c>
    </row>
    <row r="6" spans="2:15" x14ac:dyDescent="0.25">
      <c r="B6" s="180" t="s">
        <v>191</v>
      </c>
      <c r="C6" s="180"/>
      <c r="D6" s="89">
        <v>3.125E-2</v>
      </c>
      <c r="E6" s="89">
        <v>0.13541666666666666</v>
      </c>
      <c r="F6" s="90">
        <f t="shared" si="0"/>
        <v>0.9375</v>
      </c>
      <c r="G6" s="90">
        <f t="shared" si="0"/>
        <v>4.0625</v>
      </c>
      <c r="H6" s="86"/>
      <c r="I6" s="88" t="s">
        <v>191</v>
      </c>
      <c r="J6" s="91">
        <v>20</v>
      </c>
      <c r="K6" s="86"/>
      <c r="L6" s="29" t="s">
        <v>27</v>
      </c>
      <c r="M6" s="92">
        <v>11</v>
      </c>
      <c r="N6" s="93">
        <f>'BE - Granja Silva'!S25</f>
        <v>324.7506849315069</v>
      </c>
      <c r="O6" s="68">
        <f>(M6/1000)*N6</f>
        <v>3.5722575342465754</v>
      </c>
    </row>
    <row r="7" spans="2:15" x14ac:dyDescent="0.25">
      <c r="B7" s="180" t="s">
        <v>192</v>
      </c>
      <c r="C7" s="180"/>
      <c r="D7" s="89">
        <v>3.1944444444444449E-2</v>
      </c>
      <c r="E7" s="89">
        <v>0.21180555555555555</v>
      </c>
      <c r="F7" s="90">
        <f t="shared" si="0"/>
        <v>0.95833333333333348</v>
      </c>
      <c r="G7" s="90">
        <f t="shared" si="0"/>
        <v>6.3541666666666661</v>
      </c>
      <c r="H7" s="86"/>
      <c r="I7" s="88" t="s">
        <v>192</v>
      </c>
      <c r="J7" s="91">
        <v>20</v>
      </c>
      <c r="K7" s="86"/>
      <c r="L7" s="29" t="s">
        <v>56</v>
      </c>
      <c r="M7" s="92">
        <v>18</v>
      </c>
      <c r="N7" s="93">
        <f>'BE - Granja Silva'!S26</f>
        <v>0</v>
      </c>
      <c r="O7" s="68">
        <f>(M7/1000)*N7</f>
        <v>0</v>
      </c>
    </row>
    <row r="8" spans="2:15" x14ac:dyDescent="0.25">
      <c r="B8" s="180" t="s">
        <v>193</v>
      </c>
      <c r="C8" s="180"/>
      <c r="D8" s="89">
        <v>4.8611111111111112E-2</v>
      </c>
      <c r="E8" s="89">
        <v>0.21944444444444444</v>
      </c>
      <c r="F8" s="90">
        <f t="shared" si="0"/>
        <v>1.4583333333333335</v>
      </c>
      <c r="G8" s="90">
        <f t="shared" si="0"/>
        <v>6.583333333333333</v>
      </c>
      <c r="H8" s="86"/>
      <c r="I8" s="88" t="s">
        <v>193</v>
      </c>
      <c r="J8" s="91">
        <f>30*(60/40)</f>
        <v>45</v>
      </c>
      <c r="K8" s="86"/>
      <c r="L8" s="29" t="s">
        <v>93</v>
      </c>
      <c r="M8" s="92">
        <v>6</v>
      </c>
      <c r="N8" s="93">
        <f>'BE - Granja Silva'!S27</f>
        <v>3.3479452054794523</v>
      </c>
      <c r="O8" s="68">
        <f>(M8/1000)*N8</f>
        <v>2.0087671232876716E-2</v>
      </c>
    </row>
    <row r="9" spans="2:15" ht="28.5" x14ac:dyDescent="0.25">
      <c r="B9" s="180" t="s">
        <v>194</v>
      </c>
      <c r="C9" s="180"/>
      <c r="D9" s="89">
        <v>1.7361111111111112E-2</v>
      </c>
      <c r="E9" s="89">
        <v>9.0277777777777776E-2</v>
      </c>
      <c r="F9" s="90">
        <f t="shared" si="0"/>
        <v>0.52083333333333337</v>
      </c>
      <c r="G9" s="90">
        <f t="shared" si="0"/>
        <v>2.708333333333333</v>
      </c>
      <c r="H9" s="86"/>
      <c r="I9" s="88" t="s">
        <v>194</v>
      </c>
      <c r="J9" s="91">
        <v>15</v>
      </c>
      <c r="K9" s="86"/>
      <c r="L9" s="29" t="s">
        <v>195</v>
      </c>
      <c r="M9" s="92">
        <v>0.95</v>
      </c>
      <c r="N9" s="93">
        <f>'BE - Granja Silva'!S28+'BE - Granja Silva'!S29</f>
        <v>507.25739726027399</v>
      </c>
      <c r="O9" s="68">
        <f>(M9/1000)*N9</f>
        <v>0.4818945273972603</v>
      </c>
    </row>
    <row r="10" spans="2:15" x14ac:dyDescent="0.25">
      <c r="B10" s="180" t="s">
        <v>196</v>
      </c>
      <c r="C10" s="180"/>
      <c r="D10" s="89">
        <v>3.1944444444444449E-2</v>
      </c>
      <c r="E10" s="89">
        <v>0.13194444444444445</v>
      </c>
      <c r="F10" s="90">
        <f t="shared" si="0"/>
        <v>0.95833333333333348</v>
      </c>
      <c r="G10" s="90">
        <f t="shared" si="0"/>
        <v>3.9583333333333339</v>
      </c>
      <c r="H10" s="86"/>
      <c r="I10" s="88" t="s">
        <v>196</v>
      </c>
      <c r="J10" s="91">
        <v>15</v>
      </c>
      <c r="K10" s="86"/>
      <c r="L10" s="170" t="s">
        <v>197</v>
      </c>
      <c r="M10" s="170"/>
      <c r="N10" s="170"/>
      <c r="O10" s="94">
        <f>SUM(O5:O9)</f>
        <v>4.0742397328767126</v>
      </c>
    </row>
    <row r="11" spans="2:15" x14ac:dyDescent="0.25">
      <c r="B11" s="180" t="s">
        <v>14</v>
      </c>
      <c r="C11" s="180"/>
      <c r="D11" s="89">
        <v>2.4305555555555556E-2</v>
      </c>
      <c r="E11" s="89">
        <v>0.10972222222222222</v>
      </c>
      <c r="F11" s="90">
        <f t="shared" si="0"/>
        <v>0.72916666666666674</v>
      </c>
      <c r="G11" s="90">
        <f t="shared" si="0"/>
        <v>3.2916666666666665</v>
      </c>
      <c r="H11" s="86"/>
      <c r="I11" s="88" t="s">
        <v>14</v>
      </c>
      <c r="J11" s="91">
        <v>12</v>
      </c>
      <c r="K11" s="86"/>
      <c r="L11" s="53"/>
      <c r="M11" s="53"/>
      <c r="N11" s="86"/>
      <c r="O11" s="86"/>
    </row>
    <row r="12" spans="2:15" x14ac:dyDescent="0.25">
      <c r="B12" s="180" t="s">
        <v>198</v>
      </c>
      <c r="C12" s="180"/>
      <c r="D12" s="89">
        <v>4.1666666666666664E-2</v>
      </c>
      <c r="E12" s="89">
        <v>0.18055555555555555</v>
      </c>
      <c r="F12" s="90">
        <f t="shared" si="0"/>
        <v>1.25</v>
      </c>
      <c r="G12" s="90">
        <f t="shared" si="0"/>
        <v>5.4166666666666661</v>
      </c>
      <c r="H12" s="86"/>
      <c r="I12" s="88" t="s">
        <v>198</v>
      </c>
      <c r="J12" s="91">
        <v>35</v>
      </c>
      <c r="K12" s="86"/>
      <c r="L12" s="53"/>
      <c r="M12" s="53"/>
      <c r="N12" s="86"/>
      <c r="O12" s="86"/>
    </row>
    <row r="13" spans="2:15" x14ac:dyDescent="0.25">
      <c r="B13" s="180" t="s">
        <v>199</v>
      </c>
      <c r="C13" s="180"/>
      <c r="D13" s="89">
        <v>2.4305555555555556E-2</v>
      </c>
      <c r="E13" s="89">
        <v>0.16458333333333333</v>
      </c>
      <c r="F13" s="90">
        <f t="shared" si="0"/>
        <v>0.72916666666666674</v>
      </c>
      <c r="G13" s="90">
        <f t="shared" si="0"/>
        <v>4.9375</v>
      </c>
      <c r="H13" s="86"/>
      <c r="I13" s="88" t="s">
        <v>199</v>
      </c>
      <c r="J13" s="91">
        <v>20</v>
      </c>
      <c r="K13" s="86"/>
      <c r="L13" s="53"/>
      <c r="M13" s="53"/>
      <c r="N13" s="86"/>
      <c r="O13" s="86"/>
    </row>
    <row r="14" spans="2:15" x14ac:dyDescent="0.25">
      <c r="B14" s="180" t="s">
        <v>18</v>
      </c>
      <c r="C14" s="180"/>
      <c r="D14" s="89">
        <v>2.4305555555555556E-2</v>
      </c>
      <c r="E14" s="89">
        <v>0.1111111111111111</v>
      </c>
      <c r="F14" s="90">
        <f t="shared" si="0"/>
        <v>0.72916666666666674</v>
      </c>
      <c r="G14" s="90">
        <f t="shared" si="0"/>
        <v>3.333333333333333</v>
      </c>
      <c r="H14" s="86"/>
      <c r="I14" s="88" t="s">
        <v>18</v>
      </c>
      <c r="J14" s="91">
        <v>12</v>
      </c>
      <c r="K14" s="86"/>
      <c r="L14" s="53"/>
      <c r="M14" s="53"/>
      <c r="N14" s="86"/>
      <c r="O14" s="86"/>
    </row>
    <row r="15" spans="2:15" x14ac:dyDescent="0.25">
      <c r="B15" s="180" t="s">
        <v>200</v>
      </c>
      <c r="C15" s="180"/>
      <c r="D15" s="89">
        <v>1.7361111111111112E-2</v>
      </c>
      <c r="E15" s="89">
        <v>9.0277777777777776E-2</v>
      </c>
      <c r="F15" s="90">
        <f t="shared" si="0"/>
        <v>0.52083333333333337</v>
      </c>
      <c r="G15" s="90">
        <f t="shared" si="0"/>
        <v>2.708333333333333</v>
      </c>
      <c r="H15" s="86"/>
      <c r="I15" s="88" t="s">
        <v>200</v>
      </c>
      <c r="J15" s="91">
        <v>12</v>
      </c>
      <c r="K15" s="86"/>
      <c r="L15" s="53"/>
      <c r="M15" s="53"/>
      <c r="N15" s="86"/>
      <c r="O15" s="86"/>
    </row>
    <row r="16" spans="2:15" x14ac:dyDescent="0.25">
      <c r="B16" s="180" t="s">
        <v>201</v>
      </c>
      <c r="C16" s="180"/>
      <c r="D16" s="89">
        <v>2.2222222222222223E-2</v>
      </c>
      <c r="E16" s="89">
        <v>9.375E-2</v>
      </c>
      <c r="F16" s="90">
        <f t="shared" si="0"/>
        <v>0.66666666666666663</v>
      </c>
      <c r="G16" s="90">
        <f t="shared" si="0"/>
        <v>2.8125</v>
      </c>
      <c r="H16" s="86"/>
      <c r="I16" s="88" t="s">
        <v>201</v>
      </c>
      <c r="J16" s="91">
        <v>20</v>
      </c>
      <c r="K16" s="86"/>
      <c r="L16" s="53"/>
      <c r="M16" s="53"/>
      <c r="N16" s="86"/>
      <c r="O16" s="86"/>
    </row>
    <row r="17" spans="2:16" x14ac:dyDescent="0.25">
      <c r="B17" s="180" t="s">
        <v>19</v>
      </c>
      <c r="C17" s="180"/>
      <c r="D17" s="89">
        <v>3.1944444444444449E-2</v>
      </c>
      <c r="E17" s="89">
        <v>0.13194444444444445</v>
      </c>
      <c r="F17" s="90">
        <f t="shared" si="0"/>
        <v>0.95833333333333348</v>
      </c>
      <c r="G17" s="90">
        <f t="shared" si="0"/>
        <v>3.9583333333333339</v>
      </c>
      <c r="H17" s="86"/>
      <c r="I17" s="88" t="s">
        <v>19</v>
      </c>
      <c r="J17" s="91">
        <v>13</v>
      </c>
      <c r="K17" s="86"/>
      <c r="L17" s="53"/>
      <c r="M17" s="53"/>
      <c r="N17" s="86"/>
      <c r="O17" s="86"/>
    </row>
    <row r="19" spans="2:16" x14ac:dyDescent="0.25">
      <c r="B19" s="179" t="s">
        <v>202</v>
      </c>
      <c r="C19" s="179"/>
      <c r="D19" s="95">
        <v>1.25</v>
      </c>
      <c r="E19" s="96"/>
    </row>
    <row r="20" spans="2:16" x14ac:dyDescent="0.25">
      <c r="B20" s="179" t="s">
        <v>203</v>
      </c>
      <c r="C20" s="179"/>
      <c r="D20" s="89">
        <v>0</v>
      </c>
    </row>
    <row r="21" spans="2:16" x14ac:dyDescent="0.25">
      <c r="B21" s="179" t="s">
        <v>204</v>
      </c>
      <c r="C21" s="179"/>
      <c r="D21" s="93">
        <v>1016</v>
      </c>
    </row>
    <row r="22" spans="2:16" ht="15" thickBot="1" x14ac:dyDescent="0.3">
      <c r="B22" s="97"/>
      <c r="C22" s="97"/>
      <c r="D22" s="97"/>
      <c r="E22" s="97"/>
      <c r="F22" s="97"/>
      <c r="G22" s="97"/>
      <c r="H22" s="97"/>
      <c r="I22" s="97"/>
      <c r="J22" s="97"/>
      <c r="K22" s="97"/>
      <c r="L22" s="97"/>
      <c r="M22" s="97"/>
      <c r="N22" s="97"/>
      <c r="O22" s="97"/>
      <c r="P22" s="97"/>
    </row>
    <row r="23" spans="2:16" ht="15" thickTop="1" x14ac:dyDescent="0.25"/>
    <row r="24" spans="2:16" ht="21.75" customHeight="1" x14ac:dyDescent="0.25">
      <c r="B24" s="178" t="s">
        <v>205</v>
      </c>
      <c r="C24" s="178"/>
      <c r="D24" s="178"/>
      <c r="E24" s="178"/>
      <c r="F24" s="178"/>
      <c r="G24" s="178"/>
      <c r="H24" s="178"/>
      <c r="I24" s="178"/>
      <c r="J24" s="178"/>
      <c r="K24" s="178"/>
      <c r="L24" s="178"/>
      <c r="M24" s="178"/>
      <c r="N24" s="178"/>
      <c r="O24" s="178"/>
      <c r="P24" s="178"/>
    </row>
    <row r="25" spans="2:16" ht="18.75" customHeight="1" x14ac:dyDescent="0.25">
      <c r="B25" s="181" t="s">
        <v>17</v>
      </c>
      <c r="C25" s="181" t="s">
        <v>15</v>
      </c>
      <c r="D25" s="181" t="s">
        <v>206</v>
      </c>
      <c r="E25" s="181" t="s">
        <v>207</v>
      </c>
      <c r="F25" s="181"/>
      <c r="G25" s="181" t="s">
        <v>208</v>
      </c>
      <c r="H25" s="181"/>
      <c r="I25" s="181" t="s">
        <v>184</v>
      </c>
      <c r="J25" s="181" t="s">
        <v>185</v>
      </c>
      <c r="K25" s="181" t="s">
        <v>209</v>
      </c>
      <c r="L25" s="181" t="s">
        <v>210</v>
      </c>
      <c r="M25" s="178" t="s">
        <v>211</v>
      </c>
      <c r="N25" s="178"/>
      <c r="O25" s="178"/>
      <c r="P25" s="178"/>
    </row>
    <row r="26" spans="2:16" ht="42.75" x14ac:dyDescent="0.25">
      <c r="B26" s="181"/>
      <c r="C26" s="181"/>
      <c r="D26" s="181"/>
      <c r="E26" s="98" t="s">
        <v>212</v>
      </c>
      <c r="F26" s="98" t="s">
        <v>213</v>
      </c>
      <c r="G26" s="98" t="s">
        <v>212</v>
      </c>
      <c r="H26" s="98" t="s">
        <v>213</v>
      </c>
      <c r="I26" s="181"/>
      <c r="J26" s="181"/>
      <c r="K26" s="181"/>
      <c r="L26" s="181"/>
      <c r="M26" s="99" t="s">
        <v>214</v>
      </c>
      <c r="N26" s="99" t="s">
        <v>215</v>
      </c>
      <c r="O26" s="99" t="s">
        <v>216</v>
      </c>
      <c r="P26" s="99" t="s">
        <v>217</v>
      </c>
    </row>
    <row r="27" spans="2:16" x14ac:dyDescent="0.25">
      <c r="B27" s="88" t="s">
        <v>14</v>
      </c>
      <c r="C27" s="100"/>
      <c r="D27" s="101"/>
      <c r="E27" s="102"/>
      <c r="F27" s="103"/>
      <c r="G27" s="103"/>
      <c r="H27" s="103"/>
      <c r="I27" s="90">
        <f t="shared" ref="I27:I29" si="1">((F27-E27)-INT($D$20))*24</f>
        <v>0</v>
      </c>
      <c r="J27" s="90">
        <f t="shared" ref="J27:J29" si="2">((H27-G27)-INT($D$20))*24</f>
        <v>0</v>
      </c>
      <c r="K27" s="91">
        <f>VLOOKUP(B27,$B$5:$J$17,5,FALSE)</f>
        <v>0.72916666666666674</v>
      </c>
      <c r="L27" s="91">
        <f t="shared" ref="L27:L33" si="3">VLOOKUP(B27,$B$5:$J$17,6,FALSE)</f>
        <v>3.2916666666666665</v>
      </c>
      <c r="M27" s="29">
        <f>VLOOKUP(B27,$I$5:$J$17,2,FALSE)</f>
        <v>12</v>
      </c>
      <c r="N27" s="92">
        <f t="shared" ref="N27:N33" si="4">I27</f>
        <v>0</v>
      </c>
      <c r="O27" s="104">
        <f t="shared" ref="O27:O33" si="5">$D$21/1000</f>
        <v>1.016</v>
      </c>
      <c r="P27" s="105">
        <f t="array" ref="P27">IFERROR(P30M27*N27*O27*0.7,0)</f>
        <v>0</v>
      </c>
    </row>
    <row r="28" spans="2:16" x14ac:dyDescent="0.25">
      <c r="B28" s="88" t="s">
        <v>14</v>
      </c>
      <c r="C28" s="100"/>
      <c r="D28" s="101"/>
      <c r="E28" s="102"/>
      <c r="F28" s="103"/>
      <c r="G28" s="103"/>
      <c r="H28" s="103"/>
      <c r="I28" s="90">
        <f t="shared" si="1"/>
        <v>0</v>
      </c>
      <c r="J28" s="90">
        <f t="shared" si="2"/>
        <v>0</v>
      </c>
      <c r="K28" s="91">
        <f t="shared" ref="K28:K33" si="6">VLOOKUP(B28,$B$5:$J$17,5,FALSE)</f>
        <v>0.72916666666666674</v>
      </c>
      <c r="L28" s="91">
        <f t="shared" si="3"/>
        <v>3.2916666666666665</v>
      </c>
      <c r="M28" s="29">
        <f t="shared" ref="M28:M33" si="7">VLOOKUP(B28,$I$5:$J$17,2,FALSE)</f>
        <v>12</v>
      </c>
      <c r="N28" s="92">
        <f t="shared" si="4"/>
        <v>0</v>
      </c>
      <c r="O28" s="104">
        <f t="shared" si="5"/>
        <v>1.016</v>
      </c>
      <c r="P28" s="105">
        <f t="array" ref="P28">IFERROR(P30M27*N28*O28*0.7,0)</f>
        <v>0</v>
      </c>
    </row>
    <row r="29" spans="2:16" x14ac:dyDescent="0.25">
      <c r="B29" s="88" t="s">
        <v>14</v>
      </c>
      <c r="C29" s="100"/>
      <c r="D29" s="101"/>
      <c r="E29" s="102"/>
      <c r="F29" s="103"/>
      <c r="G29" s="103"/>
      <c r="H29" s="103"/>
      <c r="I29" s="90">
        <f t="shared" si="1"/>
        <v>0</v>
      </c>
      <c r="J29" s="90">
        <f t="shared" si="2"/>
        <v>0</v>
      </c>
      <c r="K29" s="91">
        <f t="shared" si="6"/>
        <v>0.72916666666666674</v>
      </c>
      <c r="L29" s="91">
        <f t="shared" si="3"/>
        <v>3.2916666666666665</v>
      </c>
      <c r="M29" s="29">
        <f t="shared" si="7"/>
        <v>12</v>
      </c>
      <c r="N29" s="92">
        <f t="shared" si="4"/>
        <v>0</v>
      </c>
      <c r="O29" s="104">
        <f t="shared" si="5"/>
        <v>1.016</v>
      </c>
      <c r="P29" s="105">
        <f t="array" ref="P29">IFERROR(P30M27*N29*O29*0.7,0)</f>
        <v>0</v>
      </c>
    </row>
    <row r="30" spans="2:16" x14ac:dyDescent="0.25">
      <c r="B30" s="88" t="s">
        <v>14</v>
      </c>
      <c r="C30" s="100"/>
      <c r="D30" s="101"/>
      <c r="E30" s="102"/>
      <c r="F30" s="103"/>
      <c r="G30" s="103"/>
      <c r="H30" s="103"/>
      <c r="I30" s="90">
        <f>((F30-E30)-INT($D$20))*24</f>
        <v>0</v>
      </c>
      <c r="J30" s="90">
        <f>((H30-G30)-INT($D$20))*24</f>
        <v>0</v>
      </c>
      <c r="K30" s="91">
        <f t="shared" si="6"/>
        <v>0.72916666666666674</v>
      </c>
      <c r="L30" s="91">
        <f t="shared" si="3"/>
        <v>3.2916666666666665</v>
      </c>
      <c r="M30" s="29">
        <f t="shared" si="7"/>
        <v>12</v>
      </c>
      <c r="N30" s="92">
        <f t="shared" si="4"/>
        <v>0</v>
      </c>
      <c r="O30" s="104">
        <f t="shared" si="5"/>
        <v>1.016</v>
      </c>
      <c r="P30" s="105">
        <f t="array" ref="P30">IFERROR(P30M27*N30*O30*0.7,0)</f>
        <v>0</v>
      </c>
    </row>
    <row r="31" spans="2:16" x14ac:dyDescent="0.25">
      <c r="B31" s="88" t="s">
        <v>14</v>
      </c>
      <c r="C31" s="100"/>
      <c r="D31" s="101"/>
      <c r="E31" s="102"/>
      <c r="F31" s="103"/>
      <c r="G31" s="103"/>
      <c r="H31" s="103"/>
      <c r="I31" s="90">
        <f t="shared" ref="I31:I33" si="8">((F31-E31)-INT($D$20))*24</f>
        <v>0</v>
      </c>
      <c r="J31" s="90">
        <f t="shared" ref="J31:J33" si="9">((H31-G31)-INT($D$20))*24</f>
        <v>0</v>
      </c>
      <c r="K31" s="91">
        <f t="shared" si="6"/>
        <v>0.72916666666666674</v>
      </c>
      <c r="L31" s="91">
        <f t="shared" si="3"/>
        <v>3.2916666666666665</v>
      </c>
      <c r="M31" s="29">
        <f t="shared" si="7"/>
        <v>12</v>
      </c>
      <c r="N31" s="92">
        <f t="shared" si="4"/>
        <v>0</v>
      </c>
      <c r="O31" s="104">
        <f t="shared" si="5"/>
        <v>1.016</v>
      </c>
      <c r="P31" s="105">
        <f t="array" ref="P31">IFERROR(P30M27*N31*O31*0.7,0)</f>
        <v>0</v>
      </c>
    </row>
    <row r="32" spans="2:16" x14ac:dyDescent="0.25">
      <c r="B32" s="88" t="s">
        <v>14</v>
      </c>
      <c r="C32" s="100"/>
      <c r="D32" s="101"/>
      <c r="E32" s="102"/>
      <c r="F32" s="103"/>
      <c r="G32" s="103"/>
      <c r="H32" s="103"/>
      <c r="I32" s="90">
        <f t="shared" si="8"/>
        <v>0</v>
      </c>
      <c r="J32" s="90">
        <f t="shared" si="9"/>
        <v>0</v>
      </c>
      <c r="K32" s="91">
        <f t="shared" si="6"/>
        <v>0.72916666666666674</v>
      </c>
      <c r="L32" s="91">
        <f t="shared" si="3"/>
        <v>3.2916666666666665</v>
      </c>
      <c r="M32" s="29">
        <f t="shared" si="7"/>
        <v>12</v>
      </c>
      <c r="N32" s="92">
        <f t="shared" si="4"/>
        <v>0</v>
      </c>
      <c r="O32" s="104">
        <f t="shared" si="5"/>
        <v>1.016</v>
      </c>
      <c r="P32" s="105">
        <f t="array" ref="P32">IFERROR(P30M27*N32*O32*0.7,0)</f>
        <v>0</v>
      </c>
    </row>
    <row r="33" spans="2:16" x14ac:dyDescent="0.25">
      <c r="B33" s="88" t="s">
        <v>14</v>
      </c>
      <c r="C33" s="100"/>
      <c r="D33" s="101"/>
      <c r="E33" s="102"/>
      <c r="F33" s="103"/>
      <c r="G33" s="103"/>
      <c r="H33" s="103"/>
      <c r="I33" s="90">
        <f t="shared" si="8"/>
        <v>0</v>
      </c>
      <c r="J33" s="90">
        <f t="shared" si="9"/>
        <v>0</v>
      </c>
      <c r="K33" s="91">
        <f t="shared" si="6"/>
        <v>0.72916666666666674</v>
      </c>
      <c r="L33" s="91">
        <f t="shared" si="3"/>
        <v>3.2916666666666665</v>
      </c>
      <c r="M33" s="29">
        <f t="shared" si="7"/>
        <v>12</v>
      </c>
      <c r="N33" s="92">
        <f t="shared" si="4"/>
        <v>0</v>
      </c>
      <c r="O33" s="104">
        <f t="shared" si="5"/>
        <v>1.016</v>
      </c>
      <c r="P33" s="105">
        <f t="array" ref="P33">IFERROR(P30M27*N33*O33*0.7,0)</f>
        <v>0</v>
      </c>
    </row>
    <row r="34" spans="2:16" ht="15" thickBot="1" x14ac:dyDescent="0.3">
      <c r="B34" s="88" t="s">
        <v>14</v>
      </c>
      <c r="C34" s="97"/>
      <c r="D34" s="97"/>
      <c r="E34" s="97"/>
      <c r="F34" s="97"/>
      <c r="G34" s="97"/>
      <c r="H34" s="97"/>
      <c r="I34" s="97"/>
      <c r="J34" s="97"/>
      <c r="K34" s="97"/>
      <c r="L34" s="97"/>
      <c r="M34" s="97"/>
      <c r="N34" s="97"/>
      <c r="O34" s="97"/>
      <c r="P34" s="97"/>
    </row>
    <row r="35" spans="2:16" ht="15" thickTop="1" x14ac:dyDescent="0.25">
      <c r="P35" s="96"/>
    </row>
    <row r="36" spans="2:16" x14ac:dyDescent="0.25">
      <c r="B36" s="178" t="s">
        <v>183</v>
      </c>
      <c r="C36" s="178"/>
      <c r="D36" s="178"/>
      <c r="E36" s="178"/>
      <c r="F36" s="178"/>
      <c r="G36" s="178"/>
      <c r="H36" s="178"/>
      <c r="I36" s="178"/>
      <c r="J36" s="178"/>
      <c r="K36" s="178"/>
      <c r="L36" s="178"/>
      <c r="M36" s="70"/>
      <c r="N36" s="70"/>
      <c r="O36" s="70"/>
      <c r="P36" s="70"/>
    </row>
    <row r="37" spans="2:16" ht="15.75" x14ac:dyDescent="0.25">
      <c r="B37" s="148" t="s">
        <v>17</v>
      </c>
      <c r="C37" s="148"/>
      <c r="D37" s="148" t="s">
        <v>218</v>
      </c>
      <c r="E37" s="148"/>
      <c r="F37" s="148"/>
      <c r="G37" s="148" t="s">
        <v>219</v>
      </c>
      <c r="H37" s="148"/>
      <c r="I37" s="148"/>
      <c r="J37" s="148" t="s">
        <v>220</v>
      </c>
      <c r="K37" s="148"/>
      <c r="L37" s="148"/>
    </row>
    <row r="38" spans="2:16" ht="71.25" x14ac:dyDescent="0.25">
      <c r="B38" s="148"/>
      <c r="C38" s="148"/>
      <c r="D38" s="107" t="s">
        <v>221</v>
      </c>
      <c r="E38" s="107" t="s">
        <v>222</v>
      </c>
      <c r="F38" s="107" t="s">
        <v>223</v>
      </c>
      <c r="G38" s="107" t="s">
        <v>224</v>
      </c>
      <c r="H38" s="107" t="s">
        <v>225</v>
      </c>
      <c r="I38" s="107" t="s">
        <v>226</v>
      </c>
      <c r="J38" s="107" t="s">
        <v>227</v>
      </c>
      <c r="K38" s="107" t="s">
        <v>228</v>
      </c>
      <c r="L38" s="107" t="s">
        <v>229</v>
      </c>
    </row>
    <row r="39" spans="2:16" x14ac:dyDescent="0.25">
      <c r="B39" s="180" t="str">
        <f>B11</f>
        <v>Fazenda Granja Silva</v>
      </c>
      <c r="C39" s="180"/>
      <c r="D39" s="68">
        <f>AVERAGE(I27:I33)</f>
        <v>0</v>
      </c>
      <c r="E39" s="92">
        <f>VLOOKUP(B39,$B$5:$J$17,5,FALSE)</f>
        <v>0.72916666666666674</v>
      </c>
      <c r="F39" s="108">
        <f>LARGE(D39:E39,1)</f>
        <v>0.72916666666666674</v>
      </c>
      <c r="G39" s="68">
        <f>AVERAGE(J27:J33)</f>
        <v>0</v>
      </c>
      <c r="H39" s="68">
        <f>VLOOKUP(B39,$B$5:$J$17,6,FALSE)</f>
        <v>3.2916666666666665</v>
      </c>
      <c r="I39" s="109">
        <f>LARGE(G39:H39,1)</f>
        <v>3.2916666666666665</v>
      </c>
      <c r="J39" s="68">
        <f>AVERAGE(P27:P33)</f>
        <v>0</v>
      </c>
      <c r="K39" s="68">
        <f>O10</f>
        <v>4.0742397328767126</v>
      </c>
      <c r="L39" s="109">
        <f>LARGE(J39:K39,1)</f>
        <v>4.0742397328767126</v>
      </c>
    </row>
    <row r="796" spans="17:18" x14ac:dyDescent="0.25">
      <c r="Q796" s="70"/>
      <c r="R796" s="70"/>
    </row>
    <row r="797" spans="17:18" x14ac:dyDescent="0.25">
      <c r="Q797" s="70"/>
      <c r="R797" s="70"/>
    </row>
    <row r="798" spans="17:18" x14ac:dyDescent="0.25">
      <c r="Q798" s="70"/>
      <c r="R798" s="70"/>
    </row>
    <row r="799" spans="17:18" ht="15" customHeight="1" x14ac:dyDescent="0.25"/>
  </sheetData>
  <mergeCells count="41">
    <mergeCell ref="B39:C39"/>
    <mergeCell ref="J25:J26"/>
    <mergeCell ref="K25:K26"/>
    <mergeCell ref="L25:L26"/>
    <mergeCell ref="M25:P25"/>
    <mergeCell ref="B36:L36"/>
    <mergeCell ref="B37:C38"/>
    <mergeCell ref="D37:F37"/>
    <mergeCell ref="G37:I37"/>
    <mergeCell ref="J37:L37"/>
    <mergeCell ref="B25:B26"/>
    <mergeCell ref="C25:C26"/>
    <mergeCell ref="D25:D26"/>
    <mergeCell ref="E25:F25"/>
    <mergeCell ref="G25:H25"/>
    <mergeCell ref="I25:I26"/>
    <mergeCell ref="B24:P24"/>
    <mergeCell ref="L10:N10"/>
    <mergeCell ref="B11:C11"/>
    <mergeCell ref="B12:C12"/>
    <mergeCell ref="B13:C13"/>
    <mergeCell ref="B14:C14"/>
    <mergeCell ref="B15:C15"/>
    <mergeCell ref="B10:C10"/>
    <mergeCell ref="B16:C16"/>
    <mergeCell ref="B17:C17"/>
    <mergeCell ref="B19:C19"/>
    <mergeCell ref="B20:C20"/>
    <mergeCell ref="B21:C21"/>
    <mergeCell ref="B5:C5"/>
    <mergeCell ref="B6:C6"/>
    <mergeCell ref="B7:C7"/>
    <mergeCell ref="B8:C8"/>
    <mergeCell ref="B9:C9"/>
    <mergeCell ref="B1:O1"/>
    <mergeCell ref="B2:G2"/>
    <mergeCell ref="I2:J3"/>
    <mergeCell ref="L2:O3"/>
    <mergeCell ref="B3:C4"/>
    <mergeCell ref="D3:E3"/>
    <mergeCell ref="F3:G3"/>
  </mergeCells>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B3957"/>
  </sheetPr>
  <dimension ref="B1:AB76"/>
  <sheetViews>
    <sheetView showGridLines="0" zoomScale="80" zoomScaleNormal="80" workbookViewId="0">
      <selection activeCell="B2" sqref="B2:M2"/>
    </sheetView>
  </sheetViews>
  <sheetFormatPr defaultRowHeight="14.25" outlineLevelRow="1" x14ac:dyDescent="0.25"/>
  <cols>
    <col min="1" max="1" width="3.42578125" style="1" customWidth="1"/>
    <col min="2" max="2" width="22.42578125" style="1" customWidth="1"/>
    <col min="3" max="3" width="23.42578125" style="1" bestFit="1" customWidth="1"/>
    <col min="4" max="4" width="22.42578125" style="1" customWidth="1"/>
    <col min="5" max="5" width="10.85546875" style="1" customWidth="1"/>
    <col min="6" max="7" width="10.7109375" style="1" customWidth="1"/>
    <col min="8" max="8" width="8.7109375" style="1" customWidth="1"/>
    <col min="9" max="9" width="22" style="4" bestFit="1" customWidth="1"/>
    <col min="10" max="10" width="14.140625" style="4" customWidth="1"/>
    <col min="11" max="11" width="12.28515625" style="1" customWidth="1"/>
    <col min="12" max="14" width="10.7109375" style="1" customWidth="1"/>
    <col min="15" max="15" width="46.28515625" style="1" customWidth="1"/>
    <col min="16" max="18" width="19.140625" style="1" customWidth="1"/>
    <col min="19" max="21" width="11.7109375" style="1" customWidth="1"/>
    <col min="22" max="22" width="10.42578125" style="1" customWidth="1"/>
    <col min="23" max="23" width="11.7109375" style="1" customWidth="1"/>
    <col min="24" max="24" width="36.85546875" style="4" customWidth="1"/>
    <col min="25" max="25" width="32.28515625" style="1" customWidth="1"/>
    <col min="26" max="28" width="10.7109375" style="1" customWidth="1"/>
    <col min="29" max="16384" width="9.140625" style="1"/>
  </cols>
  <sheetData>
    <row r="1" spans="2:28" x14ac:dyDescent="0.25">
      <c r="B1" s="2"/>
      <c r="C1" s="2"/>
      <c r="D1" s="2"/>
      <c r="E1" s="2"/>
      <c r="F1" s="2"/>
      <c r="G1" s="2"/>
      <c r="H1" s="2"/>
      <c r="I1" s="3"/>
      <c r="J1" s="3"/>
      <c r="K1" s="2"/>
      <c r="L1" s="2"/>
      <c r="M1" s="2"/>
      <c r="N1" s="2"/>
      <c r="O1" s="2"/>
      <c r="P1" s="2"/>
      <c r="Q1" s="2"/>
      <c r="R1" s="2"/>
      <c r="S1" s="2"/>
      <c r="T1" s="2"/>
    </row>
    <row r="2" spans="2:28" ht="15.75" customHeight="1" x14ac:dyDescent="0.25">
      <c r="B2" s="157" t="s">
        <v>43</v>
      </c>
      <c r="C2" s="157"/>
      <c r="D2" s="157"/>
      <c r="E2" s="157"/>
      <c r="F2" s="157"/>
      <c r="G2" s="157"/>
      <c r="H2" s="157"/>
      <c r="I2" s="157"/>
      <c r="J2" s="157"/>
      <c r="K2" s="157"/>
      <c r="L2" s="157"/>
      <c r="M2" s="157"/>
      <c r="N2" s="2"/>
    </row>
    <row r="3" spans="2:28" ht="15.75" outlineLevel="1" x14ac:dyDescent="0.25">
      <c r="B3" s="156" t="s">
        <v>11</v>
      </c>
      <c r="C3" s="157" t="s">
        <v>3</v>
      </c>
      <c r="D3" s="157" t="s">
        <v>23</v>
      </c>
      <c r="E3" s="8" t="s">
        <v>33</v>
      </c>
      <c r="F3" s="8" t="s">
        <v>34</v>
      </c>
      <c r="G3" s="8" t="s">
        <v>35</v>
      </c>
      <c r="H3" s="8" t="s">
        <v>36</v>
      </c>
      <c r="I3" s="8" t="s">
        <v>37</v>
      </c>
      <c r="J3" s="8" t="s">
        <v>38</v>
      </c>
      <c r="K3" s="8" t="s">
        <v>32</v>
      </c>
      <c r="L3" s="8" t="s">
        <v>39</v>
      </c>
      <c r="M3" s="8" t="s">
        <v>40</v>
      </c>
      <c r="N3" s="2"/>
    </row>
    <row r="4" spans="2:28" ht="15.75" customHeight="1" outlineLevel="1" x14ac:dyDescent="0.25">
      <c r="B4" s="156"/>
      <c r="C4" s="157"/>
      <c r="D4" s="157"/>
      <c r="E4" s="8" t="s">
        <v>25</v>
      </c>
      <c r="F4" s="8" t="s">
        <v>25</v>
      </c>
      <c r="G4" s="8" t="s">
        <v>25</v>
      </c>
      <c r="H4" s="8" t="s">
        <v>1</v>
      </c>
      <c r="I4" s="8" t="s">
        <v>0</v>
      </c>
      <c r="J4" s="8" t="s">
        <v>25</v>
      </c>
      <c r="K4" s="8" t="s">
        <v>8</v>
      </c>
      <c r="L4" s="8" t="s">
        <v>9</v>
      </c>
      <c r="M4" s="8" t="s">
        <v>8</v>
      </c>
      <c r="N4" s="2"/>
    </row>
    <row r="5" spans="2:28" outlineLevel="1" x14ac:dyDescent="0.25">
      <c r="B5" s="9" t="s">
        <v>12</v>
      </c>
      <c r="C5" s="9" t="s">
        <v>5</v>
      </c>
      <c r="D5" s="9" t="s">
        <v>24</v>
      </c>
      <c r="E5" s="10">
        <f>'BE - Altenor'!$Q$21</f>
        <v>99.361774744027301</v>
      </c>
      <c r="F5" s="10">
        <f>'BE - Altenor'!$Q$12</f>
        <v>4395</v>
      </c>
      <c r="G5" s="10">
        <f>'BE - Altenor'!$Q$30</f>
        <v>1196.4246575342465</v>
      </c>
      <c r="H5" s="10">
        <f>'BE - Altenor'!$Q$39</f>
        <v>82.067769624573387</v>
      </c>
      <c r="I5" s="10">
        <f>'BE - Altenor'!$Q$48</f>
        <v>194.32475450390058</v>
      </c>
      <c r="J5" s="10">
        <f>'BE - Altenor'!$Q$51</f>
        <v>221</v>
      </c>
      <c r="K5" s="10">
        <f>((450/12)*6)*0.25</f>
        <v>56.25</v>
      </c>
      <c r="L5" s="10">
        <f>'PE - Altenor'!$K$13</f>
        <v>10.768602541666667</v>
      </c>
      <c r="M5" s="10">
        <f>'PE - Altenor'!$R$6</f>
        <v>1433.3862911475512</v>
      </c>
      <c r="N5" s="2"/>
      <c r="AB5" s="5"/>
    </row>
    <row r="6" spans="2:28" outlineLevel="1" x14ac:dyDescent="0.25">
      <c r="B6" s="161" t="s">
        <v>14</v>
      </c>
      <c r="C6" s="161" t="s">
        <v>7</v>
      </c>
      <c r="D6" s="11" t="s">
        <v>26</v>
      </c>
      <c r="E6" s="12">
        <f>'BE - Granja Silva'!$Q$15</f>
        <v>0</v>
      </c>
      <c r="F6" s="12">
        <f>'BE - Granja Silva'!$Q$6</f>
        <v>0</v>
      </c>
      <c r="G6" s="12">
        <f>'BE - Granja Silva'!$Q$24</f>
        <v>0</v>
      </c>
      <c r="H6" s="12">
        <f>'BE - Granja Silva'!$Q$33</f>
        <v>0</v>
      </c>
      <c r="I6" s="13">
        <f>'BE - Granja Silva'!$Q$42</f>
        <v>0</v>
      </c>
      <c r="J6" s="14">
        <v>0</v>
      </c>
      <c r="K6" s="167">
        <f>((300/12)*6)</f>
        <v>150</v>
      </c>
      <c r="L6" s="168">
        <f>'PE - Granja Silva'!$K$13</f>
        <v>8.2278533750000005</v>
      </c>
      <c r="M6" s="167">
        <f>'PE - Granja Silva'!$R$6</f>
        <v>884.11002203424664</v>
      </c>
      <c r="N6" s="2"/>
      <c r="AB6" s="6"/>
    </row>
    <row r="7" spans="2:28" outlineLevel="1" x14ac:dyDescent="0.25">
      <c r="B7" s="161"/>
      <c r="C7" s="161"/>
      <c r="D7" s="11" t="s">
        <v>27</v>
      </c>
      <c r="E7" s="12">
        <f>'BE - Granja Silva'!$Q$16</f>
        <v>245</v>
      </c>
      <c r="F7" s="12">
        <f>'BE - Granja Silva'!$Q$7</f>
        <v>388</v>
      </c>
      <c r="G7" s="12">
        <f>'BE - Granja Silva'!$Q$25</f>
        <v>260.43835616438361</v>
      </c>
      <c r="H7" s="12">
        <f>'BE - Granja Silva'!$Q$34</f>
        <v>28</v>
      </c>
      <c r="I7" s="13">
        <f>'BE - Granja Silva'!$Q$43</f>
        <v>73.5</v>
      </c>
      <c r="J7" s="14">
        <f>'BE - Granja Silva'!$Q$52</f>
        <v>245</v>
      </c>
      <c r="K7" s="167"/>
      <c r="L7" s="168"/>
      <c r="M7" s="167"/>
      <c r="N7" s="2"/>
      <c r="AB7" s="6"/>
    </row>
    <row r="8" spans="2:28" outlineLevel="1" x14ac:dyDescent="0.25">
      <c r="B8" s="161"/>
      <c r="C8" s="161"/>
      <c r="D8" s="11" t="s">
        <v>28</v>
      </c>
      <c r="E8" s="12">
        <f>'BE - Granja Silva'!$Q$17</f>
        <v>0</v>
      </c>
      <c r="F8" s="12">
        <f>'BE - Granja Silva'!$Q$8</f>
        <v>0</v>
      </c>
      <c r="G8" s="12">
        <f>'BE - Granja Silva'!$Q$26</f>
        <v>0</v>
      </c>
      <c r="H8" s="12">
        <f>'BE - Granja Silva'!$Q$35</f>
        <v>0</v>
      </c>
      <c r="I8" s="13">
        <f>'BE - Granja Silva'!$Q$44</f>
        <v>0</v>
      </c>
      <c r="J8" s="14">
        <v>0</v>
      </c>
      <c r="K8" s="167"/>
      <c r="L8" s="168"/>
      <c r="M8" s="167"/>
      <c r="N8" s="2"/>
      <c r="AB8" s="6"/>
    </row>
    <row r="9" spans="2:28" outlineLevel="1" x14ac:dyDescent="0.25">
      <c r="B9" s="161"/>
      <c r="C9" s="161"/>
      <c r="D9" s="11" t="s">
        <v>29</v>
      </c>
      <c r="E9" s="12">
        <f>'BE - Granja Silva'!$Q$18</f>
        <v>245</v>
      </c>
      <c r="F9" s="12">
        <f>'BE - Granja Silva'!$Q$9</f>
        <v>4</v>
      </c>
      <c r="G9" s="12">
        <f>'BE - Granja Silva'!$Q$27</f>
        <v>2.6849315068493151</v>
      </c>
      <c r="H9" s="12">
        <f>'BE - Granja Silva'!$Q$36</f>
        <v>28</v>
      </c>
      <c r="I9" s="13">
        <f>'BE - Granja Silva'!$Q$45</f>
        <v>73.5</v>
      </c>
      <c r="J9" s="14">
        <f>'BE - Granja Silva'!$Q$53</f>
        <v>245</v>
      </c>
      <c r="K9" s="167"/>
      <c r="L9" s="168"/>
      <c r="M9" s="167"/>
      <c r="N9" s="2"/>
      <c r="AB9" s="6"/>
    </row>
    <row r="10" spans="2:28" outlineLevel="1" x14ac:dyDescent="0.25">
      <c r="B10" s="161"/>
      <c r="C10" s="161"/>
      <c r="D10" s="11" t="s">
        <v>30</v>
      </c>
      <c r="E10" s="12">
        <f>'BE - Granja Silva'!$Q$19</f>
        <v>27.100918582882585</v>
      </c>
      <c r="F10" s="12">
        <f>'BE - Granja Silva'!$Q$10</f>
        <v>5234.7714285714292</v>
      </c>
      <c r="G10" s="12">
        <f>'BE - Granja Silva'!$Q$28</f>
        <v>388.67702544031306</v>
      </c>
      <c r="H10" s="37">
        <f>'BE - Granja Silva'!$Q$37</f>
        <v>4.2499999999999991</v>
      </c>
      <c r="I10" s="13">
        <f>'BE - Granja Silva'!$Q$46</f>
        <v>9.8812499999999961</v>
      </c>
      <c r="J10" s="14">
        <f>'BE - Granja Silva'!$Q$51</f>
        <v>217</v>
      </c>
      <c r="K10" s="167"/>
      <c r="L10" s="168"/>
      <c r="M10" s="167"/>
      <c r="N10" s="2"/>
      <c r="AB10" s="6"/>
    </row>
    <row r="11" spans="2:28" ht="15" customHeight="1" outlineLevel="1" x14ac:dyDescent="0.25">
      <c r="B11" s="154" t="s">
        <v>55</v>
      </c>
      <c r="C11" s="154" t="s">
        <v>57</v>
      </c>
      <c r="D11" s="11" t="s">
        <v>56</v>
      </c>
      <c r="E11" s="12">
        <f>'BE - Ramella'!$Q$17</f>
        <v>17.76555023923445</v>
      </c>
      <c r="F11" s="12">
        <f>'BE - Ramella'!$Q$8</f>
        <v>209</v>
      </c>
      <c r="G11" s="12">
        <f>'BE - Ramella'!$Q$26</f>
        <v>10.172602739726027</v>
      </c>
      <c r="H11" s="12">
        <f>'BE - Ramella'!$Q$35</f>
        <v>120.44572009569379</v>
      </c>
      <c r="I11" s="13">
        <f>'BE - Ramella'!$Q$44</f>
        <v>223.25474546308959</v>
      </c>
      <c r="J11" s="33">
        <f>'BE - Ramella'!$Q$51</f>
        <v>173</v>
      </c>
      <c r="K11" s="152">
        <v>250</v>
      </c>
      <c r="L11" s="158">
        <f>'PE - Ramella'!$K$13</f>
        <v>6.6337570833333332</v>
      </c>
      <c r="M11" s="152">
        <f>'PE - Ramella'!$R$6</f>
        <v>806.55123904109587</v>
      </c>
      <c r="N11" s="2"/>
      <c r="AB11" s="6"/>
    </row>
    <row r="12" spans="2:28" outlineLevel="1" x14ac:dyDescent="0.25">
      <c r="B12" s="155"/>
      <c r="C12" s="155"/>
      <c r="D12" s="9" t="s">
        <v>24</v>
      </c>
      <c r="E12" s="10">
        <f>'BE - Ramella'!$Q$21</f>
        <v>82.041595049845313</v>
      </c>
      <c r="F12" s="10">
        <f>'BE - Ramella'!$Q$12</f>
        <v>2909</v>
      </c>
      <c r="G12" s="10">
        <f>'BE - Ramella'!$Q$30</f>
        <v>653.86027397260273</v>
      </c>
      <c r="H12" s="10">
        <f>'BE - Ramella'!$Q$39</f>
        <v>98.7218767617738</v>
      </c>
      <c r="I12" s="10">
        <f>'BE - Ramella'!$Q$48</f>
        <v>182.98805014057359</v>
      </c>
      <c r="J12" s="34">
        <f>'BE - Ramella'!$Q$52</f>
        <v>173</v>
      </c>
      <c r="K12" s="153"/>
      <c r="L12" s="159"/>
      <c r="M12" s="153"/>
      <c r="N12" s="2"/>
      <c r="AB12" s="6"/>
    </row>
    <row r="13" spans="2:28" outlineLevel="1" x14ac:dyDescent="0.25">
      <c r="B13" s="9" t="s">
        <v>13</v>
      </c>
      <c r="C13" s="9" t="s">
        <v>6</v>
      </c>
      <c r="D13" s="9" t="s">
        <v>24</v>
      </c>
      <c r="E13" s="10">
        <f>'BE - Santa Lúcia'!$Q$21</f>
        <v>106.3427354976051</v>
      </c>
      <c r="F13" s="10">
        <f>'BE - Santa Lúcia'!$Q$12</f>
        <v>1879</v>
      </c>
      <c r="G13" s="10">
        <f>'BE - Santa Lúcia'!$Q$30</f>
        <v>547.44657534246574</v>
      </c>
      <c r="H13" s="10">
        <f>'BE - Santa Lúcia'!$Q$39</f>
        <v>85.114784273549759</v>
      </c>
      <c r="I13" s="10">
        <f>'BE - Santa Lúcia'!$Q$48</f>
        <v>209.74714695981905</v>
      </c>
      <c r="J13" s="10">
        <f>'BE - Santa Lúcia'!$Q$51</f>
        <v>230</v>
      </c>
      <c r="K13" s="14">
        <f>2880/1000</f>
        <v>2.88</v>
      </c>
      <c r="L13" s="39">
        <f>'PE - Santa Lúcia'!$K$13</f>
        <v>11.568449358292419</v>
      </c>
      <c r="M13" s="10">
        <f>'PE - Santa Lúcia'!$R$6</f>
        <v>3677.2696879432724</v>
      </c>
      <c r="N13" s="2"/>
      <c r="AB13" s="5"/>
    </row>
    <row r="14" spans="2:28" outlineLevel="1" x14ac:dyDescent="0.25">
      <c r="N14" s="2"/>
      <c r="AB14" s="5"/>
    </row>
    <row r="15" spans="2:28" outlineLevel="1" x14ac:dyDescent="0.25">
      <c r="N15" s="2"/>
    </row>
    <row r="16" spans="2:28" outlineLevel="1" x14ac:dyDescent="0.25">
      <c r="B16" s="157" t="s">
        <v>41</v>
      </c>
      <c r="C16" s="157"/>
      <c r="D16" s="157"/>
      <c r="E16" s="157"/>
      <c r="F16" s="157"/>
      <c r="G16" s="157"/>
      <c r="H16" s="157"/>
      <c r="I16" s="157"/>
      <c r="J16" s="157"/>
      <c r="K16" s="157"/>
      <c r="L16" s="157"/>
      <c r="M16" s="157"/>
      <c r="N16" s="2"/>
    </row>
    <row r="17" spans="2:28" ht="15.75" outlineLevel="1" x14ac:dyDescent="0.25">
      <c r="B17" s="156" t="s">
        <v>11</v>
      </c>
      <c r="C17" s="157" t="s">
        <v>3</v>
      </c>
      <c r="D17" s="157" t="s">
        <v>23</v>
      </c>
      <c r="E17" s="8" t="s">
        <v>33</v>
      </c>
      <c r="F17" s="8" t="s">
        <v>34</v>
      </c>
      <c r="G17" s="8" t="s">
        <v>35</v>
      </c>
      <c r="H17" s="8" t="s">
        <v>36</v>
      </c>
      <c r="I17" s="8" t="s">
        <v>37</v>
      </c>
      <c r="J17" s="8" t="s">
        <v>38</v>
      </c>
      <c r="K17" s="8" t="s">
        <v>32</v>
      </c>
      <c r="L17" s="8" t="s">
        <v>39</v>
      </c>
      <c r="M17" s="8" t="s">
        <v>40</v>
      </c>
      <c r="N17" s="2"/>
    </row>
    <row r="18" spans="2:28" outlineLevel="1" x14ac:dyDescent="0.25">
      <c r="B18" s="156"/>
      <c r="C18" s="157"/>
      <c r="D18" s="157"/>
      <c r="E18" s="8" t="s">
        <v>25</v>
      </c>
      <c r="F18" s="8" t="s">
        <v>25</v>
      </c>
      <c r="G18" s="8" t="s">
        <v>25</v>
      </c>
      <c r="H18" s="8" t="s">
        <v>1</v>
      </c>
      <c r="I18" s="8" t="s">
        <v>0</v>
      </c>
      <c r="J18" s="8" t="s">
        <v>25</v>
      </c>
      <c r="K18" s="8" t="s">
        <v>8</v>
      </c>
      <c r="L18" s="8" t="s">
        <v>9</v>
      </c>
      <c r="M18" s="8" t="s">
        <v>8</v>
      </c>
      <c r="N18" s="2"/>
    </row>
    <row r="19" spans="2:28" outlineLevel="1" x14ac:dyDescent="0.25">
      <c r="B19" s="9" t="s">
        <v>12</v>
      </c>
      <c r="C19" s="9" t="s">
        <v>5</v>
      </c>
      <c r="D19" s="9" t="s">
        <v>24</v>
      </c>
      <c r="E19" s="14">
        <f>'BE - Altenor'!$R$21</f>
        <v>106.99522184300341</v>
      </c>
      <c r="F19" s="10">
        <f>'BE - Altenor'!$R$12</f>
        <v>4395</v>
      </c>
      <c r="G19" s="14">
        <f>'BE - Altenor'!$R$30</f>
        <v>1288.3397260273973</v>
      </c>
      <c r="H19" s="14">
        <f>'BE - Altenor'!$R$39</f>
        <v>79.019904095563135</v>
      </c>
      <c r="I19" s="14">
        <f>'BE - Altenor'!$R$48</f>
        <v>162.55523128230129</v>
      </c>
      <c r="J19" s="14">
        <f>'BE - Altenor'!$R$51</f>
        <v>192</v>
      </c>
      <c r="K19" s="14">
        <f>450*0.25</f>
        <v>112.5</v>
      </c>
      <c r="L19" s="14">
        <f>'PE - Altenor'!$K$15</f>
        <v>9.3555280000000014</v>
      </c>
      <c r="M19" s="14">
        <f>'PE - Altenor'!$R$7</f>
        <v>1245.2948773770581</v>
      </c>
      <c r="N19" s="2"/>
      <c r="AB19" s="7"/>
    </row>
    <row r="20" spans="2:28" outlineLevel="1" x14ac:dyDescent="0.25">
      <c r="B20" s="161" t="s">
        <v>14</v>
      </c>
      <c r="C20" s="161" t="s">
        <v>7</v>
      </c>
      <c r="D20" s="19" t="s">
        <v>26</v>
      </c>
      <c r="E20" s="13">
        <f>'BE - Granja Silva'!$R$15</f>
        <v>0</v>
      </c>
      <c r="F20" s="13">
        <f>'BE - Granja Silva'!$R$6</f>
        <v>0</v>
      </c>
      <c r="G20" s="13">
        <f>'BE - Granja Silva'!$R$24</f>
        <v>0</v>
      </c>
      <c r="H20" s="13">
        <f>'BE - Granja Silva'!$R$33</f>
        <v>0</v>
      </c>
      <c r="I20" s="13">
        <f>'BE - Granja Silva'!$R$42</f>
        <v>0</v>
      </c>
      <c r="J20" s="14">
        <v>0</v>
      </c>
      <c r="K20" s="160">
        <v>300</v>
      </c>
      <c r="L20" s="162">
        <f>'PE - Granja Silva'!$K$15</f>
        <v>13.422396750000001</v>
      </c>
      <c r="M20" s="160">
        <f>'PE - Granja Silva'!$R$7</f>
        <v>1442.2808654383562</v>
      </c>
      <c r="N20" s="2"/>
    </row>
    <row r="21" spans="2:28" outlineLevel="1" x14ac:dyDescent="0.25">
      <c r="B21" s="161"/>
      <c r="C21" s="161"/>
      <c r="D21" s="19" t="s">
        <v>27</v>
      </c>
      <c r="E21" s="13">
        <f>'BE - Granja Silva'!$R$16</f>
        <v>366</v>
      </c>
      <c r="F21" s="13">
        <f>'BE - Granja Silva'!$R$7</f>
        <v>388</v>
      </c>
      <c r="G21" s="13">
        <f>'BE - Granja Silva'!$R$25</f>
        <v>389.06301369863019</v>
      </c>
      <c r="H21" s="13">
        <f>'BE - Granja Silva'!$R$34</f>
        <v>28</v>
      </c>
      <c r="I21" s="13">
        <f>'BE - Granja Silva'!$R$43</f>
        <v>109.8</v>
      </c>
      <c r="J21" s="14">
        <f>'BE - Granja Silva'!$R$52</f>
        <v>366</v>
      </c>
      <c r="K21" s="160"/>
      <c r="L21" s="162"/>
      <c r="M21" s="160"/>
      <c r="N21" s="2"/>
      <c r="O21" s="2"/>
      <c r="P21" s="2"/>
      <c r="Q21" s="2"/>
      <c r="R21" s="2"/>
      <c r="S21" s="2"/>
      <c r="T21" s="2"/>
    </row>
    <row r="22" spans="2:28" x14ac:dyDescent="0.25">
      <c r="B22" s="161"/>
      <c r="C22" s="161"/>
      <c r="D22" s="19" t="s">
        <v>28</v>
      </c>
      <c r="E22" s="13">
        <f>'BE - Granja Silva'!$R$17</f>
        <v>0</v>
      </c>
      <c r="F22" s="13">
        <f>'BE - Granja Silva'!$R$8</f>
        <v>0</v>
      </c>
      <c r="G22" s="13">
        <f>'BE - Granja Silva'!$R$26</f>
        <v>0</v>
      </c>
      <c r="H22" s="13">
        <f>'BE - Granja Silva'!$R$35</f>
        <v>0</v>
      </c>
      <c r="I22" s="13">
        <f>'BE - Granja Silva'!$R$44</f>
        <v>0</v>
      </c>
      <c r="J22" s="14">
        <v>0</v>
      </c>
      <c r="K22" s="160"/>
      <c r="L22" s="162"/>
      <c r="M22" s="160"/>
    </row>
    <row r="23" spans="2:28" x14ac:dyDescent="0.25">
      <c r="B23" s="161"/>
      <c r="C23" s="161"/>
      <c r="D23" s="19" t="s">
        <v>29</v>
      </c>
      <c r="E23" s="13">
        <f>'BE - Granja Silva'!$R$18</f>
        <v>366</v>
      </c>
      <c r="F23" s="13">
        <f>'BE - Granja Silva'!$R$9</f>
        <v>4</v>
      </c>
      <c r="G23" s="13">
        <f>'BE - Granja Silva'!$R$27</f>
        <v>4.0109589041095894</v>
      </c>
      <c r="H23" s="13">
        <f>'BE - Granja Silva'!$R$36</f>
        <v>28</v>
      </c>
      <c r="I23" s="13">
        <f>'BE - Granja Silva'!$R$45</f>
        <v>109.8</v>
      </c>
      <c r="J23" s="14">
        <f>'BE - Granja Silva'!$R$53</f>
        <v>366</v>
      </c>
      <c r="K23" s="160"/>
      <c r="L23" s="162"/>
      <c r="M23" s="160"/>
    </row>
    <row r="24" spans="2:28" ht="15.75" customHeight="1" x14ac:dyDescent="0.25">
      <c r="B24" s="161"/>
      <c r="C24" s="161"/>
      <c r="D24" s="19" t="s">
        <v>30</v>
      </c>
      <c r="E24" s="13">
        <f>'BE - Granja Silva'!$R$19</f>
        <v>28.377552668333696</v>
      </c>
      <c r="F24" s="13">
        <f>'BE - Granja Silva'!$R$10</f>
        <v>8049.7</v>
      </c>
      <c r="G24" s="13">
        <f>'BE - Granja Silva'!$R$28</f>
        <v>625.83776908023492</v>
      </c>
      <c r="H24" s="9">
        <f>'BE - Granja Silva'!$R$37</f>
        <v>4.25</v>
      </c>
      <c r="I24" s="13">
        <f>'BE - Granja Silva'!$R$46</f>
        <v>16.119642857142857</v>
      </c>
      <c r="J24" s="14">
        <f>'BE - Granja Silva'!$R$51</f>
        <v>354</v>
      </c>
      <c r="K24" s="160"/>
      <c r="L24" s="162"/>
      <c r="M24" s="160"/>
    </row>
    <row r="25" spans="2:28" ht="15.75" customHeight="1" x14ac:dyDescent="0.25">
      <c r="B25" s="154" t="s">
        <v>55</v>
      </c>
      <c r="C25" s="154" t="s">
        <v>57</v>
      </c>
      <c r="D25" s="19" t="s">
        <v>56</v>
      </c>
      <c r="E25" s="13">
        <f>'BE - Ramella'!$R$17</f>
        <v>0</v>
      </c>
      <c r="F25" s="13">
        <f>'BE - Ramella'!$R$8</f>
        <v>0</v>
      </c>
      <c r="G25" s="13">
        <f>'BE - Ramella'!$R$26</f>
        <v>0</v>
      </c>
      <c r="H25" s="13">
        <f>'BE - Ramella'!$R$35</f>
        <v>0</v>
      </c>
      <c r="I25" s="13">
        <f>'BE - Ramella'!$R$44</f>
        <v>0</v>
      </c>
      <c r="J25" s="35">
        <f>'BE - Ramella'!$R$51</f>
        <v>0</v>
      </c>
      <c r="K25" s="165">
        <v>250</v>
      </c>
      <c r="L25" s="163">
        <f>'PE - Ramella'!$K$15</f>
        <v>12.423915000000001</v>
      </c>
      <c r="M25" s="165">
        <f>'PE - Ramella'!$R$7</f>
        <v>1510.5352684931506</v>
      </c>
    </row>
    <row r="26" spans="2:28" ht="14.25" customHeight="1" outlineLevel="1" x14ac:dyDescent="0.25">
      <c r="B26" s="155"/>
      <c r="C26" s="155"/>
      <c r="D26" s="9" t="s">
        <v>24</v>
      </c>
      <c r="E26" s="14">
        <f>'BE - Ramella'!$R$21</f>
        <v>140.98374242907235</v>
      </c>
      <c r="F26" s="14">
        <f>'BE - Ramella'!$R$12</f>
        <v>3137</v>
      </c>
      <c r="G26" s="14">
        <f>'BE - Ramella'!$R$30</f>
        <v>1211.6876712328765</v>
      </c>
      <c r="H26" s="14">
        <f>'BE - Ramella'!$R$39</f>
        <v>68.753211667197959</v>
      </c>
      <c r="I26" s="14">
        <f>'BE - Ramella'!$R$48</f>
        <v>238.67186335898717</v>
      </c>
      <c r="J26" s="36">
        <f>'BE - Ramella'!$R$52</f>
        <v>324</v>
      </c>
      <c r="K26" s="166"/>
      <c r="L26" s="164"/>
      <c r="M26" s="166"/>
    </row>
    <row r="27" spans="2:28" outlineLevel="1" x14ac:dyDescent="0.25">
      <c r="B27" s="9" t="s">
        <v>13</v>
      </c>
      <c r="C27" s="9" t="s">
        <v>6</v>
      </c>
      <c r="D27" s="9" t="s">
        <v>24</v>
      </c>
      <c r="E27" s="14">
        <f>'BE - Santa Lúcia'!$R$21</f>
        <v>125.74743906746733</v>
      </c>
      <c r="F27" s="14">
        <f>'BE - Santa Lúcia'!$R$12</f>
        <v>5662</v>
      </c>
      <c r="G27" s="14">
        <f>'BE - Santa Lúcia'!$R$30</f>
        <v>1950.6356164383562</v>
      </c>
      <c r="H27" s="14">
        <f>'BE - Santa Lúcia'!$R$39</f>
        <v>79.247479689155782</v>
      </c>
      <c r="I27" s="14">
        <f>'BE - Santa Lúcia'!$R$48</f>
        <v>225.00623697456729</v>
      </c>
      <c r="J27" s="14">
        <f>'BE - Santa Lúcia'!$R$51</f>
        <v>265</v>
      </c>
      <c r="K27" s="14">
        <f>2860/1000</f>
        <v>2.86</v>
      </c>
      <c r="L27" s="38">
        <f>'PE - Santa Lúcia'!$K$15</f>
        <v>13.328865564989091</v>
      </c>
      <c r="M27" s="14">
        <f>'PE - Santa Lúcia'!$R$7</f>
        <v>4236.8542056737706</v>
      </c>
    </row>
    <row r="28" spans="2:28" x14ac:dyDescent="0.25">
      <c r="I28" s="1"/>
      <c r="J28" s="1"/>
    </row>
    <row r="29" spans="2:28" x14ac:dyDescent="0.25">
      <c r="I29" s="1"/>
      <c r="J29" s="1"/>
    </row>
    <row r="30" spans="2:28" ht="15.75" x14ac:dyDescent="0.25">
      <c r="C30" s="8" t="s">
        <v>15</v>
      </c>
      <c r="D30" s="8" t="s">
        <v>32</v>
      </c>
      <c r="I30" s="1"/>
      <c r="J30" s="1"/>
    </row>
    <row r="31" spans="2:28" x14ac:dyDescent="0.25">
      <c r="C31" s="16" t="s">
        <v>42</v>
      </c>
      <c r="D31" s="17">
        <f>SUM(K5:K13)</f>
        <v>459.13</v>
      </c>
      <c r="I31" s="1"/>
      <c r="J31" s="1"/>
    </row>
    <row r="32" spans="2:28" x14ac:dyDescent="0.25">
      <c r="C32" s="16">
        <v>2020</v>
      </c>
      <c r="D32" s="17">
        <f>SUM(K19:K27)</f>
        <v>665.36</v>
      </c>
      <c r="I32" s="1"/>
      <c r="J32" s="1"/>
    </row>
    <row r="33" spans="3:10" x14ac:dyDescent="0.25">
      <c r="C33" s="15" t="s">
        <v>16</v>
      </c>
      <c r="D33" s="18">
        <f>SUM(D31:D32)</f>
        <v>1124.49</v>
      </c>
      <c r="I33" s="1"/>
      <c r="J33" s="1"/>
    </row>
    <row r="34" spans="3:10" x14ac:dyDescent="0.25">
      <c r="I34" s="1"/>
      <c r="J34" s="1"/>
    </row>
    <row r="35" spans="3:10" x14ac:dyDescent="0.25">
      <c r="I35" s="1"/>
      <c r="J35" s="1"/>
    </row>
    <row r="36" spans="3:10" x14ac:dyDescent="0.25">
      <c r="I36" s="1"/>
      <c r="J36" s="1"/>
    </row>
    <row r="37" spans="3:10" x14ac:dyDescent="0.25">
      <c r="I37" s="1"/>
      <c r="J37" s="1"/>
    </row>
    <row r="38" spans="3:10" x14ac:dyDescent="0.25">
      <c r="I38" s="1"/>
      <c r="J38" s="1"/>
    </row>
    <row r="39" spans="3:10" x14ac:dyDescent="0.25">
      <c r="I39" s="1"/>
      <c r="J39" s="1"/>
    </row>
    <row r="40" spans="3:10" x14ac:dyDescent="0.25">
      <c r="I40" s="1"/>
      <c r="J40" s="1"/>
    </row>
    <row r="41" spans="3:10" x14ac:dyDescent="0.25">
      <c r="I41" s="1"/>
      <c r="J41" s="1"/>
    </row>
    <row r="42" spans="3:10" x14ac:dyDescent="0.25">
      <c r="I42" s="1"/>
      <c r="J42" s="1"/>
    </row>
    <row r="43" spans="3:10" x14ac:dyDescent="0.25">
      <c r="I43" s="1"/>
      <c r="J43" s="1"/>
    </row>
    <row r="44" spans="3:10" x14ac:dyDescent="0.25">
      <c r="I44" s="1"/>
      <c r="J44" s="1"/>
    </row>
    <row r="45" spans="3:10" x14ac:dyDescent="0.25">
      <c r="I45" s="1"/>
      <c r="J45" s="1"/>
    </row>
    <row r="46" spans="3:10" x14ac:dyDescent="0.25">
      <c r="I46" s="1"/>
      <c r="J46" s="1"/>
    </row>
    <row r="47" spans="3:10" x14ac:dyDescent="0.25">
      <c r="I47" s="1"/>
      <c r="J47" s="1"/>
    </row>
    <row r="48" spans="3:10" x14ac:dyDescent="0.25">
      <c r="I48" s="1"/>
      <c r="J48" s="1"/>
    </row>
    <row r="49" spans="9:10" x14ac:dyDescent="0.25">
      <c r="I49" s="1"/>
      <c r="J49" s="1"/>
    </row>
    <row r="50" spans="9:10" x14ac:dyDescent="0.25">
      <c r="I50" s="1"/>
      <c r="J50" s="1"/>
    </row>
    <row r="51" spans="9:10" x14ac:dyDescent="0.25">
      <c r="I51" s="1"/>
      <c r="J51" s="1"/>
    </row>
    <row r="52" spans="9:10" x14ac:dyDescent="0.25">
      <c r="I52" s="1"/>
      <c r="J52" s="1"/>
    </row>
    <row r="53" spans="9:10" x14ac:dyDescent="0.25">
      <c r="I53" s="1"/>
      <c r="J53" s="1"/>
    </row>
    <row r="54" spans="9:10" x14ac:dyDescent="0.25">
      <c r="I54" s="1"/>
      <c r="J54" s="1"/>
    </row>
    <row r="55" spans="9:10" x14ac:dyDescent="0.25">
      <c r="I55" s="1"/>
      <c r="J55" s="1"/>
    </row>
    <row r="56" spans="9:10" x14ac:dyDescent="0.25">
      <c r="I56" s="1"/>
      <c r="J56" s="1"/>
    </row>
    <row r="57" spans="9:10" x14ac:dyDescent="0.25">
      <c r="I57" s="1"/>
      <c r="J57" s="1"/>
    </row>
    <row r="58" spans="9:10" x14ac:dyDescent="0.25">
      <c r="I58" s="1"/>
      <c r="J58" s="1"/>
    </row>
    <row r="59" spans="9:10" x14ac:dyDescent="0.25">
      <c r="I59" s="1"/>
      <c r="J59" s="1"/>
    </row>
    <row r="60" spans="9:10" x14ac:dyDescent="0.25">
      <c r="I60" s="1"/>
      <c r="J60" s="1"/>
    </row>
    <row r="61" spans="9:10" x14ac:dyDescent="0.25">
      <c r="I61" s="1"/>
      <c r="J61" s="1"/>
    </row>
    <row r="62" spans="9:10" x14ac:dyDescent="0.25">
      <c r="I62" s="1"/>
      <c r="J62" s="1"/>
    </row>
    <row r="63" spans="9:10" x14ac:dyDescent="0.25">
      <c r="I63" s="1"/>
      <c r="J63" s="1"/>
    </row>
    <row r="64" spans="9:10" x14ac:dyDescent="0.25">
      <c r="I64" s="1"/>
      <c r="J64" s="1"/>
    </row>
    <row r="65" spans="9:10" x14ac:dyDescent="0.25">
      <c r="I65" s="1"/>
      <c r="J65" s="1"/>
    </row>
    <row r="66" spans="9:10" x14ac:dyDescent="0.25">
      <c r="I66" s="1"/>
      <c r="J66" s="1"/>
    </row>
    <row r="67" spans="9:10" x14ac:dyDescent="0.25">
      <c r="I67" s="1"/>
      <c r="J67" s="1"/>
    </row>
    <row r="68" spans="9:10" x14ac:dyDescent="0.25">
      <c r="I68" s="1"/>
      <c r="J68" s="1"/>
    </row>
    <row r="69" spans="9:10" x14ac:dyDescent="0.25">
      <c r="I69" s="1"/>
      <c r="J69" s="1"/>
    </row>
    <row r="70" spans="9:10" x14ac:dyDescent="0.25">
      <c r="I70" s="1"/>
      <c r="J70" s="1"/>
    </row>
    <row r="71" spans="9:10" x14ac:dyDescent="0.25">
      <c r="I71" s="1"/>
      <c r="J71" s="1"/>
    </row>
    <row r="72" spans="9:10" x14ac:dyDescent="0.25">
      <c r="I72" s="1"/>
      <c r="J72" s="1"/>
    </row>
    <row r="73" spans="9:10" x14ac:dyDescent="0.25">
      <c r="I73" s="1"/>
      <c r="J73" s="1"/>
    </row>
    <row r="74" spans="9:10" x14ac:dyDescent="0.25">
      <c r="I74" s="1"/>
      <c r="J74" s="1"/>
    </row>
    <row r="75" spans="9:10" x14ac:dyDescent="0.25">
      <c r="I75" s="1"/>
      <c r="J75" s="1"/>
    </row>
    <row r="76" spans="9:10" x14ac:dyDescent="0.25">
      <c r="I76" s="1"/>
      <c r="J76" s="1"/>
    </row>
  </sheetData>
  <mergeCells count="28">
    <mergeCell ref="B2:M2"/>
    <mergeCell ref="C3:C4"/>
    <mergeCell ref="B3:B4"/>
    <mergeCell ref="D3:D4"/>
    <mergeCell ref="K6:K10"/>
    <mergeCell ref="L6:L10"/>
    <mergeCell ref="M6:M10"/>
    <mergeCell ref="C6:C10"/>
    <mergeCell ref="B6:B10"/>
    <mergeCell ref="M20:M24"/>
    <mergeCell ref="C20:C24"/>
    <mergeCell ref="K20:K24"/>
    <mergeCell ref="L20:L24"/>
    <mergeCell ref="B25:B26"/>
    <mergeCell ref="C25:C26"/>
    <mergeCell ref="L25:L26"/>
    <mergeCell ref="M25:M26"/>
    <mergeCell ref="K25:K26"/>
    <mergeCell ref="B20:B24"/>
    <mergeCell ref="K11:K12"/>
    <mergeCell ref="B11:B12"/>
    <mergeCell ref="C11:C12"/>
    <mergeCell ref="B17:B18"/>
    <mergeCell ref="C17:C18"/>
    <mergeCell ref="D17:D18"/>
    <mergeCell ref="B16:M16"/>
    <mergeCell ref="L11:L12"/>
    <mergeCell ref="M11:M12"/>
  </mergeCells>
  <pageMargins left="0.511811024" right="0.511811024" top="0.78740157499999996" bottom="0.78740157499999996" header="0.31496062000000002" footer="0.31496062000000002"/>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C9B6E-3119-4CF9-83EB-346571DB493F}">
  <sheetPr>
    <tabColor rgb="FFC2D7E0"/>
  </sheetPr>
  <dimension ref="B1:R37"/>
  <sheetViews>
    <sheetView showGridLines="0" zoomScale="80" zoomScaleNormal="80" workbookViewId="0">
      <selection activeCell="J33" sqref="J33"/>
    </sheetView>
  </sheetViews>
  <sheetFormatPr defaultRowHeight="15" x14ac:dyDescent="0.25"/>
  <cols>
    <col min="1" max="6" width="9.140625" style="110"/>
    <col min="7" max="7" width="12.7109375" style="110" customWidth="1"/>
    <col min="8" max="9" width="9.140625" style="110"/>
    <col min="10" max="10" width="9.5703125" style="110" bestFit="1" customWidth="1"/>
    <col min="11" max="11" width="9.140625" style="110"/>
    <col min="12" max="12" width="10.28515625" style="110" bestFit="1" customWidth="1"/>
    <col min="13" max="16" width="9.140625" style="110"/>
    <col min="17" max="17" width="11.5703125" style="110" bestFit="1" customWidth="1"/>
    <col min="18" max="18" width="10.5703125" style="110" customWidth="1"/>
    <col min="19" max="262" width="9.140625" style="110"/>
    <col min="263" max="263" width="12.7109375" style="110" customWidth="1"/>
    <col min="264" max="265" width="9.140625" style="110"/>
    <col min="266" max="266" width="9.5703125" style="110" bestFit="1" customWidth="1"/>
    <col min="267" max="267" width="9.140625" style="110"/>
    <col min="268" max="268" width="10.28515625" style="110" bestFit="1" customWidth="1"/>
    <col min="269" max="272" width="9.140625" style="110"/>
    <col min="273" max="273" width="11.5703125" style="110" bestFit="1" customWidth="1"/>
    <col min="274" max="274" width="10.5703125" style="110" customWidth="1"/>
    <col min="275" max="518" width="9.140625" style="110"/>
    <col min="519" max="519" width="12.7109375" style="110" customWidth="1"/>
    <col min="520" max="521" width="9.140625" style="110"/>
    <col min="522" max="522" width="9.5703125" style="110" bestFit="1" customWidth="1"/>
    <col min="523" max="523" width="9.140625" style="110"/>
    <col min="524" max="524" width="10.28515625" style="110" bestFit="1" customWidth="1"/>
    <col min="525" max="528" width="9.140625" style="110"/>
    <col min="529" max="529" width="11.5703125" style="110" bestFit="1" customWidth="1"/>
    <col min="530" max="530" width="10.5703125" style="110" customWidth="1"/>
    <col min="531" max="774" width="9.140625" style="110"/>
    <col min="775" max="775" width="12.7109375" style="110" customWidth="1"/>
    <col min="776" max="777" width="9.140625" style="110"/>
    <col min="778" max="778" width="9.5703125" style="110" bestFit="1" customWidth="1"/>
    <col min="779" max="779" width="9.140625" style="110"/>
    <col min="780" max="780" width="10.28515625" style="110" bestFit="1" customWidth="1"/>
    <col min="781" max="784" width="9.140625" style="110"/>
    <col min="785" max="785" width="11.5703125" style="110" bestFit="1" customWidth="1"/>
    <col min="786" max="786" width="10.5703125" style="110" customWidth="1"/>
    <col min="787" max="1030" width="9.140625" style="110"/>
    <col min="1031" max="1031" width="12.7109375" style="110" customWidth="1"/>
    <col min="1032" max="1033" width="9.140625" style="110"/>
    <col min="1034" max="1034" width="9.5703125" style="110" bestFit="1" customWidth="1"/>
    <col min="1035" max="1035" width="9.140625" style="110"/>
    <col min="1036" max="1036" width="10.28515625" style="110" bestFit="1" customWidth="1"/>
    <col min="1037" max="1040" width="9.140625" style="110"/>
    <col min="1041" max="1041" width="11.5703125" style="110" bestFit="1" customWidth="1"/>
    <col min="1042" max="1042" width="10.5703125" style="110" customWidth="1"/>
    <col min="1043" max="1286" width="9.140625" style="110"/>
    <col min="1287" max="1287" width="12.7109375" style="110" customWidth="1"/>
    <col min="1288" max="1289" width="9.140625" style="110"/>
    <col min="1290" max="1290" width="9.5703125" style="110" bestFit="1" customWidth="1"/>
    <col min="1291" max="1291" width="9.140625" style="110"/>
    <col min="1292" max="1292" width="10.28515625" style="110" bestFit="1" customWidth="1"/>
    <col min="1293" max="1296" width="9.140625" style="110"/>
    <col min="1297" max="1297" width="11.5703125" style="110" bestFit="1" customWidth="1"/>
    <col min="1298" max="1298" width="10.5703125" style="110" customWidth="1"/>
    <col min="1299" max="1542" width="9.140625" style="110"/>
    <col min="1543" max="1543" width="12.7109375" style="110" customWidth="1"/>
    <col min="1544" max="1545" width="9.140625" style="110"/>
    <col min="1546" max="1546" width="9.5703125" style="110" bestFit="1" customWidth="1"/>
    <col min="1547" max="1547" width="9.140625" style="110"/>
    <col min="1548" max="1548" width="10.28515625" style="110" bestFit="1" customWidth="1"/>
    <col min="1549" max="1552" width="9.140625" style="110"/>
    <col min="1553" max="1553" width="11.5703125" style="110" bestFit="1" customWidth="1"/>
    <col min="1554" max="1554" width="10.5703125" style="110" customWidth="1"/>
    <col min="1555" max="1798" width="9.140625" style="110"/>
    <col min="1799" max="1799" width="12.7109375" style="110" customWidth="1"/>
    <col min="1800" max="1801" width="9.140625" style="110"/>
    <col min="1802" max="1802" width="9.5703125" style="110" bestFit="1" customWidth="1"/>
    <col min="1803" max="1803" width="9.140625" style="110"/>
    <col min="1804" max="1804" width="10.28515625" style="110" bestFit="1" customWidth="1"/>
    <col min="1805" max="1808" width="9.140625" style="110"/>
    <col min="1809" max="1809" width="11.5703125" style="110" bestFit="1" customWidth="1"/>
    <col min="1810" max="1810" width="10.5703125" style="110" customWidth="1"/>
    <col min="1811" max="2054" width="9.140625" style="110"/>
    <col min="2055" max="2055" width="12.7109375" style="110" customWidth="1"/>
    <col min="2056" max="2057" width="9.140625" style="110"/>
    <col min="2058" max="2058" width="9.5703125" style="110" bestFit="1" customWidth="1"/>
    <col min="2059" max="2059" width="9.140625" style="110"/>
    <col min="2060" max="2060" width="10.28515625" style="110" bestFit="1" customWidth="1"/>
    <col min="2061" max="2064" width="9.140625" style="110"/>
    <col min="2065" max="2065" width="11.5703125" style="110" bestFit="1" customWidth="1"/>
    <col min="2066" max="2066" width="10.5703125" style="110" customWidth="1"/>
    <col min="2067" max="2310" width="9.140625" style="110"/>
    <col min="2311" max="2311" width="12.7109375" style="110" customWidth="1"/>
    <col min="2312" max="2313" width="9.140625" style="110"/>
    <col min="2314" max="2314" width="9.5703125" style="110" bestFit="1" customWidth="1"/>
    <col min="2315" max="2315" width="9.140625" style="110"/>
    <col min="2316" max="2316" width="10.28515625" style="110" bestFit="1" customWidth="1"/>
    <col min="2317" max="2320" width="9.140625" style="110"/>
    <col min="2321" max="2321" width="11.5703125" style="110" bestFit="1" customWidth="1"/>
    <col min="2322" max="2322" width="10.5703125" style="110" customWidth="1"/>
    <col min="2323" max="2566" width="9.140625" style="110"/>
    <col min="2567" max="2567" width="12.7109375" style="110" customWidth="1"/>
    <col min="2568" max="2569" width="9.140625" style="110"/>
    <col min="2570" max="2570" width="9.5703125" style="110" bestFit="1" customWidth="1"/>
    <col min="2571" max="2571" width="9.140625" style="110"/>
    <col min="2572" max="2572" width="10.28515625" style="110" bestFit="1" customWidth="1"/>
    <col min="2573" max="2576" width="9.140625" style="110"/>
    <col min="2577" max="2577" width="11.5703125" style="110" bestFit="1" customWidth="1"/>
    <col min="2578" max="2578" width="10.5703125" style="110" customWidth="1"/>
    <col min="2579" max="2822" width="9.140625" style="110"/>
    <col min="2823" max="2823" width="12.7109375" style="110" customWidth="1"/>
    <col min="2824" max="2825" width="9.140625" style="110"/>
    <col min="2826" max="2826" width="9.5703125" style="110" bestFit="1" customWidth="1"/>
    <col min="2827" max="2827" width="9.140625" style="110"/>
    <col min="2828" max="2828" width="10.28515625" style="110" bestFit="1" customWidth="1"/>
    <col min="2829" max="2832" width="9.140625" style="110"/>
    <col min="2833" max="2833" width="11.5703125" style="110" bestFit="1" customWidth="1"/>
    <col min="2834" max="2834" width="10.5703125" style="110" customWidth="1"/>
    <col min="2835" max="3078" width="9.140625" style="110"/>
    <col min="3079" max="3079" width="12.7109375" style="110" customWidth="1"/>
    <col min="3080" max="3081" width="9.140625" style="110"/>
    <col min="3082" max="3082" width="9.5703125" style="110" bestFit="1" customWidth="1"/>
    <col min="3083" max="3083" width="9.140625" style="110"/>
    <col min="3084" max="3084" width="10.28515625" style="110" bestFit="1" customWidth="1"/>
    <col min="3085" max="3088" width="9.140625" style="110"/>
    <col min="3089" max="3089" width="11.5703125" style="110" bestFit="1" customWidth="1"/>
    <col min="3090" max="3090" width="10.5703125" style="110" customWidth="1"/>
    <col min="3091" max="3334" width="9.140625" style="110"/>
    <col min="3335" max="3335" width="12.7109375" style="110" customWidth="1"/>
    <col min="3336" max="3337" width="9.140625" style="110"/>
    <col min="3338" max="3338" width="9.5703125" style="110" bestFit="1" customWidth="1"/>
    <col min="3339" max="3339" width="9.140625" style="110"/>
    <col min="3340" max="3340" width="10.28515625" style="110" bestFit="1" customWidth="1"/>
    <col min="3341" max="3344" width="9.140625" style="110"/>
    <col min="3345" max="3345" width="11.5703125" style="110" bestFit="1" customWidth="1"/>
    <col min="3346" max="3346" width="10.5703125" style="110" customWidth="1"/>
    <col min="3347" max="3590" width="9.140625" style="110"/>
    <col min="3591" max="3591" width="12.7109375" style="110" customWidth="1"/>
    <col min="3592" max="3593" width="9.140625" style="110"/>
    <col min="3594" max="3594" width="9.5703125" style="110" bestFit="1" customWidth="1"/>
    <col min="3595" max="3595" width="9.140625" style="110"/>
    <col min="3596" max="3596" width="10.28515625" style="110" bestFit="1" customWidth="1"/>
    <col min="3597" max="3600" width="9.140625" style="110"/>
    <col min="3601" max="3601" width="11.5703125" style="110" bestFit="1" customWidth="1"/>
    <col min="3602" max="3602" width="10.5703125" style="110" customWidth="1"/>
    <col min="3603" max="3846" width="9.140625" style="110"/>
    <col min="3847" max="3847" width="12.7109375" style="110" customWidth="1"/>
    <col min="3848" max="3849" width="9.140625" style="110"/>
    <col min="3850" max="3850" width="9.5703125" style="110" bestFit="1" customWidth="1"/>
    <col min="3851" max="3851" width="9.140625" style="110"/>
    <col min="3852" max="3852" width="10.28515625" style="110" bestFit="1" customWidth="1"/>
    <col min="3853" max="3856" width="9.140625" style="110"/>
    <col min="3857" max="3857" width="11.5703125" style="110" bestFit="1" customWidth="1"/>
    <col min="3858" max="3858" width="10.5703125" style="110" customWidth="1"/>
    <col min="3859" max="4102" width="9.140625" style="110"/>
    <col min="4103" max="4103" width="12.7109375" style="110" customWidth="1"/>
    <col min="4104" max="4105" width="9.140625" style="110"/>
    <col min="4106" max="4106" width="9.5703125" style="110" bestFit="1" customWidth="1"/>
    <col min="4107" max="4107" width="9.140625" style="110"/>
    <col min="4108" max="4108" width="10.28515625" style="110" bestFit="1" customWidth="1"/>
    <col min="4109" max="4112" width="9.140625" style="110"/>
    <col min="4113" max="4113" width="11.5703125" style="110" bestFit="1" customWidth="1"/>
    <col min="4114" max="4114" width="10.5703125" style="110" customWidth="1"/>
    <col min="4115" max="4358" width="9.140625" style="110"/>
    <col min="4359" max="4359" width="12.7109375" style="110" customWidth="1"/>
    <col min="4360" max="4361" width="9.140625" style="110"/>
    <col min="4362" max="4362" width="9.5703125" style="110" bestFit="1" customWidth="1"/>
    <col min="4363" max="4363" width="9.140625" style="110"/>
    <col min="4364" max="4364" width="10.28515625" style="110" bestFit="1" customWidth="1"/>
    <col min="4365" max="4368" width="9.140625" style="110"/>
    <col min="4369" max="4369" width="11.5703125" style="110" bestFit="1" customWidth="1"/>
    <col min="4370" max="4370" width="10.5703125" style="110" customWidth="1"/>
    <col min="4371" max="4614" width="9.140625" style="110"/>
    <col min="4615" max="4615" width="12.7109375" style="110" customWidth="1"/>
    <col min="4616" max="4617" width="9.140625" style="110"/>
    <col min="4618" max="4618" width="9.5703125" style="110" bestFit="1" customWidth="1"/>
    <col min="4619" max="4619" width="9.140625" style="110"/>
    <col min="4620" max="4620" width="10.28515625" style="110" bestFit="1" customWidth="1"/>
    <col min="4621" max="4624" width="9.140625" style="110"/>
    <col min="4625" max="4625" width="11.5703125" style="110" bestFit="1" customWidth="1"/>
    <col min="4626" max="4626" width="10.5703125" style="110" customWidth="1"/>
    <col min="4627" max="4870" width="9.140625" style="110"/>
    <col min="4871" max="4871" width="12.7109375" style="110" customWidth="1"/>
    <col min="4872" max="4873" width="9.140625" style="110"/>
    <col min="4874" max="4874" width="9.5703125" style="110" bestFit="1" customWidth="1"/>
    <col min="4875" max="4875" width="9.140625" style="110"/>
    <col min="4876" max="4876" width="10.28515625" style="110" bestFit="1" customWidth="1"/>
    <col min="4877" max="4880" width="9.140625" style="110"/>
    <col min="4881" max="4881" width="11.5703125" style="110" bestFit="1" customWidth="1"/>
    <col min="4882" max="4882" width="10.5703125" style="110" customWidth="1"/>
    <col min="4883" max="5126" width="9.140625" style="110"/>
    <col min="5127" max="5127" width="12.7109375" style="110" customWidth="1"/>
    <col min="5128" max="5129" width="9.140625" style="110"/>
    <col min="5130" max="5130" width="9.5703125" style="110" bestFit="1" customWidth="1"/>
    <col min="5131" max="5131" width="9.140625" style="110"/>
    <col min="5132" max="5132" width="10.28515625" style="110" bestFit="1" customWidth="1"/>
    <col min="5133" max="5136" width="9.140625" style="110"/>
    <col min="5137" max="5137" width="11.5703125" style="110" bestFit="1" customWidth="1"/>
    <col min="5138" max="5138" width="10.5703125" style="110" customWidth="1"/>
    <col min="5139" max="5382" width="9.140625" style="110"/>
    <col min="5383" max="5383" width="12.7109375" style="110" customWidth="1"/>
    <col min="5384" max="5385" width="9.140625" style="110"/>
    <col min="5386" max="5386" width="9.5703125" style="110" bestFit="1" customWidth="1"/>
    <col min="5387" max="5387" width="9.140625" style="110"/>
    <col min="5388" max="5388" width="10.28515625" style="110" bestFit="1" customWidth="1"/>
    <col min="5389" max="5392" width="9.140625" style="110"/>
    <col min="5393" max="5393" width="11.5703125" style="110" bestFit="1" customWidth="1"/>
    <col min="5394" max="5394" width="10.5703125" style="110" customWidth="1"/>
    <col min="5395" max="5638" width="9.140625" style="110"/>
    <col min="5639" max="5639" width="12.7109375" style="110" customWidth="1"/>
    <col min="5640" max="5641" width="9.140625" style="110"/>
    <col min="5642" max="5642" width="9.5703125" style="110" bestFit="1" customWidth="1"/>
    <col min="5643" max="5643" width="9.140625" style="110"/>
    <col min="5644" max="5644" width="10.28515625" style="110" bestFit="1" customWidth="1"/>
    <col min="5645" max="5648" width="9.140625" style="110"/>
    <col min="5649" max="5649" width="11.5703125" style="110" bestFit="1" customWidth="1"/>
    <col min="5650" max="5650" width="10.5703125" style="110" customWidth="1"/>
    <col min="5651" max="5894" width="9.140625" style="110"/>
    <col min="5895" max="5895" width="12.7109375" style="110" customWidth="1"/>
    <col min="5896" max="5897" width="9.140625" style="110"/>
    <col min="5898" max="5898" width="9.5703125" style="110" bestFit="1" customWidth="1"/>
    <col min="5899" max="5899" width="9.140625" style="110"/>
    <col min="5900" max="5900" width="10.28515625" style="110" bestFit="1" customWidth="1"/>
    <col min="5901" max="5904" width="9.140625" style="110"/>
    <col min="5905" max="5905" width="11.5703125" style="110" bestFit="1" customWidth="1"/>
    <col min="5906" max="5906" width="10.5703125" style="110" customWidth="1"/>
    <col min="5907" max="6150" width="9.140625" style="110"/>
    <col min="6151" max="6151" width="12.7109375" style="110" customWidth="1"/>
    <col min="6152" max="6153" width="9.140625" style="110"/>
    <col min="6154" max="6154" width="9.5703125" style="110" bestFit="1" customWidth="1"/>
    <col min="6155" max="6155" width="9.140625" style="110"/>
    <col min="6156" max="6156" width="10.28515625" style="110" bestFit="1" customWidth="1"/>
    <col min="6157" max="6160" width="9.140625" style="110"/>
    <col min="6161" max="6161" width="11.5703125" style="110" bestFit="1" customWidth="1"/>
    <col min="6162" max="6162" width="10.5703125" style="110" customWidth="1"/>
    <col min="6163" max="6406" width="9.140625" style="110"/>
    <col min="6407" max="6407" width="12.7109375" style="110" customWidth="1"/>
    <col min="6408" max="6409" width="9.140625" style="110"/>
    <col min="6410" max="6410" width="9.5703125" style="110" bestFit="1" customWidth="1"/>
    <col min="6411" max="6411" width="9.140625" style="110"/>
    <col min="6412" max="6412" width="10.28515625" style="110" bestFit="1" customWidth="1"/>
    <col min="6413" max="6416" width="9.140625" style="110"/>
    <col min="6417" max="6417" width="11.5703125" style="110" bestFit="1" customWidth="1"/>
    <col min="6418" max="6418" width="10.5703125" style="110" customWidth="1"/>
    <col min="6419" max="6662" width="9.140625" style="110"/>
    <col min="6663" max="6663" width="12.7109375" style="110" customWidth="1"/>
    <col min="6664" max="6665" width="9.140625" style="110"/>
    <col min="6666" max="6666" width="9.5703125" style="110" bestFit="1" customWidth="1"/>
    <col min="6667" max="6667" width="9.140625" style="110"/>
    <col min="6668" max="6668" width="10.28515625" style="110" bestFit="1" customWidth="1"/>
    <col min="6669" max="6672" width="9.140625" style="110"/>
    <col min="6673" max="6673" width="11.5703125" style="110" bestFit="1" customWidth="1"/>
    <col min="6674" max="6674" width="10.5703125" style="110" customWidth="1"/>
    <col min="6675" max="6918" width="9.140625" style="110"/>
    <col min="6919" max="6919" width="12.7109375" style="110" customWidth="1"/>
    <col min="6920" max="6921" width="9.140625" style="110"/>
    <col min="6922" max="6922" width="9.5703125" style="110" bestFit="1" customWidth="1"/>
    <col min="6923" max="6923" width="9.140625" style="110"/>
    <col min="6924" max="6924" width="10.28515625" style="110" bestFit="1" customWidth="1"/>
    <col min="6925" max="6928" width="9.140625" style="110"/>
    <col min="6929" max="6929" width="11.5703125" style="110" bestFit="1" customWidth="1"/>
    <col min="6930" max="6930" width="10.5703125" style="110" customWidth="1"/>
    <col min="6931" max="7174" width="9.140625" style="110"/>
    <col min="7175" max="7175" width="12.7109375" style="110" customWidth="1"/>
    <col min="7176" max="7177" width="9.140625" style="110"/>
    <col min="7178" max="7178" width="9.5703125" style="110" bestFit="1" customWidth="1"/>
    <col min="7179" max="7179" width="9.140625" style="110"/>
    <col min="7180" max="7180" width="10.28515625" style="110" bestFit="1" customWidth="1"/>
    <col min="7181" max="7184" width="9.140625" style="110"/>
    <col min="7185" max="7185" width="11.5703125" style="110" bestFit="1" customWidth="1"/>
    <col min="7186" max="7186" width="10.5703125" style="110" customWidth="1"/>
    <col min="7187" max="7430" width="9.140625" style="110"/>
    <col min="7431" max="7431" width="12.7109375" style="110" customWidth="1"/>
    <col min="7432" max="7433" width="9.140625" style="110"/>
    <col min="7434" max="7434" width="9.5703125" style="110" bestFit="1" customWidth="1"/>
    <col min="7435" max="7435" width="9.140625" style="110"/>
    <col min="7436" max="7436" width="10.28515625" style="110" bestFit="1" customWidth="1"/>
    <col min="7437" max="7440" width="9.140625" style="110"/>
    <col min="7441" max="7441" width="11.5703125" style="110" bestFit="1" customWidth="1"/>
    <col min="7442" max="7442" width="10.5703125" style="110" customWidth="1"/>
    <col min="7443" max="7686" width="9.140625" style="110"/>
    <col min="7687" max="7687" width="12.7109375" style="110" customWidth="1"/>
    <col min="7688" max="7689" width="9.140625" style="110"/>
    <col min="7690" max="7690" width="9.5703125" style="110" bestFit="1" customWidth="1"/>
    <col min="7691" max="7691" width="9.140625" style="110"/>
    <col min="7692" max="7692" width="10.28515625" style="110" bestFit="1" customWidth="1"/>
    <col min="7693" max="7696" width="9.140625" style="110"/>
    <col min="7697" max="7697" width="11.5703125" style="110" bestFit="1" customWidth="1"/>
    <col min="7698" max="7698" width="10.5703125" style="110" customWidth="1"/>
    <col min="7699" max="7942" width="9.140625" style="110"/>
    <col min="7943" max="7943" width="12.7109375" style="110" customWidth="1"/>
    <col min="7944" max="7945" width="9.140625" style="110"/>
    <col min="7946" max="7946" width="9.5703125" style="110" bestFit="1" customWidth="1"/>
    <col min="7947" max="7947" width="9.140625" style="110"/>
    <col min="7948" max="7948" width="10.28515625" style="110" bestFit="1" customWidth="1"/>
    <col min="7949" max="7952" width="9.140625" style="110"/>
    <col min="7953" max="7953" width="11.5703125" style="110" bestFit="1" customWidth="1"/>
    <col min="7954" max="7954" width="10.5703125" style="110" customWidth="1"/>
    <col min="7955" max="8198" width="9.140625" style="110"/>
    <col min="8199" max="8199" width="12.7109375" style="110" customWidth="1"/>
    <col min="8200" max="8201" width="9.140625" style="110"/>
    <col min="8202" max="8202" width="9.5703125" style="110" bestFit="1" customWidth="1"/>
    <col min="8203" max="8203" width="9.140625" style="110"/>
    <col min="8204" max="8204" width="10.28515625" style="110" bestFit="1" customWidth="1"/>
    <col min="8205" max="8208" width="9.140625" style="110"/>
    <col min="8209" max="8209" width="11.5703125" style="110" bestFit="1" customWidth="1"/>
    <col min="8210" max="8210" width="10.5703125" style="110" customWidth="1"/>
    <col min="8211" max="8454" width="9.140625" style="110"/>
    <col min="8455" max="8455" width="12.7109375" style="110" customWidth="1"/>
    <col min="8456" max="8457" width="9.140625" style="110"/>
    <col min="8458" max="8458" width="9.5703125" style="110" bestFit="1" customWidth="1"/>
    <col min="8459" max="8459" width="9.140625" style="110"/>
    <col min="8460" max="8460" width="10.28515625" style="110" bestFit="1" customWidth="1"/>
    <col min="8461" max="8464" width="9.140625" style="110"/>
    <col min="8465" max="8465" width="11.5703125" style="110" bestFit="1" customWidth="1"/>
    <col min="8466" max="8466" width="10.5703125" style="110" customWidth="1"/>
    <col min="8467" max="8710" width="9.140625" style="110"/>
    <col min="8711" max="8711" width="12.7109375" style="110" customWidth="1"/>
    <col min="8712" max="8713" width="9.140625" style="110"/>
    <col min="8714" max="8714" width="9.5703125" style="110" bestFit="1" customWidth="1"/>
    <col min="8715" max="8715" width="9.140625" style="110"/>
    <col min="8716" max="8716" width="10.28515625" style="110" bestFit="1" customWidth="1"/>
    <col min="8717" max="8720" width="9.140625" style="110"/>
    <col min="8721" max="8721" width="11.5703125" style="110" bestFit="1" customWidth="1"/>
    <col min="8722" max="8722" width="10.5703125" style="110" customWidth="1"/>
    <col min="8723" max="8966" width="9.140625" style="110"/>
    <col min="8967" max="8967" width="12.7109375" style="110" customWidth="1"/>
    <col min="8968" max="8969" width="9.140625" style="110"/>
    <col min="8970" max="8970" width="9.5703125" style="110" bestFit="1" customWidth="1"/>
    <col min="8971" max="8971" width="9.140625" style="110"/>
    <col min="8972" max="8972" width="10.28515625" style="110" bestFit="1" customWidth="1"/>
    <col min="8973" max="8976" width="9.140625" style="110"/>
    <col min="8977" max="8977" width="11.5703125" style="110" bestFit="1" customWidth="1"/>
    <col min="8978" max="8978" width="10.5703125" style="110" customWidth="1"/>
    <col min="8979" max="9222" width="9.140625" style="110"/>
    <col min="9223" max="9223" width="12.7109375" style="110" customWidth="1"/>
    <col min="9224" max="9225" width="9.140625" style="110"/>
    <col min="9226" max="9226" width="9.5703125" style="110" bestFit="1" customWidth="1"/>
    <col min="9227" max="9227" width="9.140625" style="110"/>
    <col min="9228" max="9228" width="10.28515625" style="110" bestFit="1" customWidth="1"/>
    <col min="9229" max="9232" width="9.140625" style="110"/>
    <col min="9233" max="9233" width="11.5703125" style="110" bestFit="1" customWidth="1"/>
    <col min="9234" max="9234" width="10.5703125" style="110" customWidth="1"/>
    <col min="9235" max="9478" width="9.140625" style="110"/>
    <col min="9479" max="9479" width="12.7109375" style="110" customWidth="1"/>
    <col min="9480" max="9481" width="9.140625" style="110"/>
    <col min="9482" max="9482" width="9.5703125" style="110" bestFit="1" customWidth="1"/>
    <col min="9483" max="9483" width="9.140625" style="110"/>
    <col min="9484" max="9484" width="10.28515625" style="110" bestFit="1" customWidth="1"/>
    <col min="9485" max="9488" width="9.140625" style="110"/>
    <col min="9489" max="9489" width="11.5703125" style="110" bestFit="1" customWidth="1"/>
    <col min="9490" max="9490" width="10.5703125" style="110" customWidth="1"/>
    <col min="9491" max="9734" width="9.140625" style="110"/>
    <col min="9735" max="9735" width="12.7109375" style="110" customWidth="1"/>
    <col min="9736" max="9737" width="9.140625" style="110"/>
    <col min="9738" max="9738" width="9.5703125" style="110" bestFit="1" customWidth="1"/>
    <col min="9739" max="9739" width="9.140625" style="110"/>
    <col min="9740" max="9740" width="10.28515625" style="110" bestFit="1" customWidth="1"/>
    <col min="9741" max="9744" width="9.140625" style="110"/>
    <col min="9745" max="9745" width="11.5703125" style="110" bestFit="1" customWidth="1"/>
    <col min="9746" max="9746" width="10.5703125" style="110" customWidth="1"/>
    <col min="9747" max="9990" width="9.140625" style="110"/>
    <col min="9991" max="9991" width="12.7109375" style="110" customWidth="1"/>
    <col min="9992" max="9993" width="9.140625" style="110"/>
    <col min="9994" max="9994" width="9.5703125" style="110" bestFit="1" customWidth="1"/>
    <col min="9995" max="9995" width="9.140625" style="110"/>
    <col min="9996" max="9996" width="10.28515625" style="110" bestFit="1" customWidth="1"/>
    <col min="9997" max="10000" width="9.140625" style="110"/>
    <col min="10001" max="10001" width="11.5703125" style="110" bestFit="1" customWidth="1"/>
    <col min="10002" max="10002" width="10.5703125" style="110" customWidth="1"/>
    <col min="10003" max="10246" width="9.140625" style="110"/>
    <col min="10247" max="10247" width="12.7109375" style="110" customWidth="1"/>
    <col min="10248" max="10249" width="9.140625" style="110"/>
    <col min="10250" max="10250" width="9.5703125" style="110" bestFit="1" customWidth="1"/>
    <col min="10251" max="10251" width="9.140625" style="110"/>
    <col min="10252" max="10252" width="10.28515625" style="110" bestFit="1" customWidth="1"/>
    <col min="10253" max="10256" width="9.140625" style="110"/>
    <col min="10257" max="10257" width="11.5703125" style="110" bestFit="1" customWidth="1"/>
    <col min="10258" max="10258" width="10.5703125" style="110" customWidth="1"/>
    <col min="10259" max="10502" width="9.140625" style="110"/>
    <col min="10503" max="10503" width="12.7109375" style="110" customWidth="1"/>
    <col min="10504" max="10505" width="9.140625" style="110"/>
    <col min="10506" max="10506" width="9.5703125" style="110" bestFit="1" customWidth="1"/>
    <col min="10507" max="10507" width="9.140625" style="110"/>
    <col min="10508" max="10508" width="10.28515625" style="110" bestFit="1" customWidth="1"/>
    <col min="10509" max="10512" width="9.140625" style="110"/>
    <col min="10513" max="10513" width="11.5703125" style="110" bestFit="1" customWidth="1"/>
    <col min="10514" max="10514" width="10.5703125" style="110" customWidth="1"/>
    <col min="10515" max="10758" width="9.140625" style="110"/>
    <col min="10759" max="10759" width="12.7109375" style="110" customWidth="1"/>
    <col min="10760" max="10761" width="9.140625" style="110"/>
    <col min="10762" max="10762" width="9.5703125" style="110" bestFit="1" customWidth="1"/>
    <col min="10763" max="10763" width="9.140625" style="110"/>
    <col min="10764" max="10764" width="10.28515625" style="110" bestFit="1" customWidth="1"/>
    <col min="10765" max="10768" width="9.140625" style="110"/>
    <col min="10769" max="10769" width="11.5703125" style="110" bestFit="1" customWidth="1"/>
    <col min="10770" max="10770" width="10.5703125" style="110" customWidth="1"/>
    <col min="10771" max="11014" width="9.140625" style="110"/>
    <col min="11015" max="11015" width="12.7109375" style="110" customWidth="1"/>
    <col min="11016" max="11017" width="9.140625" style="110"/>
    <col min="11018" max="11018" width="9.5703125" style="110" bestFit="1" customWidth="1"/>
    <col min="11019" max="11019" width="9.140625" style="110"/>
    <col min="11020" max="11020" width="10.28515625" style="110" bestFit="1" customWidth="1"/>
    <col min="11021" max="11024" width="9.140625" style="110"/>
    <col min="11025" max="11025" width="11.5703125" style="110" bestFit="1" customWidth="1"/>
    <col min="11026" max="11026" width="10.5703125" style="110" customWidth="1"/>
    <col min="11027" max="11270" width="9.140625" style="110"/>
    <col min="11271" max="11271" width="12.7109375" style="110" customWidth="1"/>
    <col min="11272" max="11273" width="9.140625" style="110"/>
    <col min="11274" max="11274" width="9.5703125" style="110" bestFit="1" customWidth="1"/>
    <col min="11275" max="11275" width="9.140625" style="110"/>
    <col min="11276" max="11276" width="10.28515625" style="110" bestFit="1" customWidth="1"/>
    <col min="11277" max="11280" width="9.140625" style="110"/>
    <col min="11281" max="11281" width="11.5703125" style="110" bestFit="1" customWidth="1"/>
    <col min="11282" max="11282" width="10.5703125" style="110" customWidth="1"/>
    <col min="11283" max="11526" width="9.140625" style="110"/>
    <col min="11527" max="11527" width="12.7109375" style="110" customWidth="1"/>
    <col min="11528" max="11529" width="9.140625" style="110"/>
    <col min="11530" max="11530" width="9.5703125" style="110" bestFit="1" customWidth="1"/>
    <col min="11531" max="11531" width="9.140625" style="110"/>
    <col min="11532" max="11532" width="10.28515625" style="110" bestFit="1" customWidth="1"/>
    <col min="11533" max="11536" width="9.140625" style="110"/>
    <col min="11537" max="11537" width="11.5703125" style="110" bestFit="1" customWidth="1"/>
    <col min="11538" max="11538" width="10.5703125" style="110" customWidth="1"/>
    <col min="11539" max="11782" width="9.140625" style="110"/>
    <col min="11783" max="11783" width="12.7109375" style="110" customWidth="1"/>
    <col min="11784" max="11785" width="9.140625" style="110"/>
    <col min="11786" max="11786" width="9.5703125" style="110" bestFit="1" customWidth="1"/>
    <col min="11787" max="11787" width="9.140625" style="110"/>
    <col min="11788" max="11788" width="10.28515625" style="110" bestFit="1" customWidth="1"/>
    <col min="11789" max="11792" width="9.140625" style="110"/>
    <col min="11793" max="11793" width="11.5703125" style="110" bestFit="1" customWidth="1"/>
    <col min="11794" max="11794" width="10.5703125" style="110" customWidth="1"/>
    <col min="11795" max="12038" width="9.140625" style="110"/>
    <col min="12039" max="12039" width="12.7109375" style="110" customWidth="1"/>
    <col min="12040" max="12041" width="9.140625" style="110"/>
    <col min="12042" max="12042" width="9.5703125" style="110" bestFit="1" customWidth="1"/>
    <col min="12043" max="12043" width="9.140625" style="110"/>
    <col min="12044" max="12044" width="10.28515625" style="110" bestFit="1" customWidth="1"/>
    <col min="12045" max="12048" width="9.140625" style="110"/>
    <col min="12049" max="12049" width="11.5703125" style="110" bestFit="1" customWidth="1"/>
    <col min="12050" max="12050" width="10.5703125" style="110" customWidth="1"/>
    <col min="12051" max="12294" width="9.140625" style="110"/>
    <col min="12295" max="12295" width="12.7109375" style="110" customWidth="1"/>
    <col min="12296" max="12297" width="9.140625" style="110"/>
    <col min="12298" max="12298" width="9.5703125" style="110" bestFit="1" customWidth="1"/>
    <col min="12299" max="12299" width="9.140625" style="110"/>
    <col min="12300" max="12300" width="10.28515625" style="110" bestFit="1" customWidth="1"/>
    <col min="12301" max="12304" width="9.140625" style="110"/>
    <col min="12305" max="12305" width="11.5703125" style="110" bestFit="1" customWidth="1"/>
    <col min="12306" max="12306" width="10.5703125" style="110" customWidth="1"/>
    <col min="12307" max="12550" width="9.140625" style="110"/>
    <col min="12551" max="12551" width="12.7109375" style="110" customWidth="1"/>
    <col min="12552" max="12553" width="9.140625" style="110"/>
    <col min="12554" max="12554" width="9.5703125" style="110" bestFit="1" customWidth="1"/>
    <col min="12555" max="12555" width="9.140625" style="110"/>
    <col min="12556" max="12556" width="10.28515625" style="110" bestFit="1" customWidth="1"/>
    <col min="12557" max="12560" width="9.140625" style="110"/>
    <col min="12561" max="12561" width="11.5703125" style="110" bestFit="1" customWidth="1"/>
    <col min="12562" max="12562" width="10.5703125" style="110" customWidth="1"/>
    <col min="12563" max="12806" width="9.140625" style="110"/>
    <col min="12807" max="12807" width="12.7109375" style="110" customWidth="1"/>
    <col min="12808" max="12809" width="9.140625" style="110"/>
    <col min="12810" max="12810" width="9.5703125" style="110" bestFit="1" customWidth="1"/>
    <col min="12811" max="12811" width="9.140625" style="110"/>
    <col min="12812" max="12812" width="10.28515625" style="110" bestFit="1" customWidth="1"/>
    <col min="12813" max="12816" width="9.140625" style="110"/>
    <col min="12817" max="12817" width="11.5703125" style="110" bestFit="1" customWidth="1"/>
    <col min="12818" max="12818" width="10.5703125" style="110" customWidth="1"/>
    <col min="12819" max="13062" width="9.140625" style="110"/>
    <col min="13063" max="13063" width="12.7109375" style="110" customWidth="1"/>
    <col min="13064" max="13065" width="9.140625" style="110"/>
    <col min="13066" max="13066" width="9.5703125" style="110" bestFit="1" customWidth="1"/>
    <col min="13067" max="13067" width="9.140625" style="110"/>
    <col min="13068" max="13068" width="10.28515625" style="110" bestFit="1" customWidth="1"/>
    <col min="13069" max="13072" width="9.140625" style="110"/>
    <col min="13073" max="13073" width="11.5703125" style="110" bestFit="1" customWidth="1"/>
    <col min="13074" max="13074" width="10.5703125" style="110" customWidth="1"/>
    <col min="13075" max="13318" width="9.140625" style="110"/>
    <col min="13319" max="13319" width="12.7109375" style="110" customWidth="1"/>
    <col min="13320" max="13321" width="9.140625" style="110"/>
    <col min="13322" max="13322" width="9.5703125" style="110" bestFit="1" customWidth="1"/>
    <col min="13323" max="13323" width="9.140625" style="110"/>
    <col min="13324" max="13324" width="10.28515625" style="110" bestFit="1" customWidth="1"/>
    <col min="13325" max="13328" width="9.140625" style="110"/>
    <col min="13329" max="13329" width="11.5703125" style="110" bestFit="1" customWidth="1"/>
    <col min="13330" max="13330" width="10.5703125" style="110" customWidth="1"/>
    <col min="13331" max="13574" width="9.140625" style="110"/>
    <col min="13575" max="13575" width="12.7109375" style="110" customWidth="1"/>
    <col min="13576" max="13577" width="9.140625" style="110"/>
    <col min="13578" max="13578" width="9.5703125" style="110" bestFit="1" customWidth="1"/>
    <col min="13579" max="13579" width="9.140625" style="110"/>
    <col min="13580" max="13580" width="10.28515625" style="110" bestFit="1" customWidth="1"/>
    <col min="13581" max="13584" width="9.140625" style="110"/>
    <col min="13585" max="13585" width="11.5703125" style="110" bestFit="1" customWidth="1"/>
    <col min="13586" max="13586" width="10.5703125" style="110" customWidth="1"/>
    <col min="13587" max="13830" width="9.140625" style="110"/>
    <col min="13831" max="13831" width="12.7109375" style="110" customWidth="1"/>
    <col min="13832" max="13833" width="9.140625" style="110"/>
    <col min="13834" max="13834" width="9.5703125" style="110" bestFit="1" customWidth="1"/>
    <col min="13835" max="13835" width="9.140625" style="110"/>
    <col min="13836" max="13836" width="10.28515625" style="110" bestFit="1" customWidth="1"/>
    <col min="13837" max="13840" width="9.140625" style="110"/>
    <col min="13841" max="13841" width="11.5703125" style="110" bestFit="1" customWidth="1"/>
    <col min="13842" max="13842" width="10.5703125" style="110" customWidth="1"/>
    <col min="13843" max="14086" width="9.140625" style="110"/>
    <col min="14087" max="14087" width="12.7109375" style="110" customWidth="1"/>
    <col min="14088" max="14089" width="9.140625" style="110"/>
    <col min="14090" max="14090" width="9.5703125" style="110" bestFit="1" customWidth="1"/>
    <col min="14091" max="14091" width="9.140625" style="110"/>
    <col min="14092" max="14092" width="10.28515625" style="110" bestFit="1" customWidth="1"/>
    <col min="14093" max="14096" width="9.140625" style="110"/>
    <col min="14097" max="14097" width="11.5703125" style="110" bestFit="1" customWidth="1"/>
    <col min="14098" max="14098" width="10.5703125" style="110" customWidth="1"/>
    <col min="14099" max="14342" width="9.140625" style="110"/>
    <col min="14343" max="14343" width="12.7109375" style="110" customWidth="1"/>
    <col min="14344" max="14345" width="9.140625" style="110"/>
    <col min="14346" max="14346" width="9.5703125" style="110" bestFit="1" customWidth="1"/>
    <col min="14347" max="14347" width="9.140625" style="110"/>
    <col min="14348" max="14348" width="10.28515625" style="110" bestFit="1" customWidth="1"/>
    <col min="14349" max="14352" width="9.140625" style="110"/>
    <col min="14353" max="14353" width="11.5703125" style="110" bestFit="1" customWidth="1"/>
    <col min="14354" max="14354" width="10.5703125" style="110" customWidth="1"/>
    <col min="14355" max="14598" width="9.140625" style="110"/>
    <col min="14599" max="14599" width="12.7109375" style="110" customWidth="1"/>
    <col min="14600" max="14601" width="9.140625" style="110"/>
    <col min="14602" max="14602" width="9.5703125" style="110" bestFit="1" customWidth="1"/>
    <col min="14603" max="14603" width="9.140625" style="110"/>
    <col min="14604" max="14604" width="10.28515625" style="110" bestFit="1" customWidth="1"/>
    <col min="14605" max="14608" width="9.140625" style="110"/>
    <col min="14609" max="14609" width="11.5703125" style="110" bestFit="1" customWidth="1"/>
    <col min="14610" max="14610" width="10.5703125" style="110" customWidth="1"/>
    <col min="14611" max="14854" width="9.140625" style="110"/>
    <col min="14855" max="14855" width="12.7109375" style="110" customWidth="1"/>
    <col min="14856" max="14857" width="9.140625" style="110"/>
    <col min="14858" max="14858" width="9.5703125" style="110" bestFit="1" customWidth="1"/>
    <col min="14859" max="14859" width="9.140625" style="110"/>
    <col min="14860" max="14860" width="10.28515625" style="110" bestFit="1" customWidth="1"/>
    <col min="14861" max="14864" width="9.140625" style="110"/>
    <col min="14865" max="14865" width="11.5703125" style="110" bestFit="1" customWidth="1"/>
    <col min="14866" max="14866" width="10.5703125" style="110" customWidth="1"/>
    <col min="14867" max="15110" width="9.140625" style="110"/>
    <col min="15111" max="15111" width="12.7109375" style="110" customWidth="1"/>
    <col min="15112" max="15113" width="9.140625" style="110"/>
    <col min="15114" max="15114" width="9.5703125" style="110" bestFit="1" customWidth="1"/>
    <col min="15115" max="15115" width="9.140625" style="110"/>
    <col min="15116" max="15116" width="10.28515625" style="110" bestFit="1" customWidth="1"/>
    <col min="15117" max="15120" width="9.140625" style="110"/>
    <col min="15121" max="15121" width="11.5703125" style="110" bestFit="1" customWidth="1"/>
    <col min="15122" max="15122" width="10.5703125" style="110" customWidth="1"/>
    <col min="15123" max="15366" width="9.140625" style="110"/>
    <col min="15367" max="15367" width="12.7109375" style="110" customWidth="1"/>
    <col min="15368" max="15369" width="9.140625" style="110"/>
    <col min="15370" max="15370" width="9.5703125" style="110" bestFit="1" customWidth="1"/>
    <col min="15371" max="15371" width="9.140625" style="110"/>
    <col min="15372" max="15372" width="10.28515625" style="110" bestFit="1" customWidth="1"/>
    <col min="15373" max="15376" width="9.140625" style="110"/>
    <col min="15377" max="15377" width="11.5703125" style="110" bestFit="1" customWidth="1"/>
    <col min="15378" max="15378" width="10.5703125" style="110" customWidth="1"/>
    <col min="15379" max="15622" width="9.140625" style="110"/>
    <col min="15623" max="15623" width="12.7109375" style="110" customWidth="1"/>
    <col min="15624" max="15625" width="9.140625" style="110"/>
    <col min="15626" max="15626" width="9.5703125" style="110" bestFit="1" customWidth="1"/>
    <col min="15627" max="15627" width="9.140625" style="110"/>
    <col min="15628" max="15628" width="10.28515625" style="110" bestFit="1" customWidth="1"/>
    <col min="15629" max="15632" width="9.140625" style="110"/>
    <col min="15633" max="15633" width="11.5703125" style="110" bestFit="1" customWidth="1"/>
    <col min="15634" max="15634" width="10.5703125" style="110" customWidth="1"/>
    <col min="15635" max="15878" width="9.140625" style="110"/>
    <col min="15879" max="15879" width="12.7109375" style="110" customWidth="1"/>
    <col min="15880" max="15881" width="9.140625" style="110"/>
    <col min="15882" max="15882" width="9.5703125" style="110" bestFit="1" customWidth="1"/>
    <col min="15883" max="15883" width="9.140625" style="110"/>
    <col min="15884" max="15884" width="10.28515625" style="110" bestFit="1" customWidth="1"/>
    <col min="15885" max="15888" width="9.140625" style="110"/>
    <col min="15889" max="15889" width="11.5703125" style="110" bestFit="1" customWidth="1"/>
    <col min="15890" max="15890" width="10.5703125" style="110" customWidth="1"/>
    <col min="15891" max="16134" width="9.140625" style="110"/>
    <col min="16135" max="16135" width="12.7109375" style="110" customWidth="1"/>
    <col min="16136" max="16137" width="9.140625" style="110"/>
    <col min="16138" max="16138" width="9.5703125" style="110" bestFit="1" customWidth="1"/>
    <col min="16139" max="16139" width="9.140625" style="110"/>
    <col min="16140" max="16140" width="10.28515625" style="110" bestFit="1" customWidth="1"/>
    <col min="16141" max="16144" width="9.140625" style="110"/>
    <col min="16145" max="16145" width="11.5703125" style="110" bestFit="1" customWidth="1"/>
    <col min="16146" max="16146" width="10.5703125" style="110" customWidth="1"/>
    <col min="16147" max="16384" width="9.140625" style="110"/>
  </cols>
  <sheetData>
    <row r="1" spans="2:18" ht="15.75" x14ac:dyDescent="0.25">
      <c r="B1" s="111" t="s">
        <v>230</v>
      </c>
      <c r="H1" s="110" t="s">
        <v>231</v>
      </c>
      <c r="I1" s="112" t="s">
        <v>232</v>
      </c>
      <c r="P1" s="110" t="s">
        <v>233</v>
      </c>
      <c r="Q1" s="113">
        <v>44775</v>
      </c>
    </row>
    <row r="2" spans="2:18" ht="15.75" thickBot="1" x14ac:dyDescent="0.3"/>
    <row r="3" spans="2:18" x14ac:dyDescent="0.25">
      <c r="B3" s="209">
        <v>2019</v>
      </c>
      <c r="C3" s="114"/>
      <c r="D3" s="115"/>
      <c r="E3" s="115"/>
      <c r="F3" s="115"/>
      <c r="G3" s="115"/>
      <c r="H3" s="115"/>
      <c r="I3" s="115"/>
      <c r="J3" s="115"/>
      <c r="K3" s="115"/>
      <c r="L3" s="115"/>
      <c r="M3" s="115"/>
      <c r="N3" s="115"/>
      <c r="O3" s="115"/>
      <c r="P3" s="115"/>
      <c r="Q3" s="115"/>
      <c r="R3" s="116"/>
    </row>
    <row r="4" spans="2:18" ht="15.75" x14ac:dyDescent="0.25">
      <c r="B4" s="209"/>
      <c r="C4" s="117"/>
      <c r="D4" s="183" t="s">
        <v>234</v>
      </c>
      <c r="E4" s="184"/>
      <c r="F4" s="184"/>
      <c r="G4" s="184"/>
      <c r="H4" s="184"/>
      <c r="I4" s="184"/>
      <c r="J4" s="184"/>
      <c r="K4" s="184"/>
      <c r="L4" s="184"/>
      <c r="M4" s="184"/>
      <c r="N4" s="184"/>
      <c r="O4" s="184"/>
      <c r="P4" s="184"/>
      <c r="Q4" s="184"/>
      <c r="R4" s="118"/>
    </row>
    <row r="5" spans="2:18" ht="15.75" thickBot="1" x14ac:dyDescent="0.3">
      <c r="B5" s="209"/>
      <c r="C5" s="117"/>
      <c r="D5" s="119"/>
      <c r="E5" s="119"/>
      <c r="F5" s="119"/>
      <c r="G5" s="119"/>
      <c r="H5" s="119"/>
      <c r="I5" s="119"/>
      <c r="J5" s="119"/>
      <c r="K5" s="119"/>
      <c r="L5" s="119"/>
      <c r="M5" s="119"/>
      <c r="N5" s="119"/>
      <c r="O5" s="119"/>
      <c r="P5" s="119"/>
      <c r="Q5" s="119"/>
      <c r="R5" s="118"/>
    </row>
    <row r="6" spans="2:18" x14ac:dyDescent="0.25">
      <c r="B6" s="209"/>
      <c r="C6" s="117"/>
      <c r="D6" s="185" t="s">
        <v>235</v>
      </c>
      <c r="E6" s="186"/>
      <c r="F6" s="186"/>
      <c r="G6" s="186"/>
      <c r="H6" s="186"/>
      <c r="I6" s="186"/>
      <c r="J6" s="186"/>
      <c r="K6" s="186"/>
      <c r="L6" s="186"/>
      <c r="M6" s="186"/>
      <c r="N6" s="186"/>
      <c r="O6" s="186"/>
      <c r="P6" s="186"/>
      <c r="Q6" s="187"/>
      <c r="R6" s="118"/>
    </row>
    <row r="7" spans="2:18" ht="15.75" thickBot="1" x14ac:dyDescent="0.3">
      <c r="B7" s="209"/>
      <c r="C7" s="117"/>
      <c r="D7" s="188">
        <v>2019</v>
      </c>
      <c r="E7" s="189"/>
      <c r="F7" s="190">
        <v>0.10199999999999999</v>
      </c>
      <c r="G7" s="191"/>
      <c r="H7" s="191"/>
      <c r="I7" s="191"/>
      <c r="J7" s="191"/>
      <c r="K7" s="191"/>
      <c r="L7" s="191"/>
      <c r="M7" s="191"/>
      <c r="N7" s="191"/>
      <c r="O7" s="191"/>
      <c r="P7" s="191"/>
      <c r="Q7" s="192"/>
      <c r="R7" s="118"/>
    </row>
    <row r="8" spans="2:18" x14ac:dyDescent="0.25">
      <c r="B8" s="209"/>
      <c r="C8" s="117"/>
      <c r="D8" s="119"/>
      <c r="E8" s="120"/>
      <c r="F8" s="120"/>
      <c r="G8" s="120"/>
      <c r="H8" s="120"/>
      <c r="I8" s="120"/>
      <c r="J8" s="120"/>
      <c r="K8" s="120"/>
      <c r="L8" s="120"/>
      <c r="M8" s="120"/>
      <c r="N8" s="120"/>
      <c r="O8" s="120"/>
      <c r="P8" s="120"/>
      <c r="Q8" s="120"/>
      <c r="R8" s="118"/>
    </row>
    <row r="9" spans="2:18" x14ac:dyDescent="0.25">
      <c r="B9" s="209"/>
      <c r="C9" s="117"/>
      <c r="D9" s="119"/>
      <c r="E9" s="119"/>
      <c r="F9" s="119"/>
      <c r="G9" s="119"/>
      <c r="H9" s="119"/>
      <c r="I9" s="119"/>
      <c r="J9" s="119"/>
      <c r="K9" s="119"/>
      <c r="L9" s="119"/>
      <c r="M9" s="119"/>
      <c r="N9" s="119"/>
      <c r="O9" s="119"/>
      <c r="P9" s="119"/>
      <c r="Q9" s="119"/>
      <c r="R9" s="118"/>
    </row>
    <row r="10" spans="2:18" ht="15.75" x14ac:dyDescent="0.25">
      <c r="B10" s="209"/>
      <c r="C10" s="117"/>
      <c r="D10" s="183" t="s">
        <v>236</v>
      </c>
      <c r="E10" s="184"/>
      <c r="F10" s="184"/>
      <c r="G10" s="184"/>
      <c r="H10" s="184"/>
      <c r="I10" s="184"/>
      <c r="J10" s="184"/>
      <c r="K10" s="184"/>
      <c r="L10" s="184"/>
      <c r="M10" s="184"/>
      <c r="N10" s="184"/>
      <c r="O10" s="184"/>
      <c r="P10" s="184"/>
      <c r="Q10" s="184"/>
      <c r="R10" s="118"/>
    </row>
    <row r="11" spans="2:18" ht="15.75" thickBot="1" x14ac:dyDescent="0.3">
      <c r="B11" s="209"/>
      <c r="C11" s="117"/>
      <c r="D11" s="119"/>
      <c r="E11" s="119"/>
      <c r="F11" s="119"/>
      <c r="G11" s="119"/>
      <c r="H11" s="119"/>
      <c r="I11" s="119"/>
      <c r="J11" s="119"/>
      <c r="K11" s="119"/>
      <c r="L11" s="119"/>
      <c r="M11" s="119"/>
      <c r="N11" s="119"/>
      <c r="O11" s="119"/>
      <c r="P11" s="119"/>
      <c r="Q11" s="119"/>
      <c r="R11" s="118"/>
    </row>
    <row r="12" spans="2:18" x14ac:dyDescent="0.25">
      <c r="B12" s="209"/>
      <c r="C12" s="117"/>
      <c r="D12" s="185" t="s">
        <v>237</v>
      </c>
      <c r="E12" s="186"/>
      <c r="F12" s="186"/>
      <c r="G12" s="186"/>
      <c r="H12" s="186"/>
      <c r="I12" s="186"/>
      <c r="J12" s="186"/>
      <c r="K12" s="186"/>
      <c r="L12" s="186"/>
      <c r="M12" s="186"/>
      <c r="N12" s="186"/>
      <c r="O12" s="186"/>
      <c r="P12" s="186"/>
      <c r="Q12" s="187"/>
      <c r="R12" s="118"/>
    </row>
    <row r="13" spans="2:18" x14ac:dyDescent="0.25">
      <c r="B13" s="209"/>
      <c r="C13" s="117"/>
      <c r="D13" s="193">
        <v>2019</v>
      </c>
      <c r="E13" s="194"/>
      <c r="F13" s="195" t="s">
        <v>238</v>
      </c>
      <c r="G13" s="196"/>
      <c r="H13" s="196"/>
      <c r="I13" s="196"/>
      <c r="J13" s="196"/>
      <c r="K13" s="196"/>
      <c r="L13" s="196"/>
      <c r="M13" s="196"/>
      <c r="N13" s="196"/>
      <c r="O13" s="196"/>
      <c r="P13" s="196"/>
      <c r="Q13" s="197"/>
      <c r="R13" s="118"/>
    </row>
    <row r="14" spans="2:18" x14ac:dyDescent="0.25">
      <c r="B14" s="209"/>
      <c r="C14" s="117"/>
      <c r="D14" s="121"/>
      <c r="E14" s="122"/>
      <c r="F14" s="123" t="s">
        <v>239</v>
      </c>
      <c r="G14" s="123" t="s">
        <v>240</v>
      </c>
      <c r="H14" s="123" t="s">
        <v>241</v>
      </c>
      <c r="I14" s="123" t="s">
        <v>242</v>
      </c>
      <c r="J14" s="123" t="s">
        <v>243</v>
      </c>
      <c r="K14" s="123" t="s">
        <v>244</v>
      </c>
      <c r="L14" s="123" t="s">
        <v>245</v>
      </c>
      <c r="M14" s="123" t="s">
        <v>246</v>
      </c>
      <c r="N14" s="123" t="s">
        <v>247</v>
      </c>
      <c r="O14" s="123" t="s">
        <v>248</v>
      </c>
      <c r="P14" s="123" t="s">
        <v>249</v>
      </c>
      <c r="Q14" s="124" t="s">
        <v>250</v>
      </c>
      <c r="R14" s="125" t="s">
        <v>77</v>
      </c>
    </row>
    <row r="15" spans="2:18" ht="15.75" thickBot="1" x14ac:dyDescent="0.3">
      <c r="B15" s="209"/>
      <c r="C15" s="117"/>
      <c r="D15" s="126"/>
      <c r="E15" s="127"/>
      <c r="F15" s="128">
        <v>0.35399999999999998</v>
      </c>
      <c r="G15" s="128">
        <v>0.55730000000000002</v>
      </c>
      <c r="H15" s="128">
        <v>0.50749999999999995</v>
      </c>
      <c r="I15" s="128">
        <v>0.50949999999999995</v>
      </c>
      <c r="J15" s="128">
        <v>0.47939999999999999</v>
      </c>
      <c r="K15" s="128">
        <v>0.41749999999999998</v>
      </c>
      <c r="L15" s="128">
        <v>0.59140000000000004</v>
      </c>
      <c r="M15" s="128">
        <v>0.53120000000000001</v>
      </c>
      <c r="N15" s="128">
        <v>0.56059999999999999</v>
      </c>
      <c r="O15" s="128">
        <v>0.53700000000000003</v>
      </c>
      <c r="P15" s="128">
        <v>0.57199999999999995</v>
      </c>
      <c r="Q15" s="129">
        <v>0.59970000000000001</v>
      </c>
      <c r="R15" s="130">
        <f>AVERAGE(F15:Q15)</f>
        <v>0.51809166666666673</v>
      </c>
    </row>
    <row r="16" spans="2:18" ht="15.75" thickBot="1" x14ac:dyDescent="0.3">
      <c r="B16" s="209"/>
      <c r="C16" s="117"/>
      <c r="D16" s="131"/>
      <c r="E16" s="131"/>
      <c r="F16" s="131"/>
      <c r="G16" s="131"/>
      <c r="H16" s="131"/>
      <c r="I16" s="131"/>
      <c r="J16" s="131"/>
      <c r="K16" s="131"/>
      <c r="L16" s="131"/>
      <c r="M16" s="131"/>
      <c r="N16" s="131"/>
      <c r="O16" s="131"/>
      <c r="P16" s="131"/>
      <c r="Q16" s="131"/>
      <c r="R16" s="118"/>
    </row>
    <row r="17" spans="2:18" ht="15.75" thickBot="1" x14ac:dyDescent="0.3">
      <c r="B17" s="209"/>
      <c r="C17" s="117"/>
      <c r="D17" s="131"/>
      <c r="E17" s="131"/>
      <c r="F17" s="131"/>
      <c r="G17" s="131"/>
      <c r="H17" s="131"/>
      <c r="I17" s="210" t="s">
        <v>251</v>
      </c>
      <c r="J17" s="211"/>
      <c r="K17" s="211"/>
      <c r="L17" s="132">
        <f>(F7*0.5)+(R15*0.5)</f>
        <v>0.31004583333333335</v>
      </c>
      <c r="M17" s="131"/>
      <c r="N17" s="131"/>
      <c r="O17" s="131"/>
      <c r="P17" s="131"/>
      <c r="Q17" s="131"/>
      <c r="R17" s="118"/>
    </row>
    <row r="18" spans="2:18" ht="15.75" thickBot="1" x14ac:dyDescent="0.3">
      <c r="B18" s="209"/>
      <c r="C18" s="133"/>
      <c r="D18" s="134"/>
      <c r="E18" s="134"/>
      <c r="F18" s="134"/>
      <c r="G18" s="134"/>
      <c r="H18" s="134"/>
      <c r="I18" s="134"/>
      <c r="J18" s="134"/>
      <c r="K18" s="134"/>
      <c r="L18" s="134"/>
      <c r="M18" s="134"/>
      <c r="N18" s="134"/>
      <c r="O18" s="134"/>
      <c r="P18" s="134"/>
      <c r="Q18" s="134"/>
      <c r="R18" s="135"/>
    </row>
    <row r="19" spans="2:18" x14ac:dyDescent="0.25">
      <c r="C19" s="142"/>
      <c r="D19" s="142"/>
      <c r="E19" s="142"/>
      <c r="F19" s="142"/>
      <c r="G19" s="142"/>
      <c r="H19" s="142"/>
      <c r="I19" s="142"/>
      <c r="J19" s="142"/>
      <c r="K19" s="142"/>
      <c r="L19" s="142"/>
      <c r="M19" s="142"/>
      <c r="N19" s="142"/>
      <c r="O19" s="142"/>
      <c r="P19" s="142"/>
      <c r="Q19" s="142"/>
      <c r="R19" s="142"/>
    </row>
    <row r="20" spans="2:18" ht="15.75" thickBot="1" x14ac:dyDescent="0.3">
      <c r="C20" s="143"/>
      <c r="D20" s="143"/>
      <c r="E20" s="143"/>
      <c r="F20" s="143"/>
      <c r="G20" s="143"/>
      <c r="H20" s="143"/>
      <c r="I20" s="143"/>
      <c r="J20" s="143"/>
      <c r="K20" s="143"/>
      <c r="L20" s="143"/>
      <c r="M20" s="143"/>
      <c r="N20" s="143"/>
      <c r="O20" s="143"/>
      <c r="P20" s="143"/>
      <c r="Q20" s="143"/>
      <c r="R20" s="143"/>
    </row>
    <row r="21" spans="2:18" x14ac:dyDescent="0.25">
      <c r="B21" s="209">
        <v>2020</v>
      </c>
      <c r="C21" s="114"/>
      <c r="D21" s="115"/>
      <c r="E21" s="115"/>
      <c r="F21" s="115"/>
      <c r="G21" s="115"/>
      <c r="H21" s="115"/>
      <c r="I21" s="115"/>
      <c r="J21" s="115"/>
      <c r="K21" s="115"/>
      <c r="L21" s="115"/>
      <c r="M21" s="115"/>
      <c r="N21" s="115"/>
      <c r="O21" s="115"/>
      <c r="P21" s="115"/>
      <c r="Q21" s="115"/>
      <c r="R21" s="116"/>
    </row>
    <row r="22" spans="2:18" ht="15.75" x14ac:dyDescent="0.25">
      <c r="B22" s="209"/>
      <c r="C22" s="117"/>
      <c r="D22" s="183" t="s">
        <v>234</v>
      </c>
      <c r="E22" s="184"/>
      <c r="F22" s="184"/>
      <c r="G22" s="184"/>
      <c r="H22" s="184"/>
      <c r="I22" s="184"/>
      <c r="J22" s="184"/>
      <c r="K22" s="184"/>
      <c r="L22" s="184"/>
      <c r="M22" s="184"/>
      <c r="N22" s="184"/>
      <c r="O22" s="184"/>
      <c r="P22" s="184"/>
      <c r="Q22" s="184"/>
      <c r="R22" s="118"/>
    </row>
    <row r="23" spans="2:18" ht="15.75" thickBot="1" x14ac:dyDescent="0.3">
      <c r="B23" s="209"/>
      <c r="C23" s="117"/>
      <c r="D23" s="119"/>
      <c r="E23" s="119"/>
      <c r="F23" s="119"/>
      <c r="G23" s="119"/>
      <c r="H23" s="119"/>
      <c r="I23" s="119"/>
      <c r="J23" s="119"/>
      <c r="K23" s="119"/>
      <c r="L23" s="119"/>
      <c r="M23" s="119"/>
      <c r="N23" s="119"/>
      <c r="O23" s="119"/>
      <c r="P23" s="119"/>
      <c r="Q23" s="119"/>
      <c r="R23" s="118"/>
    </row>
    <row r="24" spans="2:18" x14ac:dyDescent="0.25">
      <c r="B24" s="209"/>
      <c r="C24" s="117"/>
      <c r="D24" s="185" t="s">
        <v>235</v>
      </c>
      <c r="E24" s="186"/>
      <c r="F24" s="186"/>
      <c r="G24" s="186"/>
      <c r="H24" s="186"/>
      <c r="I24" s="186"/>
      <c r="J24" s="186"/>
      <c r="K24" s="186"/>
      <c r="L24" s="186"/>
      <c r="M24" s="186"/>
      <c r="N24" s="186"/>
      <c r="O24" s="186"/>
      <c r="P24" s="186"/>
      <c r="Q24" s="187"/>
      <c r="R24" s="118"/>
    </row>
    <row r="25" spans="2:18" ht="15.75" thickBot="1" x14ac:dyDescent="0.3">
      <c r="B25" s="209"/>
      <c r="C25" s="117"/>
      <c r="D25" s="188">
        <v>2020</v>
      </c>
      <c r="E25" s="189"/>
      <c r="F25" s="190">
        <v>9.7900000000000001E-2</v>
      </c>
      <c r="G25" s="191"/>
      <c r="H25" s="191"/>
      <c r="I25" s="191"/>
      <c r="J25" s="191"/>
      <c r="K25" s="191"/>
      <c r="L25" s="191"/>
      <c r="M25" s="191"/>
      <c r="N25" s="191"/>
      <c r="O25" s="191"/>
      <c r="P25" s="191"/>
      <c r="Q25" s="192"/>
      <c r="R25" s="118"/>
    </row>
    <row r="26" spans="2:18" x14ac:dyDescent="0.25">
      <c r="B26" s="209"/>
      <c r="C26" s="117"/>
      <c r="D26" s="119"/>
      <c r="E26" s="120"/>
      <c r="F26" s="120"/>
      <c r="G26" s="120"/>
      <c r="H26" s="120"/>
      <c r="I26" s="120"/>
      <c r="J26" s="120"/>
      <c r="K26" s="120"/>
      <c r="L26" s="120"/>
      <c r="M26" s="120"/>
      <c r="N26" s="120"/>
      <c r="O26" s="120"/>
      <c r="P26" s="120"/>
      <c r="Q26" s="120"/>
      <c r="R26" s="118"/>
    </row>
    <row r="27" spans="2:18" x14ac:dyDescent="0.25">
      <c r="B27" s="209"/>
      <c r="C27" s="117"/>
      <c r="D27" s="119"/>
      <c r="E27" s="119"/>
      <c r="F27" s="119"/>
      <c r="G27" s="119"/>
      <c r="H27" s="119"/>
      <c r="I27" s="119"/>
      <c r="J27" s="119"/>
      <c r="K27" s="119"/>
      <c r="L27" s="119"/>
      <c r="M27" s="119"/>
      <c r="N27" s="119"/>
      <c r="O27" s="119"/>
      <c r="P27" s="119"/>
      <c r="Q27" s="119"/>
      <c r="R27" s="118"/>
    </row>
    <row r="28" spans="2:18" ht="15.75" x14ac:dyDescent="0.25">
      <c r="B28" s="209"/>
      <c r="C28" s="117"/>
      <c r="D28" s="183" t="s">
        <v>236</v>
      </c>
      <c r="E28" s="184"/>
      <c r="F28" s="184"/>
      <c r="G28" s="184"/>
      <c r="H28" s="184"/>
      <c r="I28" s="184"/>
      <c r="J28" s="184"/>
      <c r="K28" s="184"/>
      <c r="L28" s="184"/>
      <c r="M28" s="184"/>
      <c r="N28" s="184"/>
      <c r="O28" s="184"/>
      <c r="P28" s="184"/>
      <c r="Q28" s="184"/>
      <c r="R28" s="118"/>
    </row>
    <row r="29" spans="2:18" ht="15.75" thickBot="1" x14ac:dyDescent="0.3">
      <c r="B29" s="209"/>
      <c r="C29" s="117"/>
      <c r="D29" s="119"/>
      <c r="E29" s="119"/>
      <c r="F29" s="119"/>
      <c r="G29" s="119"/>
      <c r="H29" s="119"/>
      <c r="I29" s="119"/>
      <c r="J29" s="119"/>
      <c r="K29" s="119"/>
      <c r="L29" s="119"/>
      <c r="M29" s="119"/>
      <c r="N29" s="119"/>
      <c r="O29" s="119"/>
      <c r="P29" s="119"/>
      <c r="Q29" s="119"/>
      <c r="R29" s="118"/>
    </row>
    <row r="30" spans="2:18" x14ac:dyDescent="0.25">
      <c r="B30" s="209"/>
      <c r="C30" s="117"/>
      <c r="D30" s="185" t="s">
        <v>237</v>
      </c>
      <c r="E30" s="186"/>
      <c r="F30" s="186"/>
      <c r="G30" s="186"/>
      <c r="H30" s="186"/>
      <c r="I30" s="186"/>
      <c r="J30" s="186"/>
      <c r="K30" s="186"/>
      <c r="L30" s="186"/>
      <c r="M30" s="186"/>
      <c r="N30" s="186"/>
      <c r="O30" s="186"/>
      <c r="P30" s="186"/>
      <c r="Q30" s="187"/>
      <c r="R30" s="118"/>
    </row>
    <row r="31" spans="2:18" x14ac:dyDescent="0.25">
      <c r="B31" s="209"/>
      <c r="C31" s="117"/>
      <c r="D31" s="193">
        <v>2020</v>
      </c>
      <c r="E31" s="204"/>
      <c r="F31" s="195" t="s">
        <v>238</v>
      </c>
      <c r="G31" s="196"/>
      <c r="H31" s="196"/>
      <c r="I31" s="196"/>
      <c r="J31" s="196"/>
      <c r="K31" s="196"/>
      <c r="L31" s="196"/>
      <c r="M31" s="196"/>
      <c r="N31" s="196"/>
      <c r="O31" s="196"/>
      <c r="P31" s="196"/>
      <c r="Q31" s="197"/>
      <c r="R31" s="118"/>
    </row>
    <row r="32" spans="2:18" x14ac:dyDescent="0.25">
      <c r="B32" s="209"/>
      <c r="C32" s="117"/>
      <c r="D32" s="121"/>
      <c r="E32" s="122"/>
      <c r="F32" s="123" t="s">
        <v>239</v>
      </c>
      <c r="G32" s="123" t="s">
        <v>240</v>
      </c>
      <c r="H32" s="123" t="s">
        <v>241</v>
      </c>
      <c r="I32" s="123" t="s">
        <v>242</v>
      </c>
      <c r="J32" s="123" t="s">
        <v>243</v>
      </c>
      <c r="K32" s="123" t="s">
        <v>244</v>
      </c>
      <c r="L32" s="123" t="s">
        <v>245</v>
      </c>
      <c r="M32" s="123" t="s">
        <v>246</v>
      </c>
      <c r="N32" s="123" t="s">
        <v>247</v>
      </c>
      <c r="O32" s="123" t="s">
        <v>248</v>
      </c>
      <c r="P32" s="123" t="s">
        <v>249</v>
      </c>
      <c r="Q32" s="124" t="s">
        <v>250</v>
      </c>
      <c r="R32" s="125" t="s">
        <v>77</v>
      </c>
    </row>
    <row r="33" spans="2:18" ht="15.75" thickBot="1" x14ac:dyDescent="0.3">
      <c r="B33" s="209"/>
      <c r="C33" s="117"/>
      <c r="D33" s="126"/>
      <c r="E33" s="127"/>
      <c r="F33" s="128">
        <v>0.56269999999999998</v>
      </c>
      <c r="G33" s="128">
        <v>0.52580000000000005</v>
      </c>
      <c r="H33" s="128">
        <v>0.38429999999999997</v>
      </c>
      <c r="I33" s="128">
        <v>0.2964</v>
      </c>
      <c r="J33" s="128">
        <v>0.35749999999999998</v>
      </c>
      <c r="K33" s="128">
        <v>0.4758</v>
      </c>
      <c r="L33" s="128">
        <v>0.39319999999999999</v>
      </c>
      <c r="M33" s="128">
        <v>0.39939999999999998</v>
      </c>
      <c r="N33" s="128">
        <v>0.32869999999999999</v>
      </c>
      <c r="O33" s="128">
        <v>0.57230000000000003</v>
      </c>
      <c r="P33" s="128">
        <v>0.54010000000000002</v>
      </c>
      <c r="Q33" s="129">
        <v>0.61060000000000003</v>
      </c>
      <c r="R33" s="130">
        <f>AVERAGE(F33:Q33)</f>
        <v>0.45389999999999997</v>
      </c>
    </row>
    <row r="34" spans="2:18" ht="15.75" thickBot="1" x14ac:dyDescent="0.3">
      <c r="B34" s="209"/>
      <c r="C34" s="117"/>
      <c r="D34" s="131"/>
      <c r="E34" s="131"/>
      <c r="F34" s="131"/>
      <c r="G34" s="131"/>
      <c r="H34" s="131"/>
      <c r="I34" s="131"/>
      <c r="J34" s="131"/>
      <c r="K34" s="131"/>
      <c r="L34" s="131"/>
      <c r="M34" s="131"/>
      <c r="N34" s="131"/>
      <c r="O34" s="131"/>
      <c r="P34" s="131"/>
      <c r="Q34" s="131"/>
      <c r="R34" s="118"/>
    </row>
    <row r="35" spans="2:18" ht="15.75" thickBot="1" x14ac:dyDescent="0.3">
      <c r="B35" s="209"/>
      <c r="C35" s="117"/>
      <c r="D35" s="131"/>
      <c r="E35" s="131"/>
      <c r="F35" s="131"/>
      <c r="G35" s="131"/>
      <c r="H35" s="131"/>
      <c r="I35" s="205" t="s">
        <v>254</v>
      </c>
      <c r="J35" s="199"/>
      <c r="K35" s="199"/>
      <c r="L35" s="132">
        <f>(F25*0.5)+(R33*0.5)</f>
        <v>0.27589999999999998</v>
      </c>
      <c r="M35" s="131"/>
      <c r="N35" s="131"/>
      <c r="O35" s="131"/>
      <c r="P35" s="131"/>
      <c r="Q35" s="131"/>
      <c r="R35" s="118"/>
    </row>
    <row r="36" spans="2:18" ht="15.75" thickBot="1" x14ac:dyDescent="0.3">
      <c r="B36" s="209"/>
      <c r="C36" s="133"/>
      <c r="D36" s="134"/>
      <c r="E36" s="134"/>
      <c r="F36" s="134"/>
      <c r="G36" s="134"/>
      <c r="H36" s="134"/>
      <c r="I36" s="134"/>
      <c r="J36" s="134"/>
      <c r="K36" s="134"/>
      <c r="L36" s="134"/>
      <c r="M36" s="134"/>
      <c r="N36" s="134"/>
      <c r="O36" s="134"/>
      <c r="P36" s="134"/>
      <c r="Q36" s="134"/>
      <c r="R36" s="135"/>
    </row>
    <row r="37" spans="2:18" x14ac:dyDescent="0.25">
      <c r="C37" s="142"/>
      <c r="D37" s="142"/>
      <c r="E37" s="142"/>
      <c r="F37" s="142"/>
      <c r="G37" s="142"/>
      <c r="H37" s="142"/>
      <c r="I37" s="142"/>
      <c r="J37" s="142"/>
      <c r="K37" s="142"/>
      <c r="L37" s="142"/>
      <c r="M37" s="142"/>
      <c r="N37" s="142"/>
      <c r="O37" s="142"/>
      <c r="P37" s="142"/>
      <c r="Q37" s="142"/>
      <c r="R37" s="142"/>
    </row>
  </sheetData>
  <mergeCells count="20">
    <mergeCell ref="B21:B36"/>
    <mergeCell ref="D22:Q22"/>
    <mergeCell ref="D24:Q24"/>
    <mergeCell ref="D25:E25"/>
    <mergeCell ref="F25:Q25"/>
    <mergeCell ref="D28:Q28"/>
    <mergeCell ref="D30:Q30"/>
    <mergeCell ref="D31:E31"/>
    <mergeCell ref="F31:Q31"/>
    <mergeCell ref="I35:K35"/>
    <mergeCell ref="B3:B18"/>
    <mergeCell ref="D4:Q4"/>
    <mergeCell ref="D6:Q6"/>
    <mergeCell ref="D7:E7"/>
    <mergeCell ref="F7:Q7"/>
    <mergeCell ref="D10:Q10"/>
    <mergeCell ref="D12:Q12"/>
    <mergeCell ref="D13:E13"/>
    <mergeCell ref="F13:Q13"/>
    <mergeCell ref="I17:K17"/>
  </mergeCells>
  <hyperlinks>
    <hyperlink ref="I1" r:id="rId1" location=":~:text=Fatores%20de%20emiss%C3%A3o%20MDL%2FSIN,-Info&amp;text=Ele%20calcula%20a%20m%C3%A9dia%20das,que%20estejam%20funcionando%20na%20margem" xr:uid="{7484EDAF-37CE-4B04-B609-5AFF1CBB73DE}"/>
  </hyperlink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AE6F-76FB-4C6A-A428-0330BD158F72}">
  <sheetPr>
    <tabColor theme="0" tint="-0.249977111117893"/>
  </sheetPr>
  <dimension ref="B1:D17"/>
  <sheetViews>
    <sheetView zoomScale="90" zoomScaleNormal="90" workbookViewId="0">
      <selection activeCell="B2" sqref="B2:D2"/>
    </sheetView>
  </sheetViews>
  <sheetFormatPr defaultRowHeight="14.25" x14ac:dyDescent="0.25"/>
  <cols>
    <col min="1" max="1" width="2.42578125" style="40" customWidth="1"/>
    <col min="2" max="2" width="22.42578125" style="40" customWidth="1"/>
    <col min="3" max="3" width="31.28515625" style="40" customWidth="1"/>
    <col min="4" max="4" width="19.140625" style="40" customWidth="1"/>
    <col min="5" max="5" width="23.42578125" style="40" customWidth="1"/>
    <col min="6" max="6" width="23" style="40" customWidth="1"/>
    <col min="7" max="7" width="9.28515625" style="40" customWidth="1"/>
    <col min="8" max="8" width="25.28515625" style="40" customWidth="1"/>
    <col min="9" max="256" width="9.140625" style="40"/>
    <col min="257" max="257" width="2.42578125" style="40" customWidth="1"/>
    <col min="258" max="258" width="22.42578125" style="40" customWidth="1"/>
    <col min="259" max="259" width="31.28515625" style="40" customWidth="1"/>
    <col min="260" max="260" width="19.140625" style="40" customWidth="1"/>
    <col min="261" max="261" width="23.42578125" style="40" customWidth="1"/>
    <col min="262" max="262" width="23" style="40" customWidth="1"/>
    <col min="263" max="263" width="9.28515625" style="40" customWidth="1"/>
    <col min="264" max="264" width="25.28515625" style="40" customWidth="1"/>
    <col min="265" max="512" width="9.140625" style="40"/>
    <col min="513" max="513" width="2.42578125" style="40" customWidth="1"/>
    <col min="514" max="514" width="22.42578125" style="40" customWidth="1"/>
    <col min="515" max="515" width="31.28515625" style="40" customWidth="1"/>
    <col min="516" max="516" width="19.140625" style="40" customWidth="1"/>
    <col min="517" max="517" width="23.42578125" style="40" customWidth="1"/>
    <col min="518" max="518" width="23" style="40" customWidth="1"/>
    <col min="519" max="519" width="9.28515625" style="40" customWidth="1"/>
    <col min="520" max="520" width="25.28515625" style="40" customWidth="1"/>
    <col min="521" max="768" width="9.140625" style="40"/>
    <col min="769" max="769" width="2.42578125" style="40" customWidth="1"/>
    <col min="770" max="770" width="22.42578125" style="40" customWidth="1"/>
    <col min="771" max="771" width="31.28515625" style="40" customWidth="1"/>
    <col min="772" max="772" width="19.140625" style="40" customWidth="1"/>
    <col min="773" max="773" width="23.42578125" style="40" customWidth="1"/>
    <col min="774" max="774" width="23" style="40" customWidth="1"/>
    <col min="775" max="775" width="9.28515625" style="40" customWidth="1"/>
    <col min="776" max="776" width="25.28515625" style="40" customWidth="1"/>
    <col min="777" max="1024" width="9.140625" style="40"/>
    <col min="1025" max="1025" width="2.42578125" style="40" customWidth="1"/>
    <col min="1026" max="1026" width="22.42578125" style="40" customWidth="1"/>
    <col min="1027" max="1027" width="31.28515625" style="40" customWidth="1"/>
    <col min="1028" max="1028" width="19.140625" style="40" customWidth="1"/>
    <col min="1029" max="1029" width="23.42578125" style="40" customWidth="1"/>
    <col min="1030" max="1030" width="23" style="40" customWidth="1"/>
    <col min="1031" max="1031" width="9.28515625" style="40" customWidth="1"/>
    <col min="1032" max="1032" width="25.28515625" style="40" customWidth="1"/>
    <col min="1033" max="1280" width="9.140625" style="40"/>
    <col min="1281" max="1281" width="2.42578125" style="40" customWidth="1"/>
    <col min="1282" max="1282" width="22.42578125" style="40" customWidth="1"/>
    <col min="1283" max="1283" width="31.28515625" style="40" customWidth="1"/>
    <col min="1284" max="1284" width="19.140625" style="40" customWidth="1"/>
    <col min="1285" max="1285" width="23.42578125" style="40" customWidth="1"/>
    <col min="1286" max="1286" width="23" style="40" customWidth="1"/>
    <col min="1287" max="1287" width="9.28515625" style="40" customWidth="1"/>
    <col min="1288" max="1288" width="25.28515625" style="40" customWidth="1"/>
    <col min="1289" max="1536" width="9.140625" style="40"/>
    <col min="1537" max="1537" width="2.42578125" style="40" customWidth="1"/>
    <col min="1538" max="1538" width="22.42578125" style="40" customWidth="1"/>
    <col min="1539" max="1539" width="31.28515625" style="40" customWidth="1"/>
    <col min="1540" max="1540" width="19.140625" style="40" customWidth="1"/>
    <col min="1541" max="1541" width="23.42578125" style="40" customWidth="1"/>
    <col min="1542" max="1542" width="23" style="40" customWidth="1"/>
    <col min="1543" max="1543" width="9.28515625" style="40" customWidth="1"/>
    <col min="1544" max="1544" width="25.28515625" style="40" customWidth="1"/>
    <col min="1545" max="1792" width="9.140625" style="40"/>
    <col min="1793" max="1793" width="2.42578125" style="40" customWidth="1"/>
    <col min="1794" max="1794" width="22.42578125" style="40" customWidth="1"/>
    <col min="1795" max="1795" width="31.28515625" style="40" customWidth="1"/>
    <col min="1796" max="1796" width="19.140625" style="40" customWidth="1"/>
    <col min="1797" max="1797" width="23.42578125" style="40" customWidth="1"/>
    <col min="1798" max="1798" width="23" style="40" customWidth="1"/>
    <col min="1799" max="1799" width="9.28515625" style="40" customWidth="1"/>
    <col min="1800" max="1800" width="25.28515625" style="40" customWidth="1"/>
    <col min="1801" max="2048" width="9.140625" style="40"/>
    <col min="2049" max="2049" width="2.42578125" style="40" customWidth="1"/>
    <col min="2050" max="2050" width="22.42578125" style="40" customWidth="1"/>
    <col min="2051" max="2051" width="31.28515625" style="40" customWidth="1"/>
    <col min="2052" max="2052" width="19.140625" style="40" customWidth="1"/>
    <col min="2053" max="2053" width="23.42578125" style="40" customWidth="1"/>
    <col min="2054" max="2054" width="23" style="40" customWidth="1"/>
    <col min="2055" max="2055" width="9.28515625" style="40" customWidth="1"/>
    <col min="2056" max="2056" width="25.28515625" style="40" customWidth="1"/>
    <col min="2057" max="2304" width="9.140625" style="40"/>
    <col min="2305" max="2305" width="2.42578125" style="40" customWidth="1"/>
    <col min="2306" max="2306" width="22.42578125" style="40" customWidth="1"/>
    <col min="2307" max="2307" width="31.28515625" style="40" customWidth="1"/>
    <col min="2308" max="2308" width="19.140625" style="40" customWidth="1"/>
    <col min="2309" max="2309" width="23.42578125" style="40" customWidth="1"/>
    <col min="2310" max="2310" width="23" style="40" customWidth="1"/>
    <col min="2311" max="2311" width="9.28515625" style="40" customWidth="1"/>
    <col min="2312" max="2312" width="25.28515625" style="40" customWidth="1"/>
    <col min="2313" max="2560" width="9.140625" style="40"/>
    <col min="2561" max="2561" width="2.42578125" style="40" customWidth="1"/>
    <col min="2562" max="2562" width="22.42578125" style="40" customWidth="1"/>
    <col min="2563" max="2563" width="31.28515625" style="40" customWidth="1"/>
    <col min="2564" max="2564" width="19.140625" style="40" customWidth="1"/>
    <col min="2565" max="2565" width="23.42578125" style="40" customWidth="1"/>
    <col min="2566" max="2566" width="23" style="40" customWidth="1"/>
    <col min="2567" max="2567" width="9.28515625" style="40" customWidth="1"/>
    <col min="2568" max="2568" width="25.28515625" style="40" customWidth="1"/>
    <col min="2569" max="2816" width="9.140625" style="40"/>
    <col min="2817" max="2817" width="2.42578125" style="40" customWidth="1"/>
    <col min="2818" max="2818" width="22.42578125" style="40" customWidth="1"/>
    <col min="2819" max="2819" width="31.28515625" style="40" customWidth="1"/>
    <col min="2820" max="2820" width="19.140625" style="40" customWidth="1"/>
    <col min="2821" max="2821" width="23.42578125" style="40" customWidth="1"/>
    <col min="2822" max="2822" width="23" style="40" customWidth="1"/>
    <col min="2823" max="2823" width="9.28515625" style="40" customWidth="1"/>
    <col min="2824" max="2824" width="25.28515625" style="40" customWidth="1"/>
    <col min="2825" max="3072" width="9.140625" style="40"/>
    <col min="3073" max="3073" width="2.42578125" style="40" customWidth="1"/>
    <col min="3074" max="3074" width="22.42578125" style="40" customWidth="1"/>
    <col min="3075" max="3075" width="31.28515625" style="40" customWidth="1"/>
    <col min="3076" max="3076" width="19.140625" style="40" customWidth="1"/>
    <col min="3077" max="3077" width="23.42578125" style="40" customWidth="1"/>
    <col min="3078" max="3078" width="23" style="40" customWidth="1"/>
    <col min="3079" max="3079" width="9.28515625" style="40" customWidth="1"/>
    <col min="3080" max="3080" width="25.28515625" style="40" customWidth="1"/>
    <col min="3081" max="3328" width="9.140625" style="40"/>
    <col min="3329" max="3329" width="2.42578125" style="40" customWidth="1"/>
    <col min="3330" max="3330" width="22.42578125" style="40" customWidth="1"/>
    <col min="3331" max="3331" width="31.28515625" style="40" customWidth="1"/>
    <col min="3332" max="3332" width="19.140625" style="40" customWidth="1"/>
    <col min="3333" max="3333" width="23.42578125" style="40" customWidth="1"/>
    <col min="3334" max="3334" width="23" style="40" customWidth="1"/>
    <col min="3335" max="3335" width="9.28515625" style="40" customWidth="1"/>
    <col min="3336" max="3336" width="25.28515625" style="40" customWidth="1"/>
    <col min="3337" max="3584" width="9.140625" style="40"/>
    <col min="3585" max="3585" width="2.42578125" style="40" customWidth="1"/>
    <col min="3586" max="3586" width="22.42578125" style="40" customWidth="1"/>
    <col min="3587" max="3587" width="31.28515625" style="40" customWidth="1"/>
    <col min="3588" max="3588" width="19.140625" style="40" customWidth="1"/>
    <col min="3589" max="3589" width="23.42578125" style="40" customWidth="1"/>
    <col min="3590" max="3590" width="23" style="40" customWidth="1"/>
    <col min="3591" max="3591" width="9.28515625" style="40" customWidth="1"/>
    <col min="3592" max="3592" width="25.28515625" style="40" customWidth="1"/>
    <col min="3593" max="3840" width="9.140625" style="40"/>
    <col min="3841" max="3841" width="2.42578125" style="40" customWidth="1"/>
    <col min="3842" max="3842" width="22.42578125" style="40" customWidth="1"/>
    <col min="3843" max="3843" width="31.28515625" style="40" customWidth="1"/>
    <col min="3844" max="3844" width="19.140625" style="40" customWidth="1"/>
    <col min="3845" max="3845" width="23.42578125" style="40" customWidth="1"/>
    <col min="3846" max="3846" width="23" style="40" customWidth="1"/>
    <col min="3847" max="3847" width="9.28515625" style="40" customWidth="1"/>
    <col min="3848" max="3848" width="25.28515625" style="40" customWidth="1"/>
    <col min="3849" max="4096" width="9.140625" style="40"/>
    <col min="4097" max="4097" width="2.42578125" style="40" customWidth="1"/>
    <col min="4098" max="4098" width="22.42578125" style="40" customWidth="1"/>
    <col min="4099" max="4099" width="31.28515625" style="40" customWidth="1"/>
    <col min="4100" max="4100" width="19.140625" style="40" customWidth="1"/>
    <col min="4101" max="4101" width="23.42578125" style="40" customWidth="1"/>
    <col min="4102" max="4102" width="23" style="40" customWidth="1"/>
    <col min="4103" max="4103" width="9.28515625" style="40" customWidth="1"/>
    <col min="4104" max="4104" width="25.28515625" style="40" customWidth="1"/>
    <col min="4105" max="4352" width="9.140625" style="40"/>
    <col min="4353" max="4353" width="2.42578125" style="40" customWidth="1"/>
    <col min="4354" max="4354" width="22.42578125" style="40" customWidth="1"/>
    <col min="4355" max="4355" width="31.28515625" style="40" customWidth="1"/>
    <col min="4356" max="4356" width="19.140625" style="40" customWidth="1"/>
    <col min="4357" max="4357" width="23.42578125" style="40" customWidth="1"/>
    <col min="4358" max="4358" width="23" style="40" customWidth="1"/>
    <col min="4359" max="4359" width="9.28515625" style="40" customWidth="1"/>
    <col min="4360" max="4360" width="25.28515625" style="40" customWidth="1"/>
    <col min="4361" max="4608" width="9.140625" style="40"/>
    <col min="4609" max="4609" width="2.42578125" style="40" customWidth="1"/>
    <col min="4610" max="4610" width="22.42578125" style="40" customWidth="1"/>
    <col min="4611" max="4611" width="31.28515625" style="40" customWidth="1"/>
    <col min="4612" max="4612" width="19.140625" style="40" customWidth="1"/>
    <col min="4613" max="4613" width="23.42578125" style="40" customWidth="1"/>
    <col min="4614" max="4614" width="23" style="40" customWidth="1"/>
    <col min="4615" max="4615" width="9.28515625" style="40" customWidth="1"/>
    <col min="4616" max="4616" width="25.28515625" style="40" customWidth="1"/>
    <col min="4617" max="4864" width="9.140625" style="40"/>
    <col min="4865" max="4865" width="2.42578125" style="40" customWidth="1"/>
    <col min="4866" max="4866" width="22.42578125" style="40" customWidth="1"/>
    <col min="4867" max="4867" width="31.28515625" style="40" customWidth="1"/>
    <col min="4868" max="4868" width="19.140625" style="40" customWidth="1"/>
    <col min="4869" max="4869" width="23.42578125" style="40" customWidth="1"/>
    <col min="4870" max="4870" width="23" style="40" customWidth="1"/>
    <col min="4871" max="4871" width="9.28515625" style="40" customWidth="1"/>
    <col min="4872" max="4872" width="25.28515625" style="40" customWidth="1"/>
    <col min="4873" max="5120" width="9.140625" style="40"/>
    <col min="5121" max="5121" width="2.42578125" style="40" customWidth="1"/>
    <col min="5122" max="5122" width="22.42578125" style="40" customWidth="1"/>
    <col min="5123" max="5123" width="31.28515625" style="40" customWidth="1"/>
    <col min="5124" max="5124" width="19.140625" style="40" customWidth="1"/>
    <col min="5125" max="5125" width="23.42578125" style="40" customWidth="1"/>
    <col min="5126" max="5126" width="23" style="40" customWidth="1"/>
    <col min="5127" max="5127" width="9.28515625" style="40" customWidth="1"/>
    <col min="5128" max="5128" width="25.28515625" style="40" customWidth="1"/>
    <col min="5129" max="5376" width="9.140625" style="40"/>
    <col min="5377" max="5377" width="2.42578125" style="40" customWidth="1"/>
    <col min="5378" max="5378" width="22.42578125" style="40" customWidth="1"/>
    <col min="5379" max="5379" width="31.28515625" style="40" customWidth="1"/>
    <col min="5380" max="5380" width="19.140625" style="40" customWidth="1"/>
    <col min="5381" max="5381" width="23.42578125" style="40" customWidth="1"/>
    <col min="5382" max="5382" width="23" style="40" customWidth="1"/>
    <col min="5383" max="5383" width="9.28515625" style="40" customWidth="1"/>
    <col min="5384" max="5384" width="25.28515625" style="40" customWidth="1"/>
    <col min="5385" max="5632" width="9.140625" style="40"/>
    <col min="5633" max="5633" width="2.42578125" style="40" customWidth="1"/>
    <col min="5634" max="5634" width="22.42578125" style="40" customWidth="1"/>
    <col min="5635" max="5635" width="31.28515625" style="40" customWidth="1"/>
    <col min="5636" max="5636" width="19.140625" style="40" customWidth="1"/>
    <col min="5637" max="5637" width="23.42578125" style="40" customWidth="1"/>
    <col min="5638" max="5638" width="23" style="40" customWidth="1"/>
    <col min="5639" max="5639" width="9.28515625" style="40" customWidth="1"/>
    <col min="5640" max="5640" width="25.28515625" style="40" customWidth="1"/>
    <col min="5641" max="5888" width="9.140625" style="40"/>
    <col min="5889" max="5889" width="2.42578125" style="40" customWidth="1"/>
    <col min="5890" max="5890" width="22.42578125" style="40" customWidth="1"/>
    <col min="5891" max="5891" width="31.28515625" style="40" customWidth="1"/>
    <col min="5892" max="5892" width="19.140625" style="40" customWidth="1"/>
    <col min="5893" max="5893" width="23.42578125" style="40" customWidth="1"/>
    <col min="5894" max="5894" width="23" style="40" customWidth="1"/>
    <col min="5895" max="5895" width="9.28515625" style="40" customWidth="1"/>
    <col min="5896" max="5896" width="25.28515625" style="40" customWidth="1"/>
    <col min="5897" max="6144" width="9.140625" style="40"/>
    <col min="6145" max="6145" width="2.42578125" style="40" customWidth="1"/>
    <col min="6146" max="6146" width="22.42578125" style="40" customWidth="1"/>
    <col min="6147" max="6147" width="31.28515625" style="40" customWidth="1"/>
    <col min="6148" max="6148" width="19.140625" style="40" customWidth="1"/>
    <col min="6149" max="6149" width="23.42578125" style="40" customWidth="1"/>
    <col min="6150" max="6150" width="23" style="40" customWidth="1"/>
    <col min="6151" max="6151" width="9.28515625" style="40" customWidth="1"/>
    <col min="6152" max="6152" width="25.28515625" style="40" customWidth="1"/>
    <col min="6153" max="6400" width="9.140625" style="40"/>
    <col min="6401" max="6401" width="2.42578125" style="40" customWidth="1"/>
    <col min="6402" max="6402" width="22.42578125" style="40" customWidth="1"/>
    <col min="6403" max="6403" width="31.28515625" style="40" customWidth="1"/>
    <col min="6404" max="6404" width="19.140625" style="40" customWidth="1"/>
    <col min="6405" max="6405" width="23.42578125" style="40" customWidth="1"/>
    <col min="6406" max="6406" width="23" style="40" customWidth="1"/>
    <col min="6407" max="6407" width="9.28515625" style="40" customWidth="1"/>
    <col min="6408" max="6408" width="25.28515625" style="40" customWidth="1"/>
    <col min="6409" max="6656" width="9.140625" style="40"/>
    <col min="6657" max="6657" width="2.42578125" style="40" customWidth="1"/>
    <col min="6658" max="6658" width="22.42578125" style="40" customWidth="1"/>
    <col min="6659" max="6659" width="31.28515625" style="40" customWidth="1"/>
    <col min="6660" max="6660" width="19.140625" style="40" customWidth="1"/>
    <col min="6661" max="6661" width="23.42578125" style="40" customWidth="1"/>
    <col min="6662" max="6662" width="23" style="40" customWidth="1"/>
    <col min="6663" max="6663" width="9.28515625" style="40" customWidth="1"/>
    <col min="6664" max="6664" width="25.28515625" style="40" customWidth="1"/>
    <col min="6665" max="6912" width="9.140625" style="40"/>
    <col min="6913" max="6913" width="2.42578125" style="40" customWidth="1"/>
    <col min="6914" max="6914" width="22.42578125" style="40" customWidth="1"/>
    <col min="6915" max="6915" width="31.28515625" style="40" customWidth="1"/>
    <col min="6916" max="6916" width="19.140625" style="40" customWidth="1"/>
    <col min="6917" max="6917" width="23.42578125" style="40" customWidth="1"/>
    <col min="6918" max="6918" width="23" style="40" customWidth="1"/>
    <col min="6919" max="6919" width="9.28515625" style="40" customWidth="1"/>
    <col min="6920" max="6920" width="25.28515625" style="40" customWidth="1"/>
    <col min="6921" max="7168" width="9.140625" style="40"/>
    <col min="7169" max="7169" width="2.42578125" style="40" customWidth="1"/>
    <col min="7170" max="7170" width="22.42578125" style="40" customWidth="1"/>
    <col min="7171" max="7171" width="31.28515625" style="40" customWidth="1"/>
    <col min="7172" max="7172" width="19.140625" style="40" customWidth="1"/>
    <col min="7173" max="7173" width="23.42578125" style="40" customWidth="1"/>
    <col min="7174" max="7174" width="23" style="40" customWidth="1"/>
    <col min="7175" max="7175" width="9.28515625" style="40" customWidth="1"/>
    <col min="7176" max="7176" width="25.28515625" style="40" customWidth="1"/>
    <col min="7177" max="7424" width="9.140625" style="40"/>
    <col min="7425" max="7425" width="2.42578125" style="40" customWidth="1"/>
    <col min="7426" max="7426" width="22.42578125" style="40" customWidth="1"/>
    <col min="7427" max="7427" width="31.28515625" style="40" customWidth="1"/>
    <col min="7428" max="7428" width="19.140625" style="40" customWidth="1"/>
    <col min="7429" max="7429" width="23.42578125" style="40" customWidth="1"/>
    <col min="7430" max="7430" width="23" style="40" customWidth="1"/>
    <col min="7431" max="7431" width="9.28515625" style="40" customWidth="1"/>
    <col min="7432" max="7432" width="25.28515625" style="40" customWidth="1"/>
    <col min="7433" max="7680" width="9.140625" style="40"/>
    <col min="7681" max="7681" width="2.42578125" style="40" customWidth="1"/>
    <col min="7682" max="7682" width="22.42578125" style="40" customWidth="1"/>
    <col min="7683" max="7683" width="31.28515625" style="40" customWidth="1"/>
    <col min="7684" max="7684" width="19.140625" style="40" customWidth="1"/>
    <col min="7685" max="7685" width="23.42578125" style="40" customWidth="1"/>
    <col min="7686" max="7686" width="23" style="40" customWidth="1"/>
    <col min="7687" max="7687" width="9.28515625" style="40" customWidth="1"/>
    <col min="7688" max="7688" width="25.28515625" style="40" customWidth="1"/>
    <col min="7689" max="7936" width="9.140625" style="40"/>
    <col min="7937" max="7937" width="2.42578125" style="40" customWidth="1"/>
    <col min="7938" max="7938" width="22.42578125" style="40" customWidth="1"/>
    <col min="7939" max="7939" width="31.28515625" style="40" customWidth="1"/>
    <col min="7940" max="7940" width="19.140625" style="40" customWidth="1"/>
    <col min="7941" max="7941" width="23.42578125" style="40" customWidth="1"/>
    <col min="7942" max="7942" width="23" style="40" customWidth="1"/>
    <col min="7943" max="7943" width="9.28515625" style="40" customWidth="1"/>
    <col min="7944" max="7944" width="25.28515625" style="40" customWidth="1"/>
    <col min="7945" max="8192" width="9.140625" style="40"/>
    <col min="8193" max="8193" width="2.42578125" style="40" customWidth="1"/>
    <col min="8194" max="8194" width="22.42578125" style="40" customWidth="1"/>
    <col min="8195" max="8195" width="31.28515625" style="40" customWidth="1"/>
    <col min="8196" max="8196" width="19.140625" style="40" customWidth="1"/>
    <col min="8197" max="8197" width="23.42578125" style="40" customWidth="1"/>
    <col min="8198" max="8198" width="23" style="40" customWidth="1"/>
    <col min="8199" max="8199" width="9.28515625" style="40" customWidth="1"/>
    <col min="8200" max="8200" width="25.28515625" style="40" customWidth="1"/>
    <col min="8201" max="8448" width="9.140625" style="40"/>
    <col min="8449" max="8449" width="2.42578125" style="40" customWidth="1"/>
    <col min="8450" max="8450" width="22.42578125" style="40" customWidth="1"/>
    <col min="8451" max="8451" width="31.28515625" style="40" customWidth="1"/>
    <col min="8452" max="8452" width="19.140625" style="40" customWidth="1"/>
    <col min="8453" max="8453" width="23.42578125" style="40" customWidth="1"/>
    <col min="8454" max="8454" width="23" style="40" customWidth="1"/>
    <col min="8455" max="8455" width="9.28515625" style="40" customWidth="1"/>
    <col min="8456" max="8456" width="25.28515625" style="40" customWidth="1"/>
    <col min="8457" max="8704" width="9.140625" style="40"/>
    <col min="8705" max="8705" width="2.42578125" style="40" customWidth="1"/>
    <col min="8706" max="8706" width="22.42578125" style="40" customWidth="1"/>
    <col min="8707" max="8707" width="31.28515625" style="40" customWidth="1"/>
    <col min="8708" max="8708" width="19.140625" style="40" customWidth="1"/>
    <col min="8709" max="8709" width="23.42578125" style="40" customWidth="1"/>
    <col min="8710" max="8710" width="23" style="40" customWidth="1"/>
    <col min="8711" max="8711" width="9.28515625" style="40" customWidth="1"/>
    <col min="8712" max="8712" width="25.28515625" style="40" customWidth="1"/>
    <col min="8713" max="8960" width="9.140625" style="40"/>
    <col min="8961" max="8961" width="2.42578125" style="40" customWidth="1"/>
    <col min="8962" max="8962" width="22.42578125" style="40" customWidth="1"/>
    <col min="8963" max="8963" width="31.28515625" style="40" customWidth="1"/>
    <col min="8964" max="8964" width="19.140625" style="40" customWidth="1"/>
    <col min="8965" max="8965" width="23.42578125" style="40" customWidth="1"/>
    <col min="8966" max="8966" width="23" style="40" customWidth="1"/>
    <col min="8967" max="8967" width="9.28515625" style="40" customWidth="1"/>
    <col min="8968" max="8968" width="25.28515625" style="40" customWidth="1"/>
    <col min="8969" max="9216" width="9.140625" style="40"/>
    <col min="9217" max="9217" width="2.42578125" style="40" customWidth="1"/>
    <col min="9218" max="9218" width="22.42578125" style="40" customWidth="1"/>
    <col min="9219" max="9219" width="31.28515625" style="40" customWidth="1"/>
    <col min="9220" max="9220" width="19.140625" style="40" customWidth="1"/>
    <col min="9221" max="9221" width="23.42578125" style="40" customWidth="1"/>
    <col min="9222" max="9222" width="23" style="40" customWidth="1"/>
    <col min="9223" max="9223" width="9.28515625" style="40" customWidth="1"/>
    <col min="9224" max="9224" width="25.28515625" style="40" customWidth="1"/>
    <col min="9225" max="9472" width="9.140625" style="40"/>
    <col min="9473" max="9473" width="2.42578125" style="40" customWidth="1"/>
    <col min="9474" max="9474" width="22.42578125" style="40" customWidth="1"/>
    <col min="9475" max="9475" width="31.28515625" style="40" customWidth="1"/>
    <col min="9476" max="9476" width="19.140625" style="40" customWidth="1"/>
    <col min="9477" max="9477" width="23.42578125" style="40" customWidth="1"/>
    <col min="9478" max="9478" width="23" style="40" customWidth="1"/>
    <col min="9479" max="9479" width="9.28515625" style="40" customWidth="1"/>
    <col min="9480" max="9480" width="25.28515625" style="40" customWidth="1"/>
    <col min="9481" max="9728" width="9.140625" style="40"/>
    <col min="9729" max="9729" width="2.42578125" style="40" customWidth="1"/>
    <col min="9730" max="9730" width="22.42578125" style="40" customWidth="1"/>
    <col min="9731" max="9731" width="31.28515625" style="40" customWidth="1"/>
    <col min="9732" max="9732" width="19.140625" style="40" customWidth="1"/>
    <col min="9733" max="9733" width="23.42578125" style="40" customWidth="1"/>
    <col min="9734" max="9734" width="23" style="40" customWidth="1"/>
    <col min="9735" max="9735" width="9.28515625" style="40" customWidth="1"/>
    <col min="9736" max="9736" width="25.28515625" style="40" customWidth="1"/>
    <col min="9737" max="9984" width="9.140625" style="40"/>
    <col min="9985" max="9985" width="2.42578125" style="40" customWidth="1"/>
    <col min="9986" max="9986" width="22.42578125" style="40" customWidth="1"/>
    <col min="9987" max="9987" width="31.28515625" style="40" customWidth="1"/>
    <col min="9988" max="9988" width="19.140625" style="40" customWidth="1"/>
    <col min="9989" max="9989" width="23.42578125" style="40" customWidth="1"/>
    <col min="9990" max="9990" width="23" style="40" customWidth="1"/>
    <col min="9991" max="9991" width="9.28515625" style="40" customWidth="1"/>
    <col min="9992" max="9992" width="25.28515625" style="40" customWidth="1"/>
    <col min="9993" max="10240" width="9.140625" style="40"/>
    <col min="10241" max="10241" width="2.42578125" style="40" customWidth="1"/>
    <col min="10242" max="10242" width="22.42578125" style="40" customWidth="1"/>
    <col min="10243" max="10243" width="31.28515625" style="40" customWidth="1"/>
    <col min="10244" max="10244" width="19.140625" style="40" customWidth="1"/>
    <col min="10245" max="10245" width="23.42578125" style="40" customWidth="1"/>
    <col min="10246" max="10246" width="23" style="40" customWidth="1"/>
    <col min="10247" max="10247" width="9.28515625" style="40" customWidth="1"/>
    <col min="10248" max="10248" width="25.28515625" style="40" customWidth="1"/>
    <col min="10249" max="10496" width="9.140625" style="40"/>
    <col min="10497" max="10497" width="2.42578125" style="40" customWidth="1"/>
    <col min="10498" max="10498" width="22.42578125" style="40" customWidth="1"/>
    <col min="10499" max="10499" width="31.28515625" style="40" customWidth="1"/>
    <col min="10500" max="10500" width="19.140625" style="40" customWidth="1"/>
    <col min="10501" max="10501" width="23.42578125" style="40" customWidth="1"/>
    <col min="10502" max="10502" width="23" style="40" customWidth="1"/>
    <col min="10503" max="10503" width="9.28515625" style="40" customWidth="1"/>
    <col min="10504" max="10504" width="25.28515625" style="40" customWidth="1"/>
    <col min="10505" max="10752" width="9.140625" style="40"/>
    <col min="10753" max="10753" width="2.42578125" style="40" customWidth="1"/>
    <col min="10754" max="10754" width="22.42578125" style="40" customWidth="1"/>
    <col min="10755" max="10755" width="31.28515625" style="40" customWidth="1"/>
    <col min="10756" max="10756" width="19.140625" style="40" customWidth="1"/>
    <col min="10757" max="10757" width="23.42578125" style="40" customWidth="1"/>
    <col min="10758" max="10758" width="23" style="40" customWidth="1"/>
    <col min="10759" max="10759" width="9.28515625" style="40" customWidth="1"/>
    <col min="10760" max="10760" width="25.28515625" style="40" customWidth="1"/>
    <col min="10761" max="11008" width="9.140625" style="40"/>
    <col min="11009" max="11009" width="2.42578125" style="40" customWidth="1"/>
    <col min="11010" max="11010" width="22.42578125" style="40" customWidth="1"/>
    <col min="11011" max="11011" width="31.28515625" style="40" customWidth="1"/>
    <col min="11012" max="11012" width="19.140625" style="40" customWidth="1"/>
    <col min="11013" max="11013" width="23.42578125" style="40" customWidth="1"/>
    <col min="11014" max="11014" width="23" style="40" customWidth="1"/>
    <col min="11015" max="11015" width="9.28515625" style="40" customWidth="1"/>
    <col min="11016" max="11016" width="25.28515625" style="40" customWidth="1"/>
    <col min="11017" max="11264" width="9.140625" style="40"/>
    <col min="11265" max="11265" width="2.42578125" style="40" customWidth="1"/>
    <col min="11266" max="11266" width="22.42578125" style="40" customWidth="1"/>
    <col min="11267" max="11267" width="31.28515625" style="40" customWidth="1"/>
    <col min="11268" max="11268" width="19.140625" style="40" customWidth="1"/>
    <col min="11269" max="11269" width="23.42578125" style="40" customWidth="1"/>
    <col min="11270" max="11270" width="23" style="40" customWidth="1"/>
    <col min="11271" max="11271" width="9.28515625" style="40" customWidth="1"/>
    <col min="11272" max="11272" width="25.28515625" style="40" customWidth="1"/>
    <col min="11273" max="11520" width="9.140625" style="40"/>
    <col min="11521" max="11521" width="2.42578125" style="40" customWidth="1"/>
    <col min="11522" max="11522" width="22.42578125" style="40" customWidth="1"/>
    <col min="11523" max="11523" width="31.28515625" style="40" customWidth="1"/>
    <col min="11524" max="11524" width="19.140625" style="40" customWidth="1"/>
    <col min="11525" max="11525" width="23.42578125" style="40" customWidth="1"/>
    <col min="11526" max="11526" width="23" style="40" customWidth="1"/>
    <col min="11527" max="11527" width="9.28515625" style="40" customWidth="1"/>
    <col min="11528" max="11528" width="25.28515625" style="40" customWidth="1"/>
    <col min="11529" max="11776" width="9.140625" style="40"/>
    <col min="11777" max="11777" width="2.42578125" style="40" customWidth="1"/>
    <col min="11778" max="11778" width="22.42578125" style="40" customWidth="1"/>
    <col min="11779" max="11779" width="31.28515625" style="40" customWidth="1"/>
    <col min="11780" max="11780" width="19.140625" style="40" customWidth="1"/>
    <col min="11781" max="11781" width="23.42578125" style="40" customWidth="1"/>
    <col min="11782" max="11782" width="23" style="40" customWidth="1"/>
    <col min="11783" max="11783" width="9.28515625" style="40" customWidth="1"/>
    <col min="11784" max="11784" width="25.28515625" style="40" customWidth="1"/>
    <col min="11785" max="12032" width="9.140625" style="40"/>
    <col min="12033" max="12033" width="2.42578125" style="40" customWidth="1"/>
    <col min="12034" max="12034" width="22.42578125" style="40" customWidth="1"/>
    <col min="12035" max="12035" width="31.28515625" style="40" customWidth="1"/>
    <col min="12036" max="12036" width="19.140625" style="40" customWidth="1"/>
    <col min="12037" max="12037" width="23.42578125" style="40" customWidth="1"/>
    <col min="12038" max="12038" width="23" style="40" customWidth="1"/>
    <col min="12039" max="12039" width="9.28515625" style="40" customWidth="1"/>
    <col min="12040" max="12040" width="25.28515625" style="40" customWidth="1"/>
    <col min="12041" max="12288" width="9.140625" style="40"/>
    <col min="12289" max="12289" width="2.42578125" style="40" customWidth="1"/>
    <col min="12290" max="12290" width="22.42578125" style="40" customWidth="1"/>
    <col min="12291" max="12291" width="31.28515625" style="40" customWidth="1"/>
    <col min="12292" max="12292" width="19.140625" style="40" customWidth="1"/>
    <col min="12293" max="12293" width="23.42578125" style="40" customWidth="1"/>
    <col min="12294" max="12294" width="23" style="40" customWidth="1"/>
    <col min="12295" max="12295" width="9.28515625" style="40" customWidth="1"/>
    <col min="12296" max="12296" width="25.28515625" style="40" customWidth="1"/>
    <col min="12297" max="12544" width="9.140625" style="40"/>
    <col min="12545" max="12545" width="2.42578125" style="40" customWidth="1"/>
    <col min="12546" max="12546" width="22.42578125" style="40" customWidth="1"/>
    <col min="12547" max="12547" width="31.28515625" style="40" customWidth="1"/>
    <col min="12548" max="12548" width="19.140625" style="40" customWidth="1"/>
    <col min="12549" max="12549" width="23.42578125" style="40" customWidth="1"/>
    <col min="12550" max="12550" width="23" style="40" customWidth="1"/>
    <col min="12551" max="12551" width="9.28515625" style="40" customWidth="1"/>
    <col min="12552" max="12552" width="25.28515625" style="40" customWidth="1"/>
    <col min="12553" max="12800" width="9.140625" style="40"/>
    <col min="12801" max="12801" width="2.42578125" style="40" customWidth="1"/>
    <col min="12802" max="12802" width="22.42578125" style="40" customWidth="1"/>
    <col min="12803" max="12803" width="31.28515625" style="40" customWidth="1"/>
    <col min="12804" max="12804" width="19.140625" style="40" customWidth="1"/>
    <col min="12805" max="12805" width="23.42578125" style="40" customWidth="1"/>
    <col min="12806" max="12806" width="23" style="40" customWidth="1"/>
    <col min="12807" max="12807" width="9.28515625" style="40" customWidth="1"/>
    <col min="12808" max="12808" width="25.28515625" style="40" customWidth="1"/>
    <col min="12809" max="13056" width="9.140625" style="40"/>
    <col min="13057" max="13057" width="2.42578125" style="40" customWidth="1"/>
    <col min="13058" max="13058" width="22.42578125" style="40" customWidth="1"/>
    <col min="13059" max="13059" width="31.28515625" style="40" customWidth="1"/>
    <col min="13060" max="13060" width="19.140625" style="40" customWidth="1"/>
    <col min="13061" max="13061" width="23.42578125" style="40" customWidth="1"/>
    <col min="13062" max="13062" width="23" style="40" customWidth="1"/>
    <col min="13063" max="13063" width="9.28515625" style="40" customWidth="1"/>
    <col min="13064" max="13064" width="25.28515625" style="40" customWidth="1"/>
    <col min="13065" max="13312" width="9.140625" style="40"/>
    <col min="13313" max="13313" width="2.42578125" style="40" customWidth="1"/>
    <col min="13314" max="13314" width="22.42578125" style="40" customWidth="1"/>
    <col min="13315" max="13315" width="31.28515625" style="40" customWidth="1"/>
    <col min="13316" max="13316" width="19.140625" style="40" customWidth="1"/>
    <col min="13317" max="13317" width="23.42578125" style="40" customWidth="1"/>
    <col min="13318" max="13318" width="23" style="40" customWidth="1"/>
    <col min="13319" max="13319" width="9.28515625" style="40" customWidth="1"/>
    <col min="13320" max="13320" width="25.28515625" style="40" customWidth="1"/>
    <col min="13321" max="13568" width="9.140625" style="40"/>
    <col min="13569" max="13569" width="2.42578125" style="40" customWidth="1"/>
    <col min="13570" max="13570" width="22.42578125" style="40" customWidth="1"/>
    <col min="13571" max="13571" width="31.28515625" style="40" customWidth="1"/>
    <col min="13572" max="13572" width="19.140625" style="40" customWidth="1"/>
    <col min="13573" max="13573" width="23.42578125" style="40" customWidth="1"/>
    <col min="13574" max="13574" width="23" style="40" customWidth="1"/>
    <col min="13575" max="13575" width="9.28515625" style="40" customWidth="1"/>
    <col min="13576" max="13576" width="25.28515625" style="40" customWidth="1"/>
    <col min="13577" max="13824" width="9.140625" style="40"/>
    <col min="13825" max="13825" width="2.42578125" style="40" customWidth="1"/>
    <col min="13826" max="13826" width="22.42578125" style="40" customWidth="1"/>
    <col min="13827" max="13827" width="31.28515625" style="40" customWidth="1"/>
    <col min="13828" max="13828" width="19.140625" style="40" customWidth="1"/>
    <col min="13829" max="13829" width="23.42578125" style="40" customWidth="1"/>
    <col min="13830" max="13830" width="23" style="40" customWidth="1"/>
    <col min="13831" max="13831" width="9.28515625" style="40" customWidth="1"/>
    <col min="13832" max="13832" width="25.28515625" style="40" customWidth="1"/>
    <col min="13833" max="14080" width="9.140625" style="40"/>
    <col min="14081" max="14081" width="2.42578125" style="40" customWidth="1"/>
    <col min="14082" max="14082" width="22.42578125" style="40" customWidth="1"/>
    <col min="14083" max="14083" width="31.28515625" style="40" customWidth="1"/>
    <col min="14084" max="14084" width="19.140625" style="40" customWidth="1"/>
    <col min="14085" max="14085" width="23.42578125" style="40" customWidth="1"/>
    <col min="14086" max="14086" width="23" style="40" customWidth="1"/>
    <col min="14087" max="14087" width="9.28515625" style="40" customWidth="1"/>
    <col min="14088" max="14088" width="25.28515625" style="40" customWidth="1"/>
    <col min="14089" max="14336" width="9.140625" style="40"/>
    <col min="14337" max="14337" width="2.42578125" style="40" customWidth="1"/>
    <col min="14338" max="14338" width="22.42578125" style="40" customWidth="1"/>
    <col min="14339" max="14339" width="31.28515625" style="40" customWidth="1"/>
    <col min="14340" max="14340" width="19.140625" style="40" customWidth="1"/>
    <col min="14341" max="14341" width="23.42578125" style="40" customWidth="1"/>
    <col min="14342" max="14342" width="23" style="40" customWidth="1"/>
    <col min="14343" max="14343" width="9.28515625" style="40" customWidth="1"/>
    <col min="14344" max="14344" width="25.28515625" style="40" customWidth="1"/>
    <col min="14345" max="14592" width="9.140625" style="40"/>
    <col min="14593" max="14593" width="2.42578125" style="40" customWidth="1"/>
    <col min="14594" max="14594" width="22.42578125" style="40" customWidth="1"/>
    <col min="14595" max="14595" width="31.28515625" style="40" customWidth="1"/>
    <col min="14596" max="14596" width="19.140625" style="40" customWidth="1"/>
    <col min="14597" max="14597" width="23.42578125" style="40" customWidth="1"/>
    <col min="14598" max="14598" width="23" style="40" customWidth="1"/>
    <col min="14599" max="14599" width="9.28515625" style="40" customWidth="1"/>
    <col min="14600" max="14600" width="25.28515625" style="40" customWidth="1"/>
    <col min="14601" max="14848" width="9.140625" style="40"/>
    <col min="14849" max="14849" width="2.42578125" style="40" customWidth="1"/>
    <col min="14850" max="14850" width="22.42578125" style="40" customWidth="1"/>
    <col min="14851" max="14851" width="31.28515625" style="40" customWidth="1"/>
    <col min="14852" max="14852" width="19.140625" style="40" customWidth="1"/>
    <col min="14853" max="14853" width="23.42578125" style="40" customWidth="1"/>
    <col min="14854" max="14854" width="23" style="40" customWidth="1"/>
    <col min="14855" max="14855" width="9.28515625" style="40" customWidth="1"/>
    <col min="14856" max="14856" width="25.28515625" style="40" customWidth="1"/>
    <col min="14857" max="15104" width="9.140625" style="40"/>
    <col min="15105" max="15105" width="2.42578125" style="40" customWidth="1"/>
    <col min="15106" max="15106" width="22.42578125" style="40" customWidth="1"/>
    <col min="15107" max="15107" width="31.28515625" style="40" customWidth="1"/>
    <col min="15108" max="15108" width="19.140625" style="40" customWidth="1"/>
    <col min="15109" max="15109" width="23.42578125" style="40" customWidth="1"/>
    <col min="15110" max="15110" width="23" style="40" customWidth="1"/>
    <col min="15111" max="15111" width="9.28515625" style="40" customWidth="1"/>
    <col min="15112" max="15112" width="25.28515625" style="40" customWidth="1"/>
    <col min="15113" max="15360" width="9.140625" style="40"/>
    <col min="15361" max="15361" width="2.42578125" style="40" customWidth="1"/>
    <col min="15362" max="15362" width="22.42578125" style="40" customWidth="1"/>
    <col min="15363" max="15363" width="31.28515625" style="40" customWidth="1"/>
    <col min="15364" max="15364" width="19.140625" style="40" customWidth="1"/>
    <col min="15365" max="15365" width="23.42578125" style="40" customWidth="1"/>
    <col min="15366" max="15366" width="23" style="40" customWidth="1"/>
    <col min="15367" max="15367" width="9.28515625" style="40" customWidth="1"/>
    <col min="15368" max="15368" width="25.28515625" style="40" customWidth="1"/>
    <col min="15369" max="15616" width="9.140625" style="40"/>
    <col min="15617" max="15617" width="2.42578125" style="40" customWidth="1"/>
    <col min="15618" max="15618" width="22.42578125" style="40" customWidth="1"/>
    <col min="15619" max="15619" width="31.28515625" style="40" customWidth="1"/>
    <col min="15620" max="15620" width="19.140625" style="40" customWidth="1"/>
    <col min="15621" max="15621" width="23.42578125" style="40" customWidth="1"/>
    <col min="15622" max="15622" width="23" style="40" customWidth="1"/>
    <col min="15623" max="15623" width="9.28515625" style="40" customWidth="1"/>
    <col min="15624" max="15624" width="25.28515625" style="40" customWidth="1"/>
    <col min="15625" max="15872" width="9.140625" style="40"/>
    <col min="15873" max="15873" width="2.42578125" style="40" customWidth="1"/>
    <col min="15874" max="15874" width="22.42578125" style="40" customWidth="1"/>
    <col min="15875" max="15875" width="31.28515625" style="40" customWidth="1"/>
    <col min="15876" max="15876" width="19.140625" style="40" customWidth="1"/>
    <col min="15877" max="15877" width="23.42578125" style="40" customWidth="1"/>
    <col min="15878" max="15878" width="23" style="40" customWidth="1"/>
    <col min="15879" max="15879" width="9.28515625" style="40" customWidth="1"/>
    <col min="15880" max="15880" width="25.28515625" style="40" customWidth="1"/>
    <col min="15881" max="16128" width="9.140625" style="40"/>
    <col min="16129" max="16129" width="2.42578125" style="40" customWidth="1"/>
    <col min="16130" max="16130" width="22.42578125" style="40" customWidth="1"/>
    <col min="16131" max="16131" width="31.28515625" style="40" customWidth="1"/>
    <col min="16132" max="16132" width="19.140625" style="40" customWidth="1"/>
    <col min="16133" max="16133" width="23.42578125" style="40" customWidth="1"/>
    <col min="16134" max="16134" width="23" style="40" customWidth="1"/>
    <col min="16135" max="16135" width="9.28515625" style="40" customWidth="1"/>
    <col min="16136" max="16136" width="25.28515625" style="40" customWidth="1"/>
    <col min="16137" max="16384" width="9.140625" style="40"/>
  </cols>
  <sheetData>
    <row r="1" spans="2:4" x14ac:dyDescent="0.25">
      <c r="B1" s="169"/>
      <c r="C1" s="169"/>
      <c r="D1" s="169"/>
    </row>
    <row r="2" spans="2:4" ht="42" customHeight="1" x14ac:dyDescent="0.25">
      <c r="B2" s="170" t="s">
        <v>258</v>
      </c>
      <c r="C2" s="170"/>
      <c r="D2" s="170"/>
    </row>
    <row r="3" spans="2:4" x14ac:dyDescent="0.25">
      <c r="B3" s="42"/>
      <c r="C3" s="41"/>
      <c r="D3" s="41"/>
    </row>
    <row r="4" spans="2:4" x14ac:dyDescent="0.25">
      <c r="B4" s="148" t="s">
        <v>59</v>
      </c>
      <c r="C4" s="148"/>
      <c r="D4" s="148"/>
    </row>
    <row r="5" spans="2:4" ht="15.75" x14ac:dyDescent="0.25">
      <c r="B5" s="19">
        <v>2019</v>
      </c>
      <c r="C5" s="14">
        <f>ROUNDDOWN('BE - Ramella'!J7,)</f>
        <v>480</v>
      </c>
      <c r="D5" s="19" t="s">
        <v>60</v>
      </c>
    </row>
    <row r="6" spans="2:4" ht="15.75" x14ac:dyDescent="0.25">
      <c r="B6" s="19">
        <v>2020</v>
      </c>
      <c r="C6" s="14">
        <f>ROUNDDOWN('BE - Ramella'!J8,)</f>
        <v>1138</v>
      </c>
      <c r="D6" s="19" t="s">
        <v>60</v>
      </c>
    </row>
    <row r="7" spans="2:4" ht="15.75" x14ac:dyDescent="0.25">
      <c r="B7" s="43" t="s">
        <v>16</v>
      </c>
      <c r="C7" s="44">
        <f>SUM(C5:C6)</f>
        <v>1618</v>
      </c>
      <c r="D7" s="43" t="s">
        <v>61</v>
      </c>
    </row>
    <row r="8" spans="2:4" x14ac:dyDescent="0.25">
      <c r="B8" s="41"/>
      <c r="C8" s="41"/>
      <c r="D8" s="41"/>
    </row>
    <row r="9" spans="2:4" x14ac:dyDescent="0.25">
      <c r="B9" s="170" t="s">
        <v>62</v>
      </c>
      <c r="C9" s="170"/>
      <c r="D9" s="170"/>
    </row>
    <row r="10" spans="2:4" ht="15.75" x14ac:dyDescent="0.25">
      <c r="B10" s="19">
        <v>2019</v>
      </c>
      <c r="C10" s="14">
        <f>ROUNDUP('PE - Ramella'!H7,)</f>
        <v>93</v>
      </c>
      <c r="D10" s="19" t="s">
        <v>60</v>
      </c>
    </row>
    <row r="11" spans="2:4" ht="15.75" x14ac:dyDescent="0.25">
      <c r="B11" s="19">
        <v>2020</v>
      </c>
      <c r="C11" s="14">
        <f>ROUNDUP('PE - Ramella'!H8,)</f>
        <v>173</v>
      </c>
      <c r="D11" s="19" t="s">
        <v>60</v>
      </c>
    </row>
    <row r="12" spans="2:4" ht="15.75" x14ac:dyDescent="0.25">
      <c r="B12" s="43" t="s">
        <v>16</v>
      </c>
      <c r="C12" s="44">
        <f>SUM(C10:C11)</f>
        <v>266</v>
      </c>
      <c r="D12" s="43" t="s">
        <v>61</v>
      </c>
    </row>
    <row r="13" spans="2:4" x14ac:dyDescent="0.25">
      <c r="B13" s="41"/>
      <c r="C13" s="41"/>
      <c r="D13" s="41"/>
    </row>
    <row r="14" spans="2:4" x14ac:dyDescent="0.25">
      <c r="B14" s="148" t="s">
        <v>63</v>
      </c>
      <c r="C14" s="148"/>
      <c r="D14" s="148"/>
    </row>
    <row r="15" spans="2:4" ht="15.75" x14ac:dyDescent="0.25">
      <c r="B15" s="19">
        <v>2019</v>
      </c>
      <c r="C15" s="14">
        <f>ROUNDDOWN(C5-C10,)</f>
        <v>387</v>
      </c>
      <c r="D15" s="19" t="s">
        <v>60</v>
      </c>
    </row>
    <row r="16" spans="2:4" ht="15.75" x14ac:dyDescent="0.25">
      <c r="B16" s="19">
        <v>2020</v>
      </c>
      <c r="C16" s="14">
        <f>ROUNDDOWN(C6-C11,)</f>
        <v>965</v>
      </c>
      <c r="D16" s="19" t="s">
        <v>60</v>
      </c>
    </row>
    <row r="17" spans="2:4" ht="15.75" x14ac:dyDescent="0.25">
      <c r="B17" s="43" t="s">
        <v>16</v>
      </c>
      <c r="C17" s="44">
        <f>SUM(C15:C16)</f>
        <v>1352</v>
      </c>
      <c r="D17" s="43" t="s">
        <v>61</v>
      </c>
    </row>
  </sheetData>
  <mergeCells count="5">
    <mergeCell ref="B1:D1"/>
    <mergeCell ref="B2:D2"/>
    <mergeCell ref="B4:D4"/>
    <mergeCell ref="B9:D9"/>
    <mergeCell ref="B14:D14"/>
  </mergeCell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11D8-8552-4412-A479-58688DB449DC}">
  <sheetPr>
    <tabColor theme="0" tint="-0.249977111117893"/>
  </sheetPr>
  <dimension ref="A1:Y76"/>
  <sheetViews>
    <sheetView zoomScale="80" zoomScaleNormal="80" workbookViewId="0">
      <selection activeCell="B2" sqref="B2:J2"/>
    </sheetView>
  </sheetViews>
  <sheetFormatPr defaultRowHeight="14.25" x14ac:dyDescent="0.25"/>
  <cols>
    <col min="1" max="1" width="4.140625" style="46" customWidth="1"/>
    <col min="2" max="10" width="13.5703125" style="46" customWidth="1"/>
    <col min="11" max="11" width="4.140625" style="46" customWidth="1"/>
    <col min="12" max="12" width="46.7109375" style="49" customWidth="1"/>
    <col min="13" max="13" width="25.85546875" style="49" customWidth="1"/>
    <col min="14" max="14" width="23.7109375" style="58" customWidth="1"/>
    <col min="15" max="15" width="11.85546875" style="49" customWidth="1"/>
    <col min="16" max="16" width="39.140625" style="50" customWidth="1"/>
    <col min="17" max="17" width="16.140625" style="50" customWidth="1"/>
    <col min="18" max="18" width="13.85546875" style="50" customWidth="1"/>
    <col min="19" max="19" width="14.7109375" style="49" customWidth="1"/>
    <col min="20" max="20" width="9.140625" style="49"/>
    <col min="21" max="21" width="11.5703125" style="49" bestFit="1" customWidth="1"/>
    <col min="22" max="22" width="9.140625" style="49"/>
    <col min="23" max="23" width="11.5703125" style="49" bestFit="1" customWidth="1"/>
    <col min="24" max="256" width="9.140625" style="49"/>
    <col min="257" max="257" width="4.140625" style="49" customWidth="1"/>
    <col min="258" max="266" width="13.5703125" style="49" customWidth="1"/>
    <col min="267" max="267" width="4.140625" style="49" customWidth="1"/>
    <col min="268" max="268" width="46.7109375" style="49" customWidth="1"/>
    <col min="269" max="269" width="25.85546875" style="49" customWidth="1"/>
    <col min="270" max="270" width="23.7109375" style="49" customWidth="1"/>
    <col min="271" max="271" width="11.85546875" style="49" customWidth="1"/>
    <col min="272" max="272" width="39.140625" style="49" customWidth="1"/>
    <col min="273" max="273" width="16.140625" style="49" customWidth="1"/>
    <col min="274" max="274" width="13.85546875" style="49" customWidth="1"/>
    <col min="275" max="275" width="14.7109375" style="49" customWidth="1"/>
    <col min="276" max="276" width="9.140625" style="49"/>
    <col min="277" max="277" width="11.5703125" style="49" bestFit="1" customWidth="1"/>
    <col min="278" max="278" width="9.140625" style="49"/>
    <col min="279" max="279" width="11.5703125" style="49" bestFit="1" customWidth="1"/>
    <col min="280" max="512" width="9.140625" style="49"/>
    <col min="513" max="513" width="4.140625" style="49" customWidth="1"/>
    <col min="514" max="522" width="13.5703125" style="49" customWidth="1"/>
    <col min="523" max="523" width="4.140625" style="49" customWidth="1"/>
    <col min="524" max="524" width="46.7109375" style="49" customWidth="1"/>
    <col min="525" max="525" width="25.85546875" style="49" customWidth="1"/>
    <col min="526" max="526" width="23.7109375" style="49" customWidth="1"/>
    <col min="527" max="527" width="11.85546875" style="49" customWidth="1"/>
    <col min="528" max="528" width="39.140625" style="49" customWidth="1"/>
    <col min="529" max="529" width="16.140625" style="49" customWidth="1"/>
    <col min="530" max="530" width="13.85546875" style="49" customWidth="1"/>
    <col min="531" max="531" width="14.7109375" style="49" customWidth="1"/>
    <col min="532" max="532" width="9.140625" style="49"/>
    <col min="533" max="533" width="11.5703125" style="49" bestFit="1" customWidth="1"/>
    <col min="534" max="534" width="9.140625" style="49"/>
    <col min="535" max="535" width="11.5703125" style="49" bestFit="1" customWidth="1"/>
    <col min="536" max="768" width="9.140625" style="49"/>
    <col min="769" max="769" width="4.140625" style="49" customWidth="1"/>
    <col min="770" max="778" width="13.5703125" style="49" customWidth="1"/>
    <col min="779" max="779" width="4.140625" style="49" customWidth="1"/>
    <col min="780" max="780" width="46.7109375" style="49" customWidth="1"/>
    <col min="781" max="781" width="25.85546875" style="49" customWidth="1"/>
    <col min="782" max="782" width="23.7109375" style="49" customWidth="1"/>
    <col min="783" max="783" width="11.85546875" style="49" customWidth="1"/>
    <col min="784" max="784" width="39.140625" style="49" customWidth="1"/>
    <col min="785" max="785" width="16.140625" style="49" customWidth="1"/>
    <col min="786" max="786" width="13.85546875" style="49" customWidth="1"/>
    <col min="787" max="787" width="14.7109375" style="49" customWidth="1"/>
    <col min="788" max="788" width="9.140625" style="49"/>
    <col min="789" max="789" width="11.5703125" style="49" bestFit="1" customWidth="1"/>
    <col min="790" max="790" width="9.140625" style="49"/>
    <col min="791" max="791" width="11.5703125" style="49" bestFit="1" customWidth="1"/>
    <col min="792" max="1024" width="9.140625" style="49"/>
    <col min="1025" max="1025" width="4.140625" style="49" customWidth="1"/>
    <col min="1026" max="1034" width="13.5703125" style="49" customWidth="1"/>
    <col min="1035" max="1035" width="4.140625" style="49" customWidth="1"/>
    <col min="1036" max="1036" width="46.7109375" style="49" customWidth="1"/>
    <col min="1037" max="1037" width="25.85546875" style="49" customWidth="1"/>
    <col min="1038" max="1038" width="23.7109375" style="49" customWidth="1"/>
    <col min="1039" max="1039" width="11.85546875" style="49" customWidth="1"/>
    <col min="1040" max="1040" width="39.140625" style="49" customWidth="1"/>
    <col min="1041" max="1041" width="16.140625" style="49" customWidth="1"/>
    <col min="1042" max="1042" width="13.85546875" style="49" customWidth="1"/>
    <col min="1043" max="1043" width="14.7109375" style="49" customWidth="1"/>
    <col min="1044" max="1044" width="9.140625" style="49"/>
    <col min="1045" max="1045" width="11.5703125" style="49" bestFit="1" customWidth="1"/>
    <col min="1046" max="1046" width="9.140625" style="49"/>
    <col min="1047" max="1047" width="11.5703125" style="49" bestFit="1" customWidth="1"/>
    <col min="1048" max="1280" width="9.140625" style="49"/>
    <col min="1281" max="1281" width="4.140625" style="49" customWidth="1"/>
    <col min="1282" max="1290" width="13.5703125" style="49" customWidth="1"/>
    <col min="1291" max="1291" width="4.140625" style="49" customWidth="1"/>
    <col min="1292" max="1292" width="46.7109375" style="49" customWidth="1"/>
    <col min="1293" max="1293" width="25.85546875" style="49" customWidth="1"/>
    <col min="1294" max="1294" width="23.7109375" style="49" customWidth="1"/>
    <col min="1295" max="1295" width="11.85546875" style="49" customWidth="1"/>
    <col min="1296" max="1296" width="39.140625" style="49" customWidth="1"/>
    <col min="1297" max="1297" width="16.140625" style="49" customWidth="1"/>
    <col min="1298" max="1298" width="13.85546875" style="49" customWidth="1"/>
    <col min="1299" max="1299" width="14.7109375" style="49" customWidth="1"/>
    <col min="1300" max="1300" width="9.140625" style="49"/>
    <col min="1301" max="1301" width="11.5703125" style="49" bestFit="1" customWidth="1"/>
    <col min="1302" max="1302" width="9.140625" style="49"/>
    <col min="1303" max="1303" width="11.5703125" style="49" bestFit="1" customWidth="1"/>
    <col min="1304" max="1536" width="9.140625" style="49"/>
    <col min="1537" max="1537" width="4.140625" style="49" customWidth="1"/>
    <col min="1538" max="1546" width="13.5703125" style="49" customWidth="1"/>
    <col min="1547" max="1547" width="4.140625" style="49" customWidth="1"/>
    <col min="1548" max="1548" width="46.7109375" style="49" customWidth="1"/>
    <col min="1549" max="1549" width="25.85546875" style="49" customWidth="1"/>
    <col min="1550" max="1550" width="23.7109375" style="49" customWidth="1"/>
    <col min="1551" max="1551" width="11.85546875" style="49" customWidth="1"/>
    <col min="1552" max="1552" width="39.140625" style="49" customWidth="1"/>
    <col min="1553" max="1553" width="16.140625" style="49" customWidth="1"/>
    <col min="1554" max="1554" width="13.85546875" style="49" customWidth="1"/>
    <col min="1555" max="1555" width="14.7109375" style="49" customWidth="1"/>
    <col min="1556" max="1556" width="9.140625" style="49"/>
    <col min="1557" max="1557" width="11.5703125" style="49" bestFit="1" customWidth="1"/>
    <col min="1558" max="1558" width="9.140625" style="49"/>
    <col min="1559" max="1559" width="11.5703125" style="49" bestFit="1" customWidth="1"/>
    <col min="1560" max="1792" width="9.140625" style="49"/>
    <col min="1793" max="1793" width="4.140625" style="49" customWidth="1"/>
    <col min="1794" max="1802" width="13.5703125" style="49" customWidth="1"/>
    <col min="1803" max="1803" width="4.140625" style="49" customWidth="1"/>
    <col min="1804" max="1804" width="46.7109375" style="49" customWidth="1"/>
    <col min="1805" max="1805" width="25.85546875" style="49" customWidth="1"/>
    <col min="1806" max="1806" width="23.7109375" style="49" customWidth="1"/>
    <col min="1807" max="1807" width="11.85546875" style="49" customWidth="1"/>
    <col min="1808" max="1808" width="39.140625" style="49" customWidth="1"/>
    <col min="1809" max="1809" width="16.140625" style="49" customWidth="1"/>
    <col min="1810" max="1810" width="13.85546875" style="49" customWidth="1"/>
    <col min="1811" max="1811" width="14.7109375" style="49" customWidth="1"/>
    <col min="1812" max="1812" width="9.140625" style="49"/>
    <col min="1813" max="1813" width="11.5703125" style="49" bestFit="1" customWidth="1"/>
    <col min="1814" max="1814" width="9.140625" style="49"/>
    <col min="1815" max="1815" width="11.5703125" style="49" bestFit="1" customWidth="1"/>
    <col min="1816" max="2048" width="9.140625" style="49"/>
    <col min="2049" max="2049" width="4.140625" style="49" customWidth="1"/>
    <col min="2050" max="2058" width="13.5703125" style="49" customWidth="1"/>
    <col min="2059" max="2059" width="4.140625" style="49" customWidth="1"/>
    <col min="2060" max="2060" width="46.7109375" style="49" customWidth="1"/>
    <col min="2061" max="2061" width="25.85546875" style="49" customWidth="1"/>
    <col min="2062" max="2062" width="23.7109375" style="49" customWidth="1"/>
    <col min="2063" max="2063" width="11.85546875" style="49" customWidth="1"/>
    <col min="2064" max="2064" width="39.140625" style="49" customWidth="1"/>
    <col min="2065" max="2065" width="16.140625" style="49" customWidth="1"/>
    <col min="2066" max="2066" width="13.85546875" style="49" customWidth="1"/>
    <col min="2067" max="2067" width="14.7109375" style="49" customWidth="1"/>
    <col min="2068" max="2068" width="9.140625" style="49"/>
    <col min="2069" max="2069" width="11.5703125" style="49" bestFit="1" customWidth="1"/>
    <col min="2070" max="2070" width="9.140625" style="49"/>
    <col min="2071" max="2071" width="11.5703125" style="49" bestFit="1" customWidth="1"/>
    <col min="2072" max="2304" width="9.140625" style="49"/>
    <col min="2305" max="2305" width="4.140625" style="49" customWidth="1"/>
    <col min="2306" max="2314" width="13.5703125" style="49" customWidth="1"/>
    <col min="2315" max="2315" width="4.140625" style="49" customWidth="1"/>
    <col min="2316" max="2316" width="46.7109375" style="49" customWidth="1"/>
    <col min="2317" max="2317" width="25.85546875" style="49" customWidth="1"/>
    <col min="2318" max="2318" width="23.7109375" style="49" customWidth="1"/>
    <col min="2319" max="2319" width="11.85546875" style="49" customWidth="1"/>
    <col min="2320" max="2320" width="39.140625" style="49" customWidth="1"/>
    <col min="2321" max="2321" width="16.140625" style="49" customWidth="1"/>
    <col min="2322" max="2322" width="13.85546875" style="49" customWidth="1"/>
    <col min="2323" max="2323" width="14.7109375" style="49" customWidth="1"/>
    <col min="2324" max="2324" width="9.140625" style="49"/>
    <col min="2325" max="2325" width="11.5703125" style="49" bestFit="1" customWidth="1"/>
    <col min="2326" max="2326" width="9.140625" style="49"/>
    <col min="2327" max="2327" width="11.5703125" style="49" bestFit="1" customWidth="1"/>
    <col min="2328" max="2560" width="9.140625" style="49"/>
    <col min="2561" max="2561" width="4.140625" style="49" customWidth="1"/>
    <col min="2562" max="2570" width="13.5703125" style="49" customWidth="1"/>
    <col min="2571" max="2571" width="4.140625" style="49" customWidth="1"/>
    <col min="2572" max="2572" width="46.7109375" style="49" customWidth="1"/>
    <col min="2573" max="2573" width="25.85546875" style="49" customWidth="1"/>
    <col min="2574" max="2574" width="23.7109375" style="49" customWidth="1"/>
    <col min="2575" max="2575" width="11.85546875" style="49" customWidth="1"/>
    <col min="2576" max="2576" width="39.140625" style="49" customWidth="1"/>
    <col min="2577" max="2577" width="16.140625" style="49" customWidth="1"/>
    <col min="2578" max="2578" width="13.85546875" style="49" customWidth="1"/>
    <col min="2579" max="2579" width="14.7109375" style="49" customWidth="1"/>
    <col min="2580" max="2580" width="9.140625" style="49"/>
    <col min="2581" max="2581" width="11.5703125" style="49" bestFit="1" customWidth="1"/>
    <col min="2582" max="2582" width="9.140625" style="49"/>
    <col min="2583" max="2583" width="11.5703125" style="49" bestFit="1" customWidth="1"/>
    <col min="2584" max="2816" width="9.140625" style="49"/>
    <col min="2817" max="2817" width="4.140625" style="49" customWidth="1"/>
    <col min="2818" max="2826" width="13.5703125" style="49" customWidth="1"/>
    <col min="2827" max="2827" width="4.140625" style="49" customWidth="1"/>
    <col min="2828" max="2828" width="46.7109375" style="49" customWidth="1"/>
    <col min="2829" max="2829" width="25.85546875" style="49" customWidth="1"/>
    <col min="2830" max="2830" width="23.7109375" style="49" customWidth="1"/>
    <col min="2831" max="2831" width="11.85546875" style="49" customWidth="1"/>
    <col min="2832" max="2832" width="39.140625" style="49" customWidth="1"/>
    <col min="2833" max="2833" width="16.140625" style="49" customWidth="1"/>
    <col min="2834" max="2834" width="13.85546875" style="49" customWidth="1"/>
    <col min="2835" max="2835" width="14.7109375" style="49" customWidth="1"/>
    <col min="2836" max="2836" width="9.140625" style="49"/>
    <col min="2837" max="2837" width="11.5703125" style="49" bestFit="1" customWidth="1"/>
    <col min="2838" max="2838" width="9.140625" style="49"/>
    <col min="2839" max="2839" width="11.5703125" style="49" bestFit="1" customWidth="1"/>
    <col min="2840" max="3072" width="9.140625" style="49"/>
    <col min="3073" max="3073" width="4.140625" style="49" customWidth="1"/>
    <col min="3074" max="3082" width="13.5703125" style="49" customWidth="1"/>
    <col min="3083" max="3083" width="4.140625" style="49" customWidth="1"/>
    <col min="3084" max="3084" width="46.7109375" style="49" customWidth="1"/>
    <col min="3085" max="3085" width="25.85546875" style="49" customWidth="1"/>
    <col min="3086" max="3086" width="23.7109375" style="49" customWidth="1"/>
    <col min="3087" max="3087" width="11.85546875" style="49" customWidth="1"/>
    <col min="3088" max="3088" width="39.140625" style="49" customWidth="1"/>
    <col min="3089" max="3089" width="16.140625" style="49" customWidth="1"/>
    <col min="3090" max="3090" width="13.85546875" style="49" customWidth="1"/>
    <col min="3091" max="3091" width="14.7109375" style="49" customWidth="1"/>
    <col min="3092" max="3092" width="9.140625" style="49"/>
    <col min="3093" max="3093" width="11.5703125" style="49" bestFit="1" customWidth="1"/>
    <col min="3094" max="3094" width="9.140625" style="49"/>
    <col min="3095" max="3095" width="11.5703125" style="49" bestFit="1" customWidth="1"/>
    <col min="3096" max="3328" width="9.140625" style="49"/>
    <col min="3329" max="3329" width="4.140625" style="49" customWidth="1"/>
    <col min="3330" max="3338" width="13.5703125" style="49" customWidth="1"/>
    <col min="3339" max="3339" width="4.140625" style="49" customWidth="1"/>
    <col min="3340" max="3340" width="46.7109375" style="49" customWidth="1"/>
    <col min="3341" max="3341" width="25.85546875" style="49" customWidth="1"/>
    <col min="3342" max="3342" width="23.7109375" style="49" customWidth="1"/>
    <col min="3343" max="3343" width="11.85546875" style="49" customWidth="1"/>
    <col min="3344" max="3344" width="39.140625" style="49" customWidth="1"/>
    <col min="3345" max="3345" width="16.140625" style="49" customWidth="1"/>
    <col min="3346" max="3346" width="13.85546875" style="49" customWidth="1"/>
    <col min="3347" max="3347" width="14.7109375" style="49" customWidth="1"/>
    <col min="3348" max="3348" width="9.140625" style="49"/>
    <col min="3349" max="3349" width="11.5703125" style="49" bestFit="1" customWidth="1"/>
    <col min="3350" max="3350" width="9.140625" style="49"/>
    <col min="3351" max="3351" width="11.5703125" style="49" bestFit="1" customWidth="1"/>
    <col min="3352" max="3584" width="9.140625" style="49"/>
    <col min="3585" max="3585" width="4.140625" style="49" customWidth="1"/>
    <col min="3586" max="3594" width="13.5703125" style="49" customWidth="1"/>
    <col min="3595" max="3595" width="4.140625" style="49" customWidth="1"/>
    <col min="3596" max="3596" width="46.7109375" style="49" customWidth="1"/>
    <col min="3597" max="3597" width="25.85546875" style="49" customWidth="1"/>
    <col min="3598" max="3598" width="23.7109375" style="49" customWidth="1"/>
    <col min="3599" max="3599" width="11.85546875" style="49" customWidth="1"/>
    <col min="3600" max="3600" width="39.140625" style="49" customWidth="1"/>
    <col min="3601" max="3601" width="16.140625" style="49" customWidth="1"/>
    <col min="3602" max="3602" width="13.85546875" style="49" customWidth="1"/>
    <col min="3603" max="3603" width="14.7109375" style="49" customWidth="1"/>
    <col min="3604" max="3604" width="9.140625" style="49"/>
    <col min="3605" max="3605" width="11.5703125" style="49" bestFit="1" customWidth="1"/>
    <col min="3606" max="3606" width="9.140625" style="49"/>
    <col min="3607" max="3607" width="11.5703125" style="49" bestFit="1" customWidth="1"/>
    <col min="3608" max="3840" width="9.140625" style="49"/>
    <col min="3841" max="3841" width="4.140625" style="49" customWidth="1"/>
    <col min="3842" max="3850" width="13.5703125" style="49" customWidth="1"/>
    <col min="3851" max="3851" width="4.140625" style="49" customWidth="1"/>
    <col min="3852" max="3852" width="46.7109375" style="49" customWidth="1"/>
    <col min="3853" max="3853" width="25.85546875" style="49" customWidth="1"/>
    <col min="3854" max="3854" width="23.7109375" style="49" customWidth="1"/>
    <col min="3855" max="3855" width="11.85546875" style="49" customWidth="1"/>
    <col min="3856" max="3856" width="39.140625" style="49" customWidth="1"/>
    <col min="3857" max="3857" width="16.140625" style="49" customWidth="1"/>
    <col min="3858" max="3858" width="13.85546875" style="49" customWidth="1"/>
    <col min="3859" max="3859" width="14.7109375" style="49" customWidth="1"/>
    <col min="3860" max="3860" width="9.140625" style="49"/>
    <col min="3861" max="3861" width="11.5703125" style="49" bestFit="1" customWidth="1"/>
    <col min="3862" max="3862" width="9.140625" style="49"/>
    <col min="3863" max="3863" width="11.5703125" style="49" bestFit="1" customWidth="1"/>
    <col min="3864" max="4096" width="9.140625" style="49"/>
    <col min="4097" max="4097" width="4.140625" style="49" customWidth="1"/>
    <col min="4098" max="4106" width="13.5703125" style="49" customWidth="1"/>
    <col min="4107" max="4107" width="4.140625" style="49" customWidth="1"/>
    <col min="4108" max="4108" width="46.7109375" style="49" customWidth="1"/>
    <col min="4109" max="4109" width="25.85546875" style="49" customWidth="1"/>
    <col min="4110" max="4110" width="23.7109375" style="49" customWidth="1"/>
    <col min="4111" max="4111" width="11.85546875" style="49" customWidth="1"/>
    <col min="4112" max="4112" width="39.140625" style="49" customWidth="1"/>
    <col min="4113" max="4113" width="16.140625" style="49" customWidth="1"/>
    <col min="4114" max="4114" width="13.85546875" style="49" customWidth="1"/>
    <col min="4115" max="4115" width="14.7109375" style="49" customWidth="1"/>
    <col min="4116" max="4116" width="9.140625" style="49"/>
    <col min="4117" max="4117" width="11.5703125" style="49" bestFit="1" customWidth="1"/>
    <col min="4118" max="4118" width="9.140625" style="49"/>
    <col min="4119" max="4119" width="11.5703125" style="49" bestFit="1" customWidth="1"/>
    <col min="4120" max="4352" width="9.140625" style="49"/>
    <col min="4353" max="4353" width="4.140625" style="49" customWidth="1"/>
    <col min="4354" max="4362" width="13.5703125" style="49" customWidth="1"/>
    <col min="4363" max="4363" width="4.140625" style="49" customWidth="1"/>
    <col min="4364" max="4364" width="46.7109375" style="49" customWidth="1"/>
    <col min="4365" max="4365" width="25.85546875" style="49" customWidth="1"/>
    <col min="4366" max="4366" width="23.7109375" style="49" customWidth="1"/>
    <col min="4367" max="4367" width="11.85546875" style="49" customWidth="1"/>
    <col min="4368" max="4368" width="39.140625" style="49" customWidth="1"/>
    <col min="4369" max="4369" width="16.140625" style="49" customWidth="1"/>
    <col min="4370" max="4370" width="13.85546875" style="49" customWidth="1"/>
    <col min="4371" max="4371" width="14.7109375" style="49" customWidth="1"/>
    <col min="4372" max="4372" width="9.140625" style="49"/>
    <col min="4373" max="4373" width="11.5703125" style="49" bestFit="1" customWidth="1"/>
    <col min="4374" max="4374" width="9.140625" style="49"/>
    <col min="4375" max="4375" width="11.5703125" style="49" bestFit="1" customWidth="1"/>
    <col min="4376" max="4608" width="9.140625" style="49"/>
    <col min="4609" max="4609" width="4.140625" style="49" customWidth="1"/>
    <col min="4610" max="4618" width="13.5703125" style="49" customWidth="1"/>
    <col min="4619" max="4619" width="4.140625" style="49" customWidth="1"/>
    <col min="4620" max="4620" width="46.7109375" style="49" customWidth="1"/>
    <col min="4621" max="4621" width="25.85546875" style="49" customWidth="1"/>
    <col min="4622" max="4622" width="23.7109375" style="49" customWidth="1"/>
    <col min="4623" max="4623" width="11.85546875" style="49" customWidth="1"/>
    <col min="4624" max="4624" width="39.140625" style="49" customWidth="1"/>
    <col min="4625" max="4625" width="16.140625" style="49" customWidth="1"/>
    <col min="4626" max="4626" width="13.85546875" style="49" customWidth="1"/>
    <col min="4627" max="4627" width="14.7109375" style="49" customWidth="1"/>
    <col min="4628" max="4628" width="9.140625" style="49"/>
    <col min="4629" max="4629" width="11.5703125" style="49" bestFit="1" customWidth="1"/>
    <col min="4630" max="4630" width="9.140625" style="49"/>
    <col min="4631" max="4631" width="11.5703125" style="49" bestFit="1" customWidth="1"/>
    <col min="4632" max="4864" width="9.140625" style="49"/>
    <col min="4865" max="4865" width="4.140625" style="49" customWidth="1"/>
    <col min="4866" max="4874" width="13.5703125" style="49" customWidth="1"/>
    <col min="4875" max="4875" width="4.140625" style="49" customWidth="1"/>
    <col min="4876" max="4876" width="46.7109375" style="49" customWidth="1"/>
    <col min="4877" max="4877" width="25.85546875" style="49" customWidth="1"/>
    <col min="4878" max="4878" width="23.7109375" style="49" customWidth="1"/>
    <col min="4879" max="4879" width="11.85546875" style="49" customWidth="1"/>
    <col min="4880" max="4880" width="39.140625" style="49" customWidth="1"/>
    <col min="4881" max="4881" width="16.140625" style="49" customWidth="1"/>
    <col min="4882" max="4882" width="13.85546875" style="49" customWidth="1"/>
    <col min="4883" max="4883" width="14.7109375" style="49" customWidth="1"/>
    <col min="4884" max="4884" width="9.140625" style="49"/>
    <col min="4885" max="4885" width="11.5703125" style="49" bestFit="1" customWidth="1"/>
    <col min="4886" max="4886" width="9.140625" style="49"/>
    <col min="4887" max="4887" width="11.5703125" style="49" bestFit="1" customWidth="1"/>
    <col min="4888" max="5120" width="9.140625" style="49"/>
    <col min="5121" max="5121" width="4.140625" style="49" customWidth="1"/>
    <col min="5122" max="5130" width="13.5703125" style="49" customWidth="1"/>
    <col min="5131" max="5131" width="4.140625" style="49" customWidth="1"/>
    <col min="5132" max="5132" width="46.7109375" style="49" customWidth="1"/>
    <col min="5133" max="5133" width="25.85546875" style="49" customWidth="1"/>
    <col min="5134" max="5134" width="23.7109375" style="49" customWidth="1"/>
    <col min="5135" max="5135" width="11.85546875" style="49" customWidth="1"/>
    <col min="5136" max="5136" width="39.140625" style="49" customWidth="1"/>
    <col min="5137" max="5137" width="16.140625" style="49" customWidth="1"/>
    <col min="5138" max="5138" width="13.85546875" style="49" customWidth="1"/>
    <col min="5139" max="5139" width="14.7109375" style="49" customWidth="1"/>
    <col min="5140" max="5140" width="9.140625" style="49"/>
    <col min="5141" max="5141" width="11.5703125" style="49" bestFit="1" customWidth="1"/>
    <col min="5142" max="5142" width="9.140625" style="49"/>
    <col min="5143" max="5143" width="11.5703125" style="49" bestFit="1" customWidth="1"/>
    <col min="5144" max="5376" width="9.140625" style="49"/>
    <col min="5377" max="5377" width="4.140625" style="49" customWidth="1"/>
    <col min="5378" max="5386" width="13.5703125" style="49" customWidth="1"/>
    <col min="5387" max="5387" width="4.140625" style="49" customWidth="1"/>
    <col min="5388" max="5388" width="46.7109375" style="49" customWidth="1"/>
    <col min="5389" max="5389" width="25.85546875" style="49" customWidth="1"/>
    <col min="5390" max="5390" width="23.7109375" style="49" customWidth="1"/>
    <col min="5391" max="5391" width="11.85546875" style="49" customWidth="1"/>
    <col min="5392" max="5392" width="39.140625" style="49" customWidth="1"/>
    <col min="5393" max="5393" width="16.140625" style="49" customWidth="1"/>
    <col min="5394" max="5394" width="13.85546875" style="49" customWidth="1"/>
    <col min="5395" max="5395" width="14.7109375" style="49" customWidth="1"/>
    <col min="5396" max="5396" width="9.140625" style="49"/>
    <col min="5397" max="5397" width="11.5703125" style="49" bestFit="1" customWidth="1"/>
    <col min="5398" max="5398" width="9.140625" style="49"/>
    <col min="5399" max="5399" width="11.5703125" style="49" bestFit="1" customWidth="1"/>
    <col min="5400" max="5632" width="9.140625" style="49"/>
    <col min="5633" max="5633" width="4.140625" style="49" customWidth="1"/>
    <col min="5634" max="5642" width="13.5703125" style="49" customWidth="1"/>
    <col min="5643" max="5643" width="4.140625" style="49" customWidth="1"/>
    <col min="5644" max="5644" width="46.7109375" style="49" customWidth="1"/>
    <col min="5645" max="5645" width="25.85546875" style="49" customWidth="1"/>
    <col min="5646" max="5646" width="23.7109375" style="49" customWidth="1"/>
    <col min="5647" max="5647" width="11.85546875" style="49" customWidth="1"/>
    <col min="5648" max="5648" width="39.140625" style="49" customWidth="1"/>
    <col min="5649" max="5649" width="16.140625" style="49" customWidth="1"/>
    <col min="5650" max="5650" width="13.85546875" style="49" customWidth="1"/>
    <col min="5651" max="5651" width="14.7109375" style="49" customWidth="1"/>
    <col min="5652" max="5652" width="9.140625" style="49"/>
    <col min="5653" max="5653" width="11.5703125" style="49" bestFit="1" customWidth="1"/>
    <col min="5654" max="5654" width="9.140625" style="49"/>
    <col min="5655" max="5655" width="11.5703125" style="49" bestFit="1" customWidth="1"/>
    <col min="5656" max="5888" width="9.140625" style="49"/>
    <col min="5889" max="5889" width="4.140625" style="49" customWidth="1"/>
    <col min="5890" max="5898" width="13.5703125" style="49" customWidth="1"/>
    <col min="5899" max="5899" width="4.140625" style="49" customWidth="1"/>
    <col min="5900" max="5900" width="46.7109375" style="49" customWidth="1"/>
    <col min="5901" max="5901" width="25.85546875" style="49" customWidth="1"/>
    <col min="5902" max="5902" width="23.7109375" style="49" customWidth="1"/>
    <col min="5903" max="5903" width="11.85546875" style="49" customWidth="1"/>
    <col min="5904" max="5904" width="39.140625" style="49" customWidth="1"/>
    <col min="5905" max="5905" width="16.140625" style="49" customWidth="1"/>
    <col min="5906" max="5906" width="13.85546875" style="49" customWidth="1"/>
    <col min="5907" max="5907" width="14.7109375" style="49" customWidth="1"/>
    <col min="5908" max="5908" width="9.140625" style="49"/>
    <col min="5909" max="5909" width="11.5703125" style="49" bestFit="1" customWidth="1"/>
    <col min="5910" max="5910" width="9.140625" style="49"/>
    <col min="5911" max="5911" width="11.5703125" style="49" bestFit="1" customWidth="1"/>
    <col min="5912" max="6144" width="9.140625" style="49"/>
    <col min="6145" max="6145" width="4.140625" style="49" customWidth="1"/>
    <col min="6146" max="6154" width="13.5703125" style="49" customWidth="1"/>
    <col min="6155" max="6155" width="4.140625" style="49" customWidth="1"/>
    <col min="6156" max="6156" width="46.7109375" style="49" customWidth="1"/>
    <col min="6157" max="6157" width="25.85546875" style="49" customWidth="1"/>
    <col min="6158" max="6158" width="23.7109375" style="49" customWidth="1"/>
    <col min="6159" max="6159" width="11.85546875" style="49" customWidth="1"/>
    <col min="6160" max="6160" width="39.140625" style="49" customWidth="1"/>
    <col min="6161" max="6161" width="16.140625" style="49" customWidth="1"/>
    <col min="6162" max="6162" width="13.85546875" style="49" customWidth="1"/>
    <col min="6163" max="6163" width="14.7109375" style="49" customWidth="1"/>
    <col min="6164" max="6164" width="9.140625" style="49"/>
    <col min="6165" max="6165" width="11.5703125" style="49" bestFit="1" customWidth="1"/>
    <col min="6166" max="6166" width="9.140625" style="49"/>
    <col min="6167" max="6167" width="11.5703125" style="49" bestFit="1" customWidth="1"/>
    <col min="6168" max="6400" width="9.140625" style="49"/>
    <col min="6401" max="6401" width="4.140625" style="49" customWidth="1"/>
    <col min="6402" max="6410" width="13.5703125" style="49" customWidth="1"/>
    <col min="6411" max="6411" width="4.140625" style="49" customWidth="1"/>
    <col min="6412" max="6412" width="46.7109375" style="49" customWidth="1"/>
    <col min="6413" max="6413" width="25.85546875" style="49" customWidth="1"/>
    <col min="6414" max="6414" width="23.7109375" style="49" customWidth="1"/>
    <col min="6415" max="6415" width="11.85546875" style="49" customWidth="1"/>
    <col min="6416" max="6416" width="39.140625" style="49" customWidth="1"/>
    <col min="6417" max="6417" width="16.140625" style="49" customWidth="1"/>
    <col min="6418" max="6418" width="13.85546875" style="49" customWidth="1"/>
    <col min="6419" max="6419" width="14.7109375" style="49" customWidth="1"/>
    <col min="6420" max="6420" width="9.140625" style="49"/>
    <col min="6421" max="6421" width="11.5703125" style="49" bestFit="1" customWidth="1"/>
    <col min="6422" max="6422" width="9.140625" style="49"/>
    <col min="6423" max="6423" width="11.5703125" style="49" bestFit="1" customWidth="1"/>
    <col min="6424" max="6656" width="9.140625" style="49"/>
    <col min="6657" max="6657" width="4.140625" style="49" customWidth="1"/>
    <col min="6658" max="6666" width="13.5703125" style="49" customWidth="1"/>
    <col min="6667" max="6667" width="4.140625" style="49" customWidth="1"/>
    <col min="6668" max="6668" width="46.7109375" style="49" customWidth="1"/>
    <col min="6669" max="6669" width="25.85546875" style="49" customWidth="1"/>
    <col min="6670" max="6670" width="23.7109375" style="49" customWidth="1"/>
    <col min="6671" max="6671" width="11.85546875" style="49" customWidth="1"/>
    <col min="6672" max="6672" width="39.140625" style="49" customWidth="1"/>
    <col min="6673" max="6673" width="16.140625" style="49" customWidth="1"/>
    <col min="6674" max="6674" width="13.85546875" style="49" customWidth="1"/>
    <col min="6675" max="6675" width="14.7109375" style="49" customWidth="1"/>
    <col min="6676" max="6676" width="9.140625" style="49"/>
    <col min="6677" max="6677" width="11.5703125" style="49" bestFit="1" customWidth="1"/>
    <col min="6678" max="6678" width="9.140625" style="49"/>
    <col min="6679" max="6679" width="11.5703125" style="49" bestFit="1" customWidth="1"/>
    <col min="6680" max="6912" width="9.140625" style="49"/>
    <col min="6913" max="6913" width="4.140625" style="49" customWidth="1"/>
    <col min="6914" max="6922" width="13.5703125" style="49" customWidth="1"/>
    <col min="6923" max="6923" width="4.140625" style="49" customWidth="1"/>
    <col min="6924" max="6924" width="46.7109375" style="49" customWidth="1"/>
    <col min="6925" max="6925" width="25.85546875" style="49" customWidth="1"/>
    <col min="6926" max="6926" width="23.7109375" style="49" customWidth="1"/>
    <col min="6927" max="6927" width="11.85546875" style="49" customWidth="1"/>
    <col min="6928" max="6928" width="39.140625" style="49" customWidth="1"/>
    <col min="6929" max="6929" width="16.140625" style="49" customWidth="1"/>
    <col min="6930" max="6930" width="13.85546875" style="49" customWidth="1"/>
    <col min="6931" max="6931" width="14.7109375" style="49" customWidth="1"/>
    <col min="6932" max="6932" width="9.140625" style="49"/>
    <col min="6933" max="6933" width="11.5703125" style="49" bestFit="1" customWidth="1"/>
    <col min="6934" max="6934" width="9.140625" style="49"/>
    <col min="6935" max="6935" width="11.5703125" style="49" bestFit="1" customWidth="1"/>
    <col min="6936" max="7168" width="9.140625" style="49"/>
    <col min="7169" max="7169" width="4.140625" style="49" customWidth="1"/>
    <col min="7170" max="7178" width="13.5703125" style="49" customWidth="1"/>
    <col min="7179" max="7179" width="4.140625" style="49" customWidth="1"/>
    <col min="7180" max="7180" width="46.7109375" style="49" customWidth="1"/>
    <col min="7181" max="7181" width="25.85546875" style="49" customWidth="1"/>
    <col min="7182" max="7182" width="23.7109375" style="49" customWidth="1"/>
    <col min="7183" max="7183" width="11.85546875" style="49" customWidth="1"/>
    <col min="7184" max="7184" width="39.140625" style="49" customWidth="1"/>
    <col min="7185" max="7185" width="16.140625" style="49" customWidth="1"/>
    <col min="7186" max="7186" width="13.85546875" style="49" customWidth="1"/>
    <col min="7187" max="7187" width="14.7109375" style="49" customWidth="1"/>
    <col min="7188" max="7188" width="9.140625" style="49"/>
    <col min="7189" max="7189" width="11.5703125" style="49" bestFit="1" customWidth="1"/>
    <col min="7190" max="7190" width="9.140625" style="49"/>
    <col min="7191" max="7191" width="11.5703125" style="49" bestFit="1" customWidth="1"/>
    <col min="7192" max="7424" width="9.140625" style="49"/>
    <col min="7425" max="7425" width="4.140625" style="49" customWidth="1"/>
    <col min="7426" max="7434" width="13.5703125" style="49" customWidth="1"/>
    <col min="7435" max="7435" width="4.140625" style="49" customWidth="1"/>
    <col min="7436" max="7436" width="46.7109375" style="49" customWidth="1"/>
    <col min="7437" max="7437" width="25.85546875" style="49" customWidth="1"/>
    <col min="7438" max="7438" width="23.7109375" style="49" customWidth="1"/>
    <col min="7439" max="7439" width="11.85546875" style="49" customWidth="1"/>
    <col min="7440" max="7440" width="39.140625" style="49" customWidth="1"/>
    <col min="7441" max="7441" width="16.140625" style="49" customWidth="1"/>
    <col min="7442" max="7442" width="13.85546875" style="49" customWidth="1"/>
    <col min="7443" max="7443" width="14.7109375" style="49" customWidth="1"/>
    <col min="7444" max="7444" width="9.140625" style="49"/>
    <col min="7445" max="7445" width="11.5703125" style="49" bestFit="1" customWidth="1"/>
    <col min="7446" max="7446" width="9.140625" style="49"/>
    <col min="7447" max="7447" width="11.5703125" style="49" bestFit="1" customWidth="1"/>
    <col min="7448" max="7680" width="9.140625" style="49"/>
    <col min="7681" max="7681" width="4.140625" style="49" customWidth="1"/>
    <col min="7682" max="7690" width="13.5703125" style="49" customWidth="1"/>
    <col min="7691" max="7691" width="4.140625" style="49" customWidth="1"/>
    <col min="7692" max="7692" width="46.7109375" style="49" customWidth="1"/>
    <col min="7693" max="7693" width="25.85546875" style="49" customWidth="1"/>
    <col min="7694" max="7694" width="23.7109375" style="49" customWidth="1"/>
    <col min="7695" max="7695" width="11.85546875" style="49" customWidth="1"/>
    <col min="7696" max="7696" width="39.140625" style="49" customWidth="1"/>
    <col min="7697" max="7697" width="16.140625" style="49" customWidth="1"/>
    <col min="7698" max="7698" width="13.85546875" style="49" customWidth="1"/>
    <col min="7699" max="7699" width="14.7109375" style="49" customWidth="1"/>
    <col min="7700" max="7700" width="9.140625" style="49"/>
    <col min="7701" max="7701" width="11.5703125" style="49" bestFit="1" customWidth="1"/>
    <col min="7702" max="7702" width="9.140625" style="49"/>
    <col min="7703" max="7703" width="11.5703125" style="49" bestFit="1" customWidth="1"/>
    <col min="7704" max="7936" width="9.140625" style="49"/>
    <col min="7937" max="7937" width="4.140625" style="49" customWidth="1"/>
    <col min="7938" max="7946" width="13.5703125" style="49" customWidth="1"/>
    <col min="7947" max="7947" width="4.140625" style="49" customWidth="1"/>
    <col min="7948" max="7948" width="46.7109375" style="49" customWidth="1"/>
    <col min="7949" max="7949" width="25.85546875" style="49" customWidth="1"/>
    <col min="7950" max="7950" width="23.7109375" style="49" customWidth="1"/>
    <col min="7951" max="7951" width="11.85546875" style="49" customWidth="1"/>
    <col min="7952" max="7952" width="39.140625" style="49" customWidth="1"/>
    <col min="7953" max="7953" width="16.140625" style="49" customWidth="1"/>
    <col min="7954" max="7954" width="13.85546875" style="49" customWidth="1"/>
    <col min="7955" max="7955" width="14.7109375" style="49" customWidth="1"/>
    <col min="7956" max="7956" width="9.140625" style="49"/>
    <col min="7957" max="7957" width="11.5703125" style="49" bestFit="1" customWidth="1"/>
    <col min="7958" max="7958" width="9.140625" style="49"/>
    <col min="7959" max="7959" width="11.5703125" style="49" bestFit="1" customWidth="1"/>
    <col min="7960" max="8192" width="9.140625" style="49"/>
    <col min="8193" max="8193" width="4.140625" style="49" customWidth="1"/>
    <col min="8194" max="8202" width="13.5703125" style="49" customWidth="1"/>
    <col min="8203" max="8203" width="4.140625" style="49" customWidth="1"/>
    <col min="8204" max="8204" width="46.7109375" style="49" customWidth="1"/>
    <col min="8205" max="8205" width="25.85546875" style="49" customWidth="1"/>
    <col min="8206" max="8206" width="23.7109375" style="49" customWidth="1"/>
    <col min="8207" max="8207" width="11.85546875" style="49" customWidth="1"/>
    <col min="8208" max="8208" width="39.140625" style="49" customWidth="1"/>
    <col min="8209" max="8209" width="16.140625" style="49" customWidth="1"/>
    <col min="8210" max="8210" width="13.85546875" style="49" customWidth="1"/>
    <col min="8211" max="8211" width="14.7109375" style="49" customWidth="1"/>
    <col min="8212" max="8212" width="9.140625" style="49"/>
    <col min="8213" max="8213" width="11.5703125" style="49" bestFit="1" customWidth="1"/>
    <col min="8214" max="8214" width="9.140625" style="49"/>
    <col min="8215" max="8215" width="11.5703125" style="49" bestFit="1" customWidth="1"/>
    <col min="8216" max="8448" width="9.140625" style="49"/>
    <col min="8449" max="8449" width="4.140625" style="49" customWidth="1"/>
    <col min="8450" max="8458" width="13.5703125" style="49" customWidth="1"/>
    <col min="8459" max="8459" width="4.140625" style="49" customWidth="1"/>
    <col min="8460" max="8460" width="46.7109375" style="49" customWidth="1"/>
    <col min="8461" max="8461" width="25.85546875" style="49" customWidth="1"/>
    <col min="8462" max="8462" width="23.7109375" style="49" customWidth="1"/>
    <col min="8463" max="8463" width="11.85546875" style="49" customWidth="1"/>
    <col min="8464" max="8464" width="39.140625" style="49" customWidth="1"/>
    <col min="8465" max="8465" width="16.140625" style="49" customWidth="1"/>
    <col min="8466" max="8466" width="13.85546875" style="49" customWidth="1"/>
    <col min="8467" max="8467" width="14.7109375" style="49" customWidth="1"/>
    <col min="8468" max="8468" width="9.140625" style="49"/>
    <col min="8469" max="8469" width="11.5703125" style="49" bestFit="1" customWidth="1"/>
    <col min="8470" max="8470" width="9.140625" style="49"/>
    <col min="8471" max="8471" width="11.5703125" style="49" bestFit="1" customWidth="1"/>
    <col min="8472" max="8704" width="9.140625" style="49"/>
    <col min="8705" max="8705" width="4.140625" style="49" customWidth="1"/>
    <col min="8706" max="8714" width="13.5703125" style="49" customWidth="1"/>
    <col min="8715" max="8715" width="4.140625" style="49" customWidth="1"/>
    <col min="8716" max="8716" width="46.7109375" style="49" customWidth="1"/>
    <col min="8717" max="8717" width="25.85546875" style="49" customWidth="1"/>
    <col min="8718" max="8718" width="23.7109375" style="49" customWidth="1"/>
    <col min="8719" max="8719" width="11.85546875" style="49" customWidth="1"/>
    <col min="8720" max="8720" width="39.140625" style="49" customWidth="1"/>
    <col min="8721" max="8721" width="16.140625" style="49" customWidth="1"/>
    <col min="8722" max="8722" width="13.85546875" style="49" customWidth="1"/>
    <col min="8723" max="8723" width="14.7109375" style="49" customWidth="1"/>
    <col min="8724" max="8724" width="9.140625" style="49"/>
    <col min="8725" max="8725" width="11.5703125" style="49" bestFit="1" customWidth="1"/>
    <col min="8726" max="8726" width="9.140625" style="49"/>
    <col min="8727" max="8727" width="11.5703125" style="49" bestFit="1" customWidth="1"/>
    <col min="8728" max="8960" width="9.140625" style="49"/>
    <col min="8961" max="8961" width="4.140625" style="49" customWidth="1"/>
    <col min="8962" max="8970" width="13.5703125" style="49" customWidth="1"/>
    <col min="8971" max="8971" width="4.140625" style="49" customWidth="1"/>
    <col min="8972" max="8972" width="46.7109375" style="49" customWidth="1"/>
    <col min="8973" max="8973" width="25.85546875" style="49" customWidth="1"/>
    <col min="8974" max="8974" width="23.7109375" style="49" customWidth="1"/>
    <col min="8975" max="8975" width="11.85546875" style="49" customWidth="1"/>
    <col min="8976" max="8976" width="39.140625" style="49" customWidth="1"/>
    <col min="8977" max="8977" width="16.140625" style="49" customWidth="1"/>
    <col min="8978" max="8978" width="13.85546875" style="49" customWidth="1"/>
    <col min="8979" max="8979" width="14.7109375" style="49" customWidth="1"/>
    <col min="8980" max="8980" width="9.140625" style="49"/>
    <col min="8981" max="8981" width="11.5703125" style="49" bestFit="1" customWidth="1"/>
    <col min="8982" max="8982" width="9.140625" style="49"/>
    <col min="8983" max="8983" width="11.5703125" style="49" bestFit="1" customWidth="1"/>
    <col min="8984" max="9216" width="9.140625" style="49"/>
    <col min="9217" max="9217" width="4.140625" style="49" customWidth="1"/>
    <col min="9218" max="9226" width="13.5703125" style="49" customWidth="1"/>
    <col min="9227" max="9227" width="4.140625" style="49" customWidth="1"/>
    <col min="9228" max="9228" width="46.7109375" style="49" customWidth="1"/>
    <col min="9229" max="9229" width="25.85546875" style="49" customWidth="1"/>
    <col min="9230" max="9230" width="23.7109375" style="49" customWidth="1"/>
    <col min="9231" max="9231" width="11.85546875" style="49" customWidth="1"/>
    <col min="9232" max="9232" width="39.140625" style="49" customWidth="1"/>
    <col min="9233" max="9233" width="16.140625" style="49" customWidth="1"/>
    <col min="9234" max="9234" width="13.85546875" style="49" customWidth="1"/>
    <col min="9235" max="9235" width="14.7109375" style="49" customWidth="1"/>
    <col min="9236" max="9236" width="9.140625" style="49"/>
    <col min="9237" max="9237" width="11.5703125" style="49" bestFit="1" customWidth="1"/>
    <col min="9238" max="9238" width="9.140625" style="49"/>
    <col min="9239" max="9239" width="11.5703125" style="49" bestFit="1" customWidth="1"/>
    <col min="9240" max="9472" width="9.140625" style="49"/>
    <col min="9473" max="9473" width="4.140625" style="49" customWidth="1"/>
    <col min="9474" max="9482" width="13.5703125" style="49" customWidth="1"/>
    <col min="9483" max="9483" width="4.140625" style="49" customWidth="1"/>
    <col min="9484" max="9484" width="46.7109375" style="49" customWidth="1"/>
    <col min="9485" max="9485" width="25.85546875" style="49" customWidth="1"/>
    <col min="9486" max="9486" width="23.7109375" style="49" customWidth="1"/>
    <col min="9487" max="9487" width="11.85546875" style="49" customWidth="1"/>
    <col min="9488" max="9488" width="39.140625" style="49" customWidth="1"/>
    <col min="9489" max="9489" width="16.140625" style="49" customWidth="1"/>
    <col min="9490" max="9490" width="13.85546875" style="49" customWidth="1"/>
    <col min="9491" max="9491" width="14.7109375" style="49" customWidth="1"/>
    <col min="9492" max="9492" width="9.140625" style="49"/>
    <col min="9493" max="9493" width="11.5703125" style="49" bestFit="1" customWidth="1"/>
    <col min="9494" max="9494" width="9.140625" style="49"/>
    <col min="9495" max="9495" width="11.5703125" style="49" bestFit="1" customWidth="1"/>
    <col min="9496" max="9728" width="9.140625" style="49"/>
    <col min="9729" max="9729" width="4.140625" style="49" customWidth="1"/>
    <col min="9730" max="9738" width="13.5703125" style="49" customWidth="1"/>
    <col min="9739" max="9739" width="4.140625" style="49" customWidth="1"/>
    <col min="9740" max="9740" width="46.7109375" style="49" customWidth="1"/>
    <col min="9741" max="9741" width="25.85546875" style="49" customWidth="1"/>
    <col min="9742" max="9742" width="23.7109375" style="49" customWidth="1"/>
    <col min="9743" max="9743" width="11.85546875" style="49" customWidth="1"/>
    <col min="9744" max="9744" width="39.140625" style="49" customWidth="1"/>
    <col min="9745" max="9745" width="16.140625" style="49" customWidth="1"/>
    <col min="9746" max="9746" width="13.85546875" style="49" customWidth="1"/>
    <col min="9747" max="9747" width="14.7109375" style="49" customWidth="1"/>
    <col min="9748" max="9748" width="9.140625" style="49"/>
    <col min="9749" max="9749" width="11.5703125" style="49" bestFit="1" customWidth="1"/>
    <col min="9750" max="9750" width="9.140625" style="49"/>
    <col min="9751" max="9751" width="11.5703125" style="49" bestFit="1" customWidth="1"/>
    <col min="9752" max="9984" width="9.140625" style="49"/>
    <col min="9985" max="9985" width="4.140625" style="49" customWidth="1"/>
    <col min="9986" max="9994" width="13.5703125" style="49" customWidth="1"/>
    <col min="9995" max="9995" width="4.140625" style="49" customWidth="1"/>
    <col min="9996" max="9996" width="46.7109375" style="49" customWidth="1"/>
    <col min="9997" max="9997" width="25.85546875" style="49" customWidth="1"/>
    <col min="9998" max="9998" width="23.7109375" style="49" customWidth="1"/>
    <col min="9999" max="9999" width="11.85546875" style="49" customWidth="1"/>
    <col min="10000" max="10000" width="39.140625" style="49" customWidth="1"/>
    <col min="10001" max="10001" width="16.140625" style="49" customWidth="1"/>
    <col min="10002" max="10002" width="13.85546875" style="49" customWidth="1"/>
    <col min="10003" max="10003" width="14.7109375" style="49" customWidth="1"/>
    <col min="10004" max="10004" width="9.140625" style="49"/>
    <col min="10005" max="10005" width="11.5703125" style="49" bestFit="1" customWidth="1"/>
    <col min="10006" max="10006" width="9.140625" style="49"/>
    <col min="10007" max="10007" width="11.5703125" style="49" bestFit="1" customWidth="1"/>
    <col min="10008" max="10240" width="9.140625" style="49"/>
    <col min="10241" max="10241" width="4.140625" style="49" customWidth="1"/>
    <col min="10242" max="10250" width="13.5703125" style="49" customWidth="1"/>
    <col min="10251" max="10251" width="4.140625" style="49" customWidth="1"/>
    <col min="10252" max="10252" width="46.7109375" style="49" customWidth="1"/>
    <col min="10253" max="10253" width="25.85546875" style="49" customWidth="1"/>
    <col min="10254" max="10254" width="23.7109375" style="49" customWidth="1"/>
    <col min="10255" max="10255" width="11.85546875" style="49" customWidth="1"/>
    <col min="10256" max="10256" width="39.140625" style="49" customWidth="1"/>
    <col min="10257" max="10257" width="16.140625" style="49" customWidth="1"/>
    <col min="10258" max="10258" width="13.85546875" style="49" customWidth="1"/>
    <col min="10259" max="10259" width="14.7109375" style="49" customWidth="1"/>
    <col min="10260" max="10260" width="9.140625" style="49"/>
    <col min="10261" max="10261" width="11.5703125" style="49" bestFit="1" customWidth="1"/>
    <col min="10262" max="10262" width="9.140625" style="49"/>
    <col min="10263" max="10263" width="11.5703125" style="49" bestFit="1" customWidth="1"/>
    <col min="10264" max="10496" width="9.140625" style="49"/>
    <col min="10497" max="10497" width="4.140625" style="49" customWidth="1"/>
    <col min="10498" max="10506" width="13.5703125" style="49" customWidth="1"/>
    <col min="10507" max="10507" width="4.140625" style="49" customWidth="1"/>
    <col min="10508" max="10508" width="46.7109375" style="49" customWidth="1"/>
    <col min="10509" max="10509" width="25.85546875" style="49" customWidth="1"/>
    <col min="10510" max="10510" width="23.7109375" style="49" customWidth="1"/>
    <col min="10511" max="10511" width="11.85546875" style="49" customWidth="1"/>
    <col min="10512" max="10512" width="39.140625" style="49" customWidth="1"/>
    <col min="10513" max="10513" width="16.140625" style="49" customWidth="1"/>
    <col min="10514" max="10514" width="13.85546875" style="49" customWidth="1"/>
    <col min="10515" max="10515" width="14.7109375" style="49" customWidth="1"/>
    <col min="10516" max="10516" width="9.140625" style="49"/>
    <col min="10517" max="10517" width="11.5703125" style="49" bestFit="1" customWidth="1"/>
    <col min="10518" max="10518" width="9.140625" style="49"/>
    <col min="10519" max="10519" width="11.5703125" style="49" bestFit="1" customWidth="1"/>
    <col min="10520" max="10752" width="9.140625" style="49"/>
    <col min="10753" max="10753" width="4.140625" style="49" customWidth="1"/>
    <col min="10754" max="10762" width="13.5703125" style="49" customWidth="1"/>
    <col min="10763" max="10763" width="4.140625" style="49" customWidth="1"/>
    <col min="10764" max="10764" width="46.7109375" style="49" customWidth="1"/>
    <col min="10765" max="10765" width="25.85546875" style="49" customWidth="1"/>
    <col min="10766" max="10766" width="23.7109375" style="49" customWidth="1"/>
    <col min="10767" max="10767" width="11.85546875" style="49" customWidth="1"/>
    <col min="10768" max="10768" width="39.140625" style="49" customWidth="1"/>
    <col min="10769" max="10769" width="16.140625" style="49" customWidth="1"/>
    <col min="10770" max="10770" width="13.85546875" style="49" customWidth="1"/>
    <col min="10771" max="10771" width="14.7109375" style="49" customWidth="1"/>
    <col min="10772" max="10772" width="9.140625" style="49"/>
    <col min="10773" max="10773" width="11.5703125" style="49" bestFit="1" customWidth="1"/>
    <col min="10774" max="10774" width="9.140625" style="49"/>
    <col min="10775" max="10775" width="11.5703125" style="49" bestFit="1" customWidth="1"/>
    <col min="10776" max="11008" width="9.140625" style="49"/>
    <col min="11009" max="11009" width="4.140625" style="49" customWidth="1"/>
    <col min="11010" max="11018" width="13.5703125" style="49" customWidth="1"/>
    <col min="11019" max="11019" width="4.140625" style="49" customWidth="1"/>
    <col min="11020" max="11020" width="46.7109375" style="49" customWidth="1"/>
    <col min="11021" max="11021" width="25.85546875" style="49" customWidth="1"/>
    <col min="11022" max="11022" width="23.7109375" style="49" customWidth="1"/>
    <col min="11023" max="11023" width="11.85546875" style="49" customWidth="1"/>
    <col min="11024" max="11024" width="39.140625" style="49" customWidth="1"/>
    <col min="11025" max="11025" width="16.140625" style="49" customWidth="1"/>
    <col min="11026" max="11026" width="13.85546875" style="49" customWidth="1"/>
    <col min="11027" max="11027" width="14.7109375" style="49" customWidth="1"/>
    <col min="11028" max="11028" width="9.140625" style="49"/>
    <col min="11029" max="11029" width="11.5703125" style="49" bestFit="1" customWidth="1"/>
    <col min="11030" max="11030" width="9.140625" style="49"/>
    <col min="11031" max="11031" width="11.5703125" style="49" bestFit="1" customWidth="1"/>
    <col min="11032" max="11264" width="9.140625" style="49"/>
    <col min="11265" max="11265" width="4.140625" style="49" customWidth="1"/>
    <col min="11266" max="11274" width="13.5703125" style="49" customWidth="1"/>
    <col min="11275" max="11275" width="4.140625" style="49" customWidth="1"/>
    <col min="11276" max="11276" width="46.7109375" style="49" customWidth="1"/>
    <col min="11277" max="11277" width="25.85546875" style="49" customWidth="1"/>
    <col min="11278" max="11278" width="23.7109375" style="49" customWidth="1"/>
    <col min="11279" max="11279" width="11.85546875" style="49" customWidth="1"/>
    <col min="11280" max="11280" width="39.140625" style="49" customWidth="1"/>
    <col min="11281" max="11281" width="16.140625" style="49" customWidth="1"/>
    <col min="11282" max="11282" width="13.85546875" style="49" customWidth="1"/>
    <col min="11283" max="11283" width="14.7109375" style="49" customWidth="1"/>
    <col min="11284" max="11284" width="9.140625" style="49"/>
    <col min="11285" max="11285" width="11.5703125" style="49" bestFit="1" customWidth="1"/>
    <col min="11286" max="11286" width="9.140625" style="49"/>
    <col min="11287" max="11287" width="11.5703125" style="49" bestFit="1" customWidth="1"/>
    <col min="11288" max="11520" width="9.140625" style="49"/>
    <col min="11521" max="11521" width="4.140625" style="49" customWidth="1"/>
    <col min="11522" max="11530" width="13.5703125" style="49" customWidth="1"/>
    <col min="11531" max="11531" width="4.140625" style="49" customWidth="1"/>
    <col min="11532" max="11532" width="46.7109375" style="49" customWidth="1"/>
    <col min="11533" max="11533" width="25.85546875" style="49" customWidth="1"/>
    <col min="11534" max="11534" width="23.7109375" style="49" customWidth="1"/>
    <col min="11535" max="11535" width="11.85546875" style="49" customWidth="1"/>
    <col min="11536" max="11536" width="39.140625" style="49" customWidth="1"/>
    <col min="11537" max="11537" width="16.140625" style="49" customWidth="1"/>
    <col min="11538" max="11538" width="13.85546875" style="49" customWidth="1"/>
    <col min="11539" max="11539" width="14.7109375" style="49" customWidth="1"/>
    <col min="11540" max="11540" width="9.140625" style="49"/>
    <col min="11541" max="11541" width="11.5703125" style="49" bestFit="1" customWidth="1"/>
    <col min="11542" max="11542" width="9.140625" style="49"/>
    <col min="11543" max="11543" width="11.5703125" style="49" bestFit="1" customWidth="1"/>
    <col min="11544" max="11776" width="9.140625" style="49"/>
    <col min="11777" max="11777" width="4.140625" style="49" customWidth="1"/>
    <col min="11778" max="11786" width="13.5703125" style="49" customWidth="1"/>
    <col min="11787" max="11787" width="4.140625" style="49" customWidth="1"/>
    <col min="11788" max="11788" width="46.7109375" style="49" customWidth="1"/>
    <col min="11789" max="11789" width="25.85546875" style="49" customWidth="1"/>
    <col min="11790" max="11790" width="23.7109375" style="49" customWidth="1"/>
    <col min="11791" max="11791" width="11.85546875" style="49" customWidth="1"/>
    <col min="11792" max="11792" width="39.140625" style="49" customWidth="1"/>
    <col min="11793" max="11793" width="16.140625" style="49" customWidth="1"/>
    <col min="11794" max="11794" width="13.85546875" style="49" customWidth="1"/>
    <col min="11795" max="11795" width="14.7109375" style="49" customWidth="1"/>
    <col min="11796" max="11796" width="9.140625" style="49"/>
    <col min="11797" max="11797" width="11.5703125" style="49" bestFit="1" customWidth="1"/>
    <col min="11798" max="11798" width="9.140625" style="49"/>
    <col min="11799" max="11799" width="11.5703125" style="49" bestFit="1" customWidth="1"/>
    <col min="11800" max="12032" width="9.140625" style="49"/>
    <col min="12033" max="12033" width="4.140625" style="49" customWidth="1"/>
    <col min="12034" max="12042" width="13.5703125" style="49" customWidth="1"/>
    <col min="12043" max="12043" width="4.140625" style="49" customWidth="1"/>
    <col min="12044" max="12044" width="46.7109375" style="49" customWidth="1"/>
    <col min="12045" max="12045" width="25.85546875" style="49" customWidth="1"/>
    <col min="12046" max="12046" width="23.7109375" style="49" customWidth="1"/>
    <col min="12047" max="12047" width="11.85546875" style="49" customWidth="1"/>
    <col min="12048" max="12048" width="39.140625" style="49" customWidth="1"/>
    <col min="12049" max="12049" width="16.140625" style="49" customWidth="1"/>
    <col min="12050" max="12050" width="13.85546875" style="49" customWidth="1"/>
    <col min="12051" max="12051" width="14.7109375" style="49" customWidth="1"/>
    <col min="12052" max="12052" width="9.140625" style="49"/>
    <col min="12053" max="12053" width="11.5703125" style="49" bestFit="1" customWidth="1"/>
    <col min="12054" max="12054" width="9.140625" style="49"/>
    <col min="12055" max="12055" width="11.5703125" style="49" bestFit="1" customWidth="1"/>
    <col min="12056" max="12288" width="9.140625" style="49"/>
    <col min="12289" max="12289" width="4.140625" style="49" customWidth="1"/>
    <col min="12290" max="12298" width="13.5703125" style="49" customWidth="1"/>
    <col min="12299" max="12299" width="4.140625" style="49" customWidth="1"/>
    <col min="12300" max="12300" width="46.7109375" style="49" customWidth="1"/>
    <col min="12301" max="12301" width="25.85546875" style="49" customWidth="1"/>
    <col min="12302" max="12302" width="23.7109375" style="49" customWidth="1"/>
    <col min="12303" max="12303" width="11.85546875" style="49" customWidth="1"/>
    <col min="12304" max="12304" width="39.140625" style="49" customWidth="1"/>
    <col min="12305" max="12305" width="16.140625" style="49" customWidth="1"/>
    <col min="12306" max="12306" width="13.85546875" style="49" customWidth="1"/>
    <col min="12307" max="12307" width="14.7109375" style="49" customWidth="1"/>
    <col min="12308" max="12308" width="9.140625" style="49"/>
    <col min="12309" max="12309" width="11.5703125" style="49" bestFit="1" customWidth="1"/>
    <col min="12310" max="12310" width="9.140625" style="49"/>
    <col min="12311" max="12311" width="11.5703125" style="49" bestFit="1" customWidth="1"/>
    <col min="12312" max="12544" width="9.140625" style="49"/>
    <col min="12545" max="12545" width="4.140625" style="49" customWidth="1"/>
    <col min="12546" max="12554" width="13.5703125" style="49" customWidth="1"/>
    <col min="12555" max="12555" width="4.140625" style="49" customWidth="1"/>
    <col min="12556" max="12556" width="46.7109375" style="49" customWidth="1"/>
    <col min="12557" max="12557" width="25.85546875" style="49" customWidth="1"/>
    <col min="12558" max="12558" width="23.7109375" style="49" customWidth="1"/>
    <col min="12559" max="12559" width="11.85546875" style="49" customWidth="1"/>
    <col min="12560" max="12560" width="39.140625" style="49" customWidth="1"/>
    <col min="12561" max="12561" width="16.140625" style="49" customWidth="1"/>
    <col min="12562" max="12562" width="13.85546875" style="49" customWidth="1"/>
    <col min="12563" max="12563" width="14.7109375" style="49" customWidth="1"/>
    <col min="12564" max="12564" width="9.140625" style="49"/>
    <col min="12565" max="12565" width="11.5703125" style="49" bestFit="1" customWidth="1"/>
    <col min="12566" max="12566" width="9.140625" style="49"/>
    <col min="12567" max="12567" width="11.5703125" style="49" bestFit="1" customWidth="1"/>
    <col min="12568" max="12800" width="9.140625" style="49"/>
    <col min="12801" max="12801" width="4.140625" style="49" customWidth="1"/>
    <col min="12802" max="12810" width="13.5703125" style="49" customWidth="1"/>
    <col min="12811" max="12811" width="4.140625" style="49" customWidth="1"/>
    <col min="12812" max="12812" width="46.7109375" style="49" customWidth="1"/>
    <col min="12813" max="12813" width="25.85546875" style="49" customWidth="1"/>
    <col min="12814" max="12814" width="23.7109375" style="49" customWidth="1"/>
    <col min="12815" max="12815" width="11.85546875" style="49" customWidth="1"/>
    <col min="12816" max="12816" width="39.140625" style="49" customWidth="1"/>
    <col min="12817" max="12817" width="16.140625" style="49" customWidth="1"/>
    <col min="12818" max="12818" width="13.85546875" style="49" customWidth="1"/>
    <col min="12819" max="12819" width="14.7109375" style="49" customWidth="1"/>
    <col min="12820" max="12820" width="9.140625" style="49"/>
    <col min="12821" max="12821" width="11.5703125" style="49" bestFit="1" customWidth="1"/>
    <col min="12822" max="12822" width="9.140625" style="49"/>
    <col min="12823" max="12823" width="11.5703125" style="49" bestFit="1" customWidth="1"/>
    <col min="12824" max="13056" width="9.140625" style="49"/>
    <col min="13057" max="13057" width="4.140625" style="49" customWidth="1"/>
    <col min="13058" max="13066" width="13.5703125" style="49" customWidth="1"/>
    <col min="13067" max="13067" width="4.140625" style="49" customWidth="1"/>
    <col min="13068" max="13068" width="46.7109375" style="49" customWidth="1"/>
    <col min="13069" max="13069" width="25.85546875" style="49" customWidth="1"/>
    <col min="13070" max="13070" width="23.7109375" style="49" customWidth="1"/>
    <col min="13071" max="13071" width="11.85546875" style="49" customWidth="1"/>
    <col min="13072" max="13072" width="39.140625" style="49" customWidth="1"/>
    <col min="13073" max="13073" width="16.140625" style="49" customWidth="1"/>
    <col min="13074" max="13074" width="13.85546875" style="49" customWidth="1"/>
    <col min="13075" max="13075" width="14.7109375" style="49" customWidth="1"/>
    <col min="13076" max="13076" width="9.140625" style="49"/>
    <col min="13077" max="13077" width="11.5703125" style="49" bestFit="1" customWidth="1"/>
    <col min="13078" max="13078" width="9.140625" style="49"/>
    <col min="13079" max="13079" width="11.5703125" style="49" bestFit="1" customWidth="1"/>
    <col min="13080" max="13312" width="9.140625" style="49"/>
    <col min="13313" max="13313" width="4.140625" style="49" customWidth="1"/>
    <col min="13314" max="13322" width="13.5703125" style="49" customWidth="1"/>
    <col min="13323" max="13323" width="4.140625" style="49" customWidth="1"/>
    <col min="13324" max="13324" width="46.7109375" style="49" customWidth="1"/>
    <col min="13325" max="13325" width="25.85546875" style="49" customWidth="1"/>
    <col min="13326" max="13326" width="23.7109375" style="49" customWidth="1"/>
    <col min="13327" max="13327" width="11.85546875" style="49" customWidth="1"/>
    <col min="13328" max="13328" width="39.140625" style="49" customWidth="1"/>
    <col min="13329" max="13329" width="16.140625" style="49" customWidth="1"/>
    <col min="13330" max="13330" width="13.85546875" style="49" customWidth="1"/>
    <col min="13331" max="13331" width="14.7109375" style="49" customWidth="1"/>
    <col min="13332" max="13332" width="9.140625" style="49"/>
    <col min="13333" max="13333" width="11.5703125" style="49" bestFit="1" customWidth="1"/>
    <col min="13334" max="13334" width="9.140625" style="49"/>
    <col min="13335" max="13335" width="11.5703125" style="49" bestFit="1" customWidth="1"/>
    <col min="13336" max="13568" width="9.140625" style="49"/>
    <col min="13569" max="13569" width="4.140625" style="49" customWidth="1"/>
    <col min="13570" max="13578" width="13.5703125" style="49" customWidth="1"/>
    <col min="13579" max="13579" width="4.140625" style="49" customWidth="1"/>
    <col min="13580" max="13580" width="46.7109375" style="49" customWidth="1"/>
    <col min="13581" max="13581" width="25.85546875" style="49" customWidth="1"/>
    <col min="13582" max="13582" width="23.7109375" style="49" customWidth="1"/>
    <col min="13583" max="13583" width="11.85546875" style="49" customWidth="1"/>
    <col min="13584" max="13584" width="39.140625" style="49" customWidth="1"/>
    <col min="13585" max="13585" width="16.140625" style="49" customWidth="1"/>
    <col min="13586" max="13586" width="13.85546875" style="49" customWidth="1"/>
    <col min="13587" max="13587" width="14.7109375" style="49" customWidth="1"/>
    <col min="13588" max="13588" width="9.140625" style="49"/>
    <col min="13589" max="13589" width="11.5703125" style="49" bestFit="1" customWidth="1"/>
    <col min="13590" max="13590" width="9.140625" style="49"/>
    <col min="13591" max="13591" width="11.5703125" style="49" bestFit="1" customWidth="1"/>
    <col min="13592" max="13824" width="9.140625" style="49"/>
    <col min="13825" max="13825" width="4.140625" style="49" customWidth="1"/>
    <col min="13826" max="13834" width="13.5703125" style="49" customWidth="1"/>
    <col min="13835" max="13835" width="4.140625" style="49" customWidth="1"/>
    <col min="13836" max="13836" width="46.7109375" style="49" customWidth="1"/>
    <col min="13837" max="13837" width="25.85546875" style="49" customWidth="1"/>
    <col min="13838" max="13838" width="23.7109375" style="49" customWidth="1"/>
    <col min="13839" max="13839" width="11.85546875" style="49" customWidth="1"/>
    <col min="13840" max="13840" width="39.140625" style="49" customWidth="1"/>
    <col min="13841" max="13841" width="16.140625" style="49" customWidth="1"/>
    <col min="13842" max="13842" width="13.85546875" style="49" customWidth="1"/>
    <col min="13843" max="13843" width="14.7109375" style="49" customWidth="1"/>
    <col min="13844" max="13844" width="9.140625" style="49"/>
    <col min="13845" max="13845" width="11.5703125" style="49" bestFit="1" customWidth="1"/>
    <col min="13846" max="13846" width="9.140625" style="49"/>
    <col min="13847" max="13847" width="11.5703125" style="49" bestFit="1" customWidth="1"/>
    <col min="13848" max="14080" width="9.140625" style="49"/>
    <col min="14081" max="14081" width="4.140625" style="49" customWidth="1"/>
    <col min="14082" max="14090" width="13.5703125" style="49" customWidth="1"/>
    <col min="14091" max="14091" width="4.140625" style="49" customWidth="1"/>
    <col min="14092" max="14092" width="46.7109375" style="49" customWidth="1"/>
    <col min="14093" max="14093" width="25.85546875" style="49" customWidth="1"/>
    <col min="14094" max="14094" width="23.7109375" style="49" customWidth="1"/>
    <col min="14095" max="14095" width="11.85546875" style="49" customWidth="1"/>
    <col min="14096" max="14096" width="39.140625" style="49" customWidth="1"/>
    <col min="14097" max="14097" width="16.140625" style="49" customWidth="1"/>
    <col min="14098" max="14098" width="13.85546875" style="49" customWidth="1"/>
    <col min="14099" max="14099" width="14.7109375" style="49" customWidth="1"/>
    <col min="14100" max="14100" width="9.140625" style="49"/>
    <col min="14101" max="14101" width="11.5703125" style="49" bestFit="1" customWidth="1"/>
    <col min="14102" max="14102" width="9.140625" style="49"/>
    <col min="14103" max="14103" width="11.5703125" style="49" bestFit="1" customWidth="1"/>
    <col min="14104" max="14336" width="9.140625" style="49"/>
    <col min="14337" max="14337" width="4.140625" style="49" customWidth="1"/>
    <col min="14338" max="14346" width="13.5703125" style="49" customWidth="1"/>
    <col min="14347" max="14347" width="4.140625" style="49" customWidth="1"/>
    <col min="14348" max="14348" width="46.7109375" style="49" customWidth="1"/>
    <col min="14349" max="14349" width="25.85546875" style="49" customWidth="1"/>
    <col min="14350" max="14350" width="23.7109375" style="49" customWidth="1"/>
    <col min="14351" max="14351" width="11.85546875" style="49" customWidth="1"/>
    <col min="14352" max="14352" width="39.140625" style="49" customWidth="1"/>
    <col min="14353" max="14353" width="16.140625" style="49" customWidth="1"/>
    <col min="14354" max="14354" width="13.85546875" style="49" customWidth="1"/>
    <col min="14355" max="14355" width="14.7109375" style="49" customWidth="1"/>
    <col min="14356" max="14356" width="9.140625" style="49"/>
    <col min="14357" max="14357" width="11.5703125" style="49" bestFit="1" customWidth="1"/>
    <col min="14358" max="14358" width="9.140625" style="49"/>
    <col min="14359" max="14359" width="11.5703125" style="49" bestFit="1" customWidth="1"/>
    <col min="14360" max="14592" width="9.140625" style="49"/>
    <col min="14593" max="14593" width="4.140625" style="49" customWidth="1"/>
    <col min="14594" max="14602" width="13.5703125" style="49" customWidth="1"/>
    <col min="14603" max="14603" width="4.140625" style="49" customWidth="1"/>
    <col min="14604" max="14604" width="46.7109375" style="49" customWidth="1"/>
    <col min="14605" max="14605" width="25.85546875" style="49" customWidth="1"/>
    <col min="14606" max="14606" width="23.7109375" style="49" customWidth="1"/>
    <col min="14607" max="14607" width="11.85546875" style="49" customWidth="1"/>
    <col min="14608" max="14608" width="39.140625" style="49" customWidth="1"/>
    <col min="14609" max="14609" width="16.140625" style="49" customWidth="1"/>
    <col min="14610" max="14610" width="13.85546875" style="49" customWidth="1"/>
    <col min="14611" max="14611" width="14.7109375" style="49" customWidth="1"/>
    <col min="14612" max="14612" width="9.140625" style="49"/>
    <col min="14613" max="14613" width="11.5703125" style="49" bestFit="1" customWidth="1"/>
    <col min="14614" max="14614" width="9.140625" style="49"/>
    <col min="14615" max="14615" width="11.5703125" style="49" bestFit="1" customWidth="1"/>
    <col min="14616" max="14848" width="9.140625" style="49"/>
    <col min="14849" max="14849" width="4.140625" style="49" customWidth="1"/>
    <col min="14850" max="14858" width="13.5703125" style="49" customWidth="1"/>
    <col min="14859" max="14859" width="4.140625" style="49" customWidth="1"/>
    <col min="14860" max="14860" width="46.7109375" style="49" customWidth="1"/>
    <col min="14861" max="14861" width="25.85546875" style="49" customWidth="1"/>
    <col min="14862" max="14862" width="23.7109375" style="49" customWidth="1"/>
    <col min="14863" max="14863" width="11.85546875" style="49" customWidth="1"/>
    <col min="14864" max="14864" width="39.140625" style="49" customWidth="1"/>
    <col min="14865" max="14865" width="16.140625" style="49" customWidth="1"/>
    <col min="14866" max="14866" width="13.85546875" style="49" customWidth="1"/>
    <col min="14867" max="14867" width="14.7109375" style="49" customWidth="1"/>
    <col min="14868" max="14868" width="9.140625" style="49"/>
    <col min="14869" max="14869" width="11.5703125" style="49" bestFit="1" customWidth="1"/>
    <col min="14870" max="14870" width="9.140625" style="49"/>
    <col min="14871" max="14871" width="11.5703125" style="49" bestFit="1" customWidth="1"/>
    <col min="14872" max="15104" width="9.140625" style="49"/>
    <col min="15105" max="15105" width="4.140625" style="49" customWidth="1"/>
    <col min="15106" max="15114" width="13.5703125" style="49" customWidth="1"/>
    <col min="15115" max="15115" width="4.140625" style="49" customWidth="1"/>
    <col min="15116" max="15116" width="46.7109375" style="49" customWidth="1"/>
    <col min="15117" max="15117" width="25.85546875" style="49" customWidth="1"/>
    <col min="15118" max="15118" width="23.7109375" style="49" customWidth="1"/>
    <col min="15119" max="15119" width="11.85546875" style="49" customWidth="1"/>
    <col min="15120" max="15120" width="39.140625" style="49" customWidth="1"/>
    <col min="15121" max="15121" width="16.140625" style="49" customWidth="1"/>
    <col min="15122" max="15122" width="13.85546875" style="49" customWidth="1"/>
    <col min="15123" max="15123" width="14.7109375" style="49" customWidth="1"/>
    <col min="15124" max="15124" width="9.140625" style="49"/>
    <col min="15125" max="15125" width="11.5703125" style="49" bestFit="1" customWidth="1"/>
    <col min="15126" max="15126" width="9.140625" style="49"/>
    <col min="15127" max="15127" width="11.5703125" style="49" bestFit="1" customWidth="1"/>
    <col min="15128" max="15360" width="9.140625" style="49"/>
    <col min="15361" max="15361" width="4.140625" style="49" customWidth="1"/>
    <col min="15362" max="15370" width="13.5703125" style="49" customWidth="1"/>
    <col min="15371" max="15371" width="4.140625" style="49" customWidth="1"/>
    <col min="15372" max="15372" width="46.7109375" style="49" customWidth="1"/>
    <col min="15373" max="15373" width="25.85546875" style="49" customWidth="1"/>
    <col min="15374" max="15374" width="23.7109375" style="49" customWidth="1"/>
    <col min="15375" max="15375" width="11.85546875" style="49" customWidth="1"/>
    <col min="15376" max="15376" width="39.140625" style="49" customWidth="1"/>
    <col min="15377" max="15377" width="16.140625" style="49" customWidth="1"/>
    <col min="15378" max="15378" width="13.85546875" style="49" customWidth="1"/>
    <col min="15379" max="15379" width="14.7109375" style="49" customWidth="1"/>
    <col min="15380" max="15380" width="9.140625" style="49"/>
    <col min="15381" max="15381" width="11.5703125" style="49" bestFit="1" customWidth="1"/>
    <col min="15382" max="15382" width="9.140625" style="49"/>
    <col min="15383" max="15383" width="11.5703125" style="49" bestFit="1" customWidth="1"/>
    <col min="15384" max="15616" width="9.140625" style="49"/>
    <col min="15617" max="15617" width="4.140625" style="49" customWidth="1"/>
    <col min="15618" max="15626" width="13.5703125" style="49" customWidth="1"/>
    <col min="15627" max="15627" width="4.140625" style="49" customWidth="1"/>
    <col min="15628" max="15628" width="46.7109375" style="49" customWidth="1"/>
    <col min="15629" max="15629" width="25.85546875" style="49" customWidth="1"/>
    <col min="15630" max="15630" width="23.7109375" style="49" customWidth="1"/>
    <col min="15631" max="15631" width="11.85546875" style="49" customWidth="1"/>
    <col min="15632" max="15632" width="39.140625" style="49" customWidth="1"/>
    <col min="15633" max="15633" width="16.140625" style="49" customWidth="1"/>
    <col min="15634" max="15634" width="13.85546875" style="49" customWidth="1"/>
    <col min="15635" max="15635" width="14.7109375" style="49" customWidth="1"/>
    <col min="15636" max="15636" width="9.140625" style="49"/>
    <col min="15637" max="15637" width="11.5703125" style="49" bestFit="1" customWidth="1"/>
    <col min="15638" max="15638" width="9.140625" style="49"/>
    <col min="15639" max="15639" width="11.5703125" style="49" bestFit="1" customWidth="1"/>
    <col min="15640" max="15872" width="9.140625" style="49"/>
    <col min="15873" max="15873" width="4.140625" style="49" customWidth="1"/>
    <col min="15874" max="15882" width="13.5703125" style="49" customWidth="1"/>
    <col min="15883" max="15883" width="4.140625" style="49" customWidth="1"/>
    <col min="15884" max="15884" width="46.7109375" style="49" customWidth="1"/>
    <col min="15885" max="15885" width="25.85546875" style="49" customWidth="1"/>
    <col min="15886" max="15886" width="23.7109375" style="49" customWidth="1"/>
    <col min="15887" max="15887" width="11.85546875" style="49" customWidth="1"/>
    <col min="15888" max="15888" width="39.140625" style="49" customWidth="1"/>
    <col min="15889" max="15889" width="16.140625" style="49" customWidth="1"/>
    <col min="15890" max="15890" width="13.85546875" style="49" customWidth="1"/>
    <col min="15891" max="15891" width="14.7109375" style="49" customWidth="1"/>
    <col min="15892" max="15892" width="9.140625" style="49"/>
    <col min="15893" max="15893" width="11.5703125" style="49" bestFit="1" customWidth="1"/>
    <col min="15894" max="15894" width="9.140625" style="49"/>
    <col min="15895" max="15895" width="11.5703125" style="49" bestFit="1" customWidth="1"/>
    <col min="15896" max="16128" width="9.140625" style="49"/>
    <col min="16129" max="16129" width="4.140625" style="49" customWidth="1"/>
    <col min="16130" max="16138" width="13.5703125" style="49" customWidth="1"/>
    <col min="16139" max="16139" width="4.140625" style="49" customWidth="1"/>
    <col min="16140" max="16140" width="46.7109375" style="49" customWidth="1"/>
    <col min="16141" max="16141" width="25.85546875" style="49" customWidth="1"/>
    <col min="16142" max="16142" width="23.7109375" style="49" customWidth="1"/>
    <col min="16143" max="16143" width="11.85546875" style="49" customWidth="1"/>
    <col min="16144" max="16144" width="39.140625" style="49" customWidth="1"/>
    <col min="16145" max="16145" width="16.140625" style="49" customWidth="1"/>
    <col min="16146" max="16146" width="13.85546875" style="49" customWidth="1"/>
    <col min="16147" max="16147" width="14.7109375" style="49" customWidth="1"/>
    <col min="16148" max="16148" width="9.140625" style="49"/>
    <col min="16149" max="16149" width="11.5703125" style="49" bestFit="1" customWidth="1"/>
    <col min="16150" max="16150" width="9.140625" style="49"/>
    <col min="16151" max="16151" width="11.5703125" style="49" bestFit="1" customWidth="1"/>
    <col min="16152" max="16384" width="9.140625" style="49"/>
  </cols>
  <sheetData>
    <row r="1" spans="2:23" ht="7.9" customHeight="1" x14ac:dyDescent="0.25">
      <c r="L1" s="47"/>
      <c r="M1" s="47"/>
      <c r="N1" s="48"/>
    </row>
    <row r="2" spans="2:23" x14ac:dyDescent="0.25">
      <c r="B2" s="170" t="s">
        <v>64</v>
      </c>
      <c r="C2" s="170"/>
      <c r="D2" s="170"/>
      <c r="E2" s="170"/>
      <c r="F2" s="170"/>
      <c r="G2" s="170"/>
      <c r="H2" s="170"/>
      <c r="I2" s="170"/>
      <c r="J2" s="170"/>
      <c r="L2" s="170" t="s">
        <v>65</v>
      </c>
      <c r="M2" s="170"/>
      <c r="N2" s="170"/>
      <c r="P2" s="148" t="s">
        <v>66</v>
      </c>
      <c r="Q2" s="148"/>
      <c r="R2" s="148"/>
      <c r="S2" s="148"/>
    </row>
    <row r="3" spans="2:23" ht="13.5" customHeight="1" x14ac:dyDescent="0.25">
      <c r="B3" s="51"/>
      <c r="C3" s="51"/>
      <c r="D3" s="51"/>
      <c r="E3" s="51"/>
      <c r="F3" s="51"/>
      <c r="G3" s="51"/>
      <c r="H3" s="51"/>
      <c r="I3" s="51"/>
      <c r="J3" s="51"/>
      <c r="L3" s="52" t="s">
        <v>67</v>
      </c>
      <c r="M3" s="26" t="s">
        <v>68</v>
      </c>
      <c r="N3" s="26" t="s">
        <v>69</v>
      </c>
      <c r="P3" s="53"/>
      <c r="Q3" s="53"/>
      <c r="R3" s="53"/>
      <c r="S3" s="53"/>
    </row>
    <row r="4" spans="2:23" ht="15" customHeight="1" x14ac:dyDescent="0.25">
      <c r="B4" s="51"/>
      <c r="C4" s="51"/>
      <c r="D4" s="51"/>
      <c r="E4" s="51"/>
      <c r="F4" s="51"/>
      <c r="G4" s="51"/>
      <c r="H4" s="51"/>
      <c r="I4" s="51"/>
      <c r="J4" s="51"/>
      <c r="L4" s="54" t="s">
        <v>70</v>
      </c>
      <c r="M4" s="29">
        <v>0.94</v>
      </c>
      <c r="N4" s="29" t="s">
        <v>71</v>
      </c>
      <c r="P4" s="148" t="s">
        <v>72</v>
      </c>
      <c r="Q4" s="148"/>
      <c r="R4" s="148"/>
      <c r="S4" s="148"/>
      <c r="U4" s="53"/>
      <c r="V4" s="53"/>
      <c r="W4" s="53"/>
    </row>
    <row r="5" spans="2:23" ht="15.75" x14ac:dyDescent="0.25">
      <c r="B5" s="170" t="s">
        <v>73</v>
      </c>
      <c r="C5" s="170"/>
      <c r="D5" s="170"/>
      <c r="E5" s="170"/>
      <c r="F5" s="170"/>
      <c r="G5" s="170"/>
      <c r="H5" s="170"/>
      <c r="I5" s="170"/>
      <c r="J5" s="170"/>
      <c r="L5" s="55" t="s">
        <v>74</v>
      </c>
      <c r="M5" s="56">
        <v>6.7000000000000002E-4</v>
      </c>
      <c r="N5" s="29" t="s">
        <v>75</v>
      </c>
      <c r="P5" s="52" t="s">
        <v>76</v>
      </c>
      <c r="Q5" s="26">
        <v>2019</v>
      </c>
      <c r="R5" s="26">
        <v>2020</v>
      </c>
      <c r="S5" s="26" t="s">
        <v>77</v>
      </c>
      <c r="U5" s="53"/>
      <c r="V5" s="53"/>
      <c r="W5" s="53"/>
    </row>
    <row r="6" spans="2:23" ht="28.5" x14ac:dyDescent="0.25">
      <c r="B6" s="21" t="s">
        <v>15</v>
      </c>
      <c r="C6" s="21" t="s">
        <v>26</v>
      </c>
      <c r="D6" s="26" t="s">
        <v>27</v>
      </c>
      <c r="E6" s="21" t="s">
        <v>28</v>
      </c>
      <c r="F6" s="21" t="s">
        <v>29</v>
      </c>
      <c r="G6" s="21" t="s">
        <v>30</v>
      </c>
      <c r="H6" s="21" t="s">
        <v>78</v>
      </c>
      <c r="I6" s="21" t="s">
        <v>24</v>
      </c>
      <c r="J6" s="26" t="s">
        <v>16</v>
      </c>
      <c r="L6" s="55" t="s">
        <v>79</v>
      </c>
      <c r="M6" s="56">
        <v>0.77</v>
      </c>
      <c r="N6" s="29" t="s">
        <v>71</v>
      </c>
      <c r="P6" s="11" t="s">
        <v>26</v>
      </c>
      <c r="Q6" s="14">
        <f>SUMIFS('Animal Data - Ramella'!$H$5:$H$29,'Animal Data - Ramella'!$I$5:$I$29,'BE - Ramella'!$P6,'Animal Data - Ramella'!$G$5:$G$29,'BE - Ramella'!Q$5)</f>
        <v>0</v>
      </c>
      <c r="R6" s="14">
        <f>SUMIFS('Animal Data - Ramella'!$H$5:$H$29,'Animal Data - Ramella'!$I$5:$I$29,'BE - Ramella'!$P6,'Animal Data - Ramella'!$G$5:$G$29,'BE - Ramella'!$R$5)</f>
        <v>0</v>
      </c>
      <c r="S6" s="13">
        <f t="shared" ref="S6:S12" si="0">AVERAGE(Q6:R6)</f>
        <v>0</v>
      </c>
      <c r="U6" s="53"/>
      <c r="V6" s="53"/>
      <c r="W6" s="53"/>
    </row>
    <row r="7" spans="2:23" ht="15.75" x14ac:dyDescent="0.25">
      <c r="B7" s="19">
        <v>2019</v>
      </c>
      <c r="C7" s="13">
        <f>$M$7*$M$5*$M$4*$M$6*$M$22*$Q$24*$Q$42*$M$8</f>
        <v>0</v>
      </c>
      <c r="D7" s="13">
        <f>$M$7*$M$5*$M$4*$M$6*$M$22*$Q$25*$Q$43*$M$8</f>
        <v>0</v>
      </c>
      <c r="E7" s="13">
        <f>$M$7*$M$5*$M$4*$M$6*$M$22*$Q$26*$Q$44*$M$8</f>
        <v>8.9429786600305636</v>
      </c>
      <c r="F7" s="13">
        <f>$M$7*$M$5*$M$4*$M$6*$M$22*$Q$27*$Q$45*$M$8</f>
        <v>0</v>
      </c>
      <c r="G7" s="13">
        <f>$M$7*$M$5*$M$4*$M$6*$M$39*$Q$28*$Q$46*$M$8</f>
        <v>0</v>
      </c>
      <c r="H7" s="13">
        <f>$M$7*$M$5*$M$4*$M$6*$M$39*$Q$29*$Q$47*$M$8</f>
        <v>0</v>
      </c>
      <c r="I7" s="57">
        <f>$M$7*$M$5*$M$4*$M$6*$M$39*$Q$30*$Q$48*$M$8</f>
        <v>471.14771836330982</v>
      </c>
      <c r="J7" s="13">
        <f>SUM(C7:I7)</f>
        <v>480.0906970233404</v>
      </c>
      <c r="L7" s="55" t="s">
        <v>80</v>
      </c>
      <c r="M7" s="56">
        <v>28</v>
      </c>
      <c r="N7" s="29" t="s">
        <v>81</v>
      </c>
      <c r="P7" s="11" t="s">
        <v>27</v>
      </c>
      <c r="Q7" s="14">
        <f>SUMIFS('Animal Data - Ramella'!$H$5:$H$29,'Animal Data - Ramella'!$I$5:$I$29,'BE - Ramella'!$P7,'Animal Data - Ramella'!$G$5:$G$29,'BE - Ramella'!Q$5)</f>
        <v>0</v>
      </c>
      <c r="R7" s="14">
        <f>SUMIFS('Animal Data - Ramella'!$H$5:$H$29,'Animal Data - Ramella'!$I$5:$I$29,'BE - Ramella'!$P7,'Animal Data - Ramella'!$G$5:$G$29,'BE - Ramella'!$R$5)</f>
        <v>0</v>
      </c>
      <c r="S7" s="13">
        <f t="shared" si="0"/>
        <v>0</v>
      </c>
      <c r="U7" s="53"/>
      <c r="V7" s="53"/>
      <c r="W7" s="53"/>
    </row>
    <row r="8" spans="2:23" ht="28.5" x14ac:dyDescent="0.25">
      <c r="B8" s="19">
        <v>2020</v>
      </c>
      <c r="C8" s="13">
        <f>$M$7*$M$5*$M$4*$M$6*$M$22*$R$24*$R$42*$M$8</f>
        <v>0</v>
      </c>
      <c r="D8" s="13">
        <f>$M$7*$M$5*$M$4*$M$6*$M$22*$R$25*$R$43*$M$8</f>
        <v>0</v>
      </c>
      <c r="E8" s="13">
        <f>$M$7*$M$5*$M$4*$M$6*$M$22*$R$26*$R$44*$M$8</f>
        <v>0</v>
      </c>
      <c r="F8" s="13">
        <f>$M$7*$M$5*$M$4*$M$6*$M$22*$R$27*$R$45*$M$8</f>
        <v>0</v>
      </c>
      <c r="G8" s="13">
        <f>$M$7*$M$5*$M$4*$M$6*$M$39*$R$28*$R$46*$M$8</f>
        <v>0</v>
      </c>
      <c r="H8" s="13">
        <f>$M$7*$M$5*$M$4*$M$6*$M$39*$R$29*$R$47*$M$8</f>
        <v>0</v>
      </c>
      <c r="I8" s="57">
        <f>$M$7*$M$5*$M$4*$M$6*$M$39*$R$30*$R$48*$M$8</f>
        <v>1138.7839130388234</v>
      </c>
      <c r="J8" s="13">
        <f>SUM(C8:I8)</f>
        <v>1138.7839130388234</v>
      </c>
      <c r="L8" s="55" t="s">
        <v>82</v>
      </c>
      <c r="M8" s="56">
        <v>1</v>
      </c>
      <c r="N8" s="29" t="s">
        <v>71</v>
      </c>
      <c r="P8" s="11" t="s">
        <v>28</v>
      </c>
      <c r="Q8" s="14">
        <f>SUMIFS('Animal Data - Ramella'!$H$5:$H$29,'Animal Data - Ramella'!$I$5:$I$29,'BE - Ramella'!$P8,'Animal Data - Ramella'!$G$5:$G$29,'BE - Ramella'!Q$5)</f>
        <v>209</v>
      </c>
      <c r="R8" s="14">
        <f>SUMIFS('Animal Data - Ramella'!$H$5:$H$29,'Animal Data - Ramella'!$I$5:$I$29,'BE - Ramella'!$P8,'Animal Data - Ramella'!$G$5:$G$29,'BE - Ramella'!$R$5)</f>
        <v>0</v>
      </c>
      <c r="S8" s="13">
        <f t="shared" si="0"/>
        <v>104.5</v>
      </c>
      <c r="U8" s="53"/>
      <c r="V8" s="53"/>
      <c r="W8" s="53"/>
    </row>
    <row r="9" spans="2:23" x14ac:dyDescent="0.25">
      <c r="B9" s="43" t="s">
        <v>16</v>
      </c>
      <c r="C9" s="13">
        <f t="shared" ref="C9:J9" si="1">SUM(C7:C8)</f>
        <v>0</v>
      </c>
      <c r="D9" s="13">
        <f t="shared" si="1"/>
        <v>0</v>
      </c>
      <c r="E9" s="13">
        <f t="shared" si="1"/>
        <v>8.9429786600305636</v>
      </c>
      <c r="F9" s="13">
        <f t="shared" si="1"/>
        <v>0</v>
      </c>
      <c r="G9" s="13">
        <f t="shared" si="1"/>
        <v>0</v>
      </c>
      <c r="H9" s="13">
        <f t="shared" si="1"/>
        <v>0</v>
      </c>
      <c r="I9" s="13">
        <f t="shared" si="1"/>
        <v>1609.9316314021332</v>
      </c>
      <c r="J9" s="13">
        <f t="shared" si="1"/>
        <v>1618.8746100621638</v>
      </c>
      <c r="P9" s="11" t="s">
        <v>29</v>
      </c>
      <c r="Q9" s="14">
        <f>SUMIFS('Animal Data - Ramella'!$H$5:$H$29,'Animal Data - Ramella'!$I$5:$I$29,'BE - Ramella'!$P9,'Animal Data - Ramella'!$G$5:$G$29,'BE - Ramella'!Q$5)</f>
        <v>0</v>
      </c>
      <c r="R9" s="14">
        <f>SUMIFS('Animal Data - Ramella'!$H$5:$H$29,'Animal Data - Ramella'!$I$5:$I$29,'BE - Ramella'!$P9,'Animal Data - Ramella'!$G$5:$G$29,'BE - Ramella'!$R$5)</f>
        <v>0</v>
      </c>
      <c r="S9" s="13">
        <f t="shared" si="0"/>
        <v>0</v>
      </c>
      <c r="U9" s="53"/>
      <c r="V9" s="53"/>
      <c r="W9" s="53"/>
    </row>
    <row r="10" spans="2:23" x14ac:dyDescent="0.25">
      <c r="B10" s="53"/>
      <c r="C10" s="53"/>
      <c r="D10" s="53"/>
      <c r="E10" s="53"/>
      <c r="F10" s="53"/>
      <c r="G10" s="53"/>
      <c r="H10" s="53"/>
      <c r="I10" s="53"/>
      <c r="J10" s="53"/>
      <c r="L10" s="170" t="s">
        <v>83</v>
      </c>
      <c r="M10" s="170"/>
      <c r="N10" s="170"/>
      <c r="P10" s="11" t="s">
        <v>30</v>
      </c>
      <c r="Q10" s="14">
        <f>SUMIFS('Animal Data - Ramella'!$H$5:$H$29,'Animal Data - Ramella'!$I$5:$I$29,'BE - Ramella'!$P10,'Animal Data - Ramella'!$G$5:$G$29,'BE - Ramella'!Q$5)</f>
        <v>0</v>
      </c>
      <c r="R10" s="14">
        <f>SUMIFS('Animal Data - Ramella'!$H$5:$H$29,'Animal Data - Ramella'!$I$5:$I$29,'BE - Ramella'!$P10,'Animal Data - Ramella'!$G$5:$G$29,'BE - Ramella'!$R$5)</f>
        <v>0</v>
      </c>
      <c r="S10" s="13">
        <f t="shared" si="0"/>
        <v>0</v>
      </c>
      <c r="U10" s="53"/>
      <c r="V10" s="53"/>
      <c r="W10" s="53"/>
    </row>
    <row r="11" spans="2:23" x14ac:dyDescent="0.25">
      <c r="C11" s="53"/>
      <c r="D11" s="53"/>
      <c r="E11" s="53"/>
      <c r="F11" s="53"/>
      <c r="G11" s="53"/>
      <c r="H11" s="53"/>
      <c r="I11" s="53"/>
      <c r="J11" s="53"/>
      <c r="L11" s="170" t="s">
        <v>84</v>
      </c>
      <c r="M11" s="170"/>
      <c r="N11" s="170"/>
      <c r="P11" s="11" t="s">
        <v>78</v>
      </c>
      <c r="Q11" s="14">
        <f>SUMIFS('Animal Data - Ramella'!$H$5:$H$29,'Animal Data - Ramella'!$I$5:$I$29,'BE - Ramella'!$P11,'Animal Data - Ramella'!$G$5:$G$29,'BE - Ramella'!Q$5)</f>
        <v>0</v>
      </c>
      <c r="R11" s="14">
        <f>SUMIFS('Animal Data - Ramella'!$H$5:$H$29,'Animal Data - Ramella'!$I$5:$I$29,'BE - Ramella'!$P11,'Animal Data - Ramella'!$G$5:$G$29,'BE - Ramella'!$R$5)</f>
        <v>0</v>
      </c>
      <c r="S11" s="13">
        <f t="shared" si="0"/>
        <v>0</v>
      </c>
      <c r="U11" s="53"/>
      <c r="V11" s="53"/>
      <c r="W11" s="53"/>
    </row>
    <row r="12" spans="2:23" x14ac:dyDescent="0.25">
      <c r="C12" s="53"/>
      <c r="D12" s="53"/>
      <c r="E12" s="53"/>
      <c r="F12" s="53"/>
      <c r="G12" s="53"/>
      <c r="H12" s="53"/>
      <c r="I12" s="53"/>
      <c r="J12" s="53"/>
      <c r="L12" s="52" t="s">
        <v>67</v>
      </c>
      <c r="M12" s="26" t="s">
        <v>68</v>
      </c>
      <c r="N12" s="26" t="s">
        <v>69</v>
      </c>
      <c r="P12" s="11" t="s">
        <v>24</v>
      </c>
      <c r="Q12" s="14">
        <f>SUMIFS('Animal Data - Ramella'!$H$5:$H$29,'Animal Data - Ramella'!$I$5:$I$29,'BE - Ramella'!$P12,'Animal Data - Ramella'!$G$5:$G$29,'BE - Ramella'!Q$5)</f>
        <v>2909</v>
      </c>
      <c r="R12" s="14">
        <f>SUMIFS('Animal Data - Ramella'!$H$5:$H$29,'Animal Data - Ramella'!$I$5:$I$29,'BE - Ramella'!$P12,'Animal Data - Ramella'!$G$5:$G$29,'BE - Ramella'!$R$5)</f>
        <v>3137</v>
      </c>
      <c r="S12" s="13">
        <f t="shared" si="0"/>
        <v>3023</v>
      </c>
      <c r="U12" s="53"/>
      <c r="V12" s="53"/>
      <c r="W12" s="53"/>
    </row>
    <row r="13" spans="2:23" ht="15.75" x14ac:dyDescent="0.25">
      <c r="B13" s="53"/>
      <c r="C13" s="53"/>
      <c r="D13" s="53"/>
      <c r="E13" s="53"/>
      <c r="F13" s="53"/>
      <c r="G13" s="53"/>
      <c r="H13" s="53"/>
      <c r="I13" s="53"/>
      <c r="J13" s="53"/>
      <c r="L13" s="170" t="s">
        <v>85</v>
      </c>
      <c r="M13" s="170"/>
      <c r="N13" s="170"/>
      <c r="P13" s="148" t="s">
        <v>86</v>
      </c>
      <c r="Q13" s="148"/>
      <c r="R13" s="148"/>
      <c r="S13" s="148"/>
      <c r="U13" s="53"/>
      <c r="V13" s="53"/>
      <c r="W13" s="53"/>
    </row>
    <row r="14" spans="2:23" x14ac:dyDescent="0.25">
      <c r="B14" s="53"/>
      <c r="C14" s="53"/>
      <c r="D14" s="53"/>
      <c r="E14" s="53"/>
      <c r="F14" s="53"/>
      <c r="G14" s="53"/>
      <c r="H14" s="53"/>
      <c r="I14" s="53"/>
      <c r="J14" s="53"/>
      <c r="L14" s="59" t="s">
        <v>87</v>
      </c>
      <c r="M14" s="29">
        <v>0.5</v>
      </c>
      <c r="N14" s="29" t="s">
        <v>88</v>
      </c>
      <c r="P14" s="52" t="s">
        <v>76</v>
      </c>
      <c r="Q14" s="26">
        <v>2019</v>
      </c>
      <c r="R14" s="26">
        <v>2020</v>
      </c>
      <c r="S14" s="26" t="s">
        <v>77</v>
      </c>
      <c r="U14" s="53"/>
      <c r="V14" s="53"/>
      <c r="W14" s="53"/>
    </row>
    <row r="15" spans="2:23" x14ac:dyDescent="0.25">
      <c r="B15" s="53"/>
      <c r="C15" s="53"/>
      <c r="D15" s="53"/>
      <c r="E15" s="53"/>
      <c r="F15" s="53"/>
      <c r="G15" s="53"/>
      <c r="H15" s="53"/>
      <c r="I15" s="53"/>
      <c r="J15" s="53"/>
      <c r="L15" s="59" t="s">
        <v>89</v>
      </c>
      <c r="M15" s="29">
        <v>0.46</v>
      </c>
      <c r="N15" s="29" t="s">
        <v>88</v>
      </c>
      <c r="P15" s="11" t="s">
        <v>26</v>
      </c>
      <c r="Q15" s="14">
        <f>'Animal Data - Ramella'!D33</f>
        <v>0</v>
      </c>
      <c r="R15" s="14">
        <f>'Animal Data - Ramella'!E33</f>
        <v>0</v>
      </c>
      <c r="S15" s="13">
        <f t="shared" ref="S15:S21" si="2">AVERAGE(Q15:R15)</f>
        <v>0</v>
      </c>
      <c r="U15" s="53"/>
      <c r="V15" s="53"/>
      <c r="W15" s="53"/>
    </row>
    <row r="16" spans="2:23" x14ac:dyDescent="0.25">
      <c r="B16" s="53"/>
      <c r="C16" s="53"/>
      <c r="D16" s="53"/>
      <c r="E16" s="53"/>
      <c r="F16" s="53"/>
      <c r="G16" s="53"/>
      <c r="H16" s="53"/>
      <c r="I16" s="53"/>
      <c r="J16" s="53"/>
      <c r="L16" s="59" t="s">
        <v>90</v>
      </c>
      <c r="M16" s="29">
        <v>0.5</v>
      </c>
      <c r="N16" s="29" t="s">
        <v>88</v>
      </c>
      <c r="P16" s="11" t="s">
        <v>27</v>
      </c>
      <c r="Q16" s="14">
        <f>'Animal Data - Ramella'!D34</f>
        <v>0</v>
      </c>
      <c r="R16" s="14">
        <f>'Animal Data - Ramella'!E34</f>
        <v>0</v>
      </c>
      <c r="S16" s="13">
        <f t="shared" si="2"/>
        <v>0</v>
      </c>
      <c r="U16" s="53"/>
      <c r="V16" s="53"/>
      <c r="W16" s="53"/>
    </row>
    <row r="17" spans="2:23" x14ac:dyDescent="0.25">
      <c r="B17" s="53"/>
      <c r="C17" s="53"/>
      <c r="D17" s="53"/>
      <c r="E17" s="53"/>
      <c r="F17" s="53"/>
      <c r="G17" s="53"/>
      <c r="H17" s="53"/>
      <c r="I17" s="53"/>
      <c r="J17" s="53"/>
      <c r="L17" s="59" t="s">
        <v>91</v>
      </c>
      <c r="M17" s="29">
        <v>0.3</v>
      </c>
      <c r="N17" s="29" t="s">
        <v>88</v>
      </c>
      <c r="P17" s="11" t="s">
        <v>56</v>
      </c>
      <c r="Q17" s="14">
        <f>'Animal Data - Ramella'!D35</f>
        <v>17.76555023923445</v>
      </c>
      <c r="R17" s="14">
        <f>'Animal Data - Ramella'!E35</f>
        <v>0</v>
      </c>
      <c r="S17" s="13">
        <f t="shared" si="2"/>
        <v>8.8827751196172251</v>
      </c>
      <c r="U17" s="53"/>
      <c r="V17" s="53"/>
      <c r="W17" s="53"/>
    </row>
    <row r="18" spans="2:23" x14ac:dyDescent="0.25">
      <c r="B18" s="53"/>
      <c r="C18" s="53"/>
      <c r="D18" s="53"/>
      <c r="E18" s="53"/>
      <c r="F18" s="53"/>
      <c r="G18" s="53"/>
      <c r="H18" s="53"/>
      <c r="I18" s="53"/>
      <c r="J18" s="53"/>
      <c r="L18" s="170" t="s">
        <v>92</v>
      </c>
      <c r="M18" s="170"/>
      <c r="N18" s="170"/>
      <c r="P18" s="11" t="s">
        <v>93</v>
      </c>
      <c r="Q18" s="14">
        <f>'Animal Data - Ramella'!D36</f>
        <v>0</v>
      </c>
      <c r="R18" s="14">
        <f>'Animal Data - Ramella'!E36</f>
        <v>0</v>
      </c>
      <c r="S18" s="13">
        <f t="shared" si="2"/>
        <v>0</v>
      </c>
      <c r="U18" s="53"/>
      <c r="V18" s="53"/>
      <c r="W18" s="53"/>
    </row>
    <row r="19" spans="2:23" ht="15.75" x14ac:dyDescent="0.25">
      <c r="B19" s="53"/>
      <c r="C19" s="53"/>
      <c r="D19" s="53"/>
      <c r="E19" s="53"/>
      <c r="F19" s="53"/>
      <c r="G19" s="53"/>
      <c r="H19" s="53"/>
      <c r="I19" s="53"/>
      <c r="J19" s="53"/>
      <c r="L19" s="59" t="s">
        <v>87</v>
      </c>
      <c r="M19" s="29">
        <v>0.48</v>
      </c>
      <c r="N19" s="29" t="s">
        <v>94</v>
      </c>
      <c r="P19" s="11" t="s">
        <v>30</v>
      </c>
      <c r="Q19" s="14">
        <f>'Animal Data - Ramella'!D37</f>
        <v>0</v>
      </c>
      <c r="R19" s="14">
        <f>'Animal Data - Ramella'!E37</f>
        <v>0</v>
      </c>
      <c r="S19" s="13">
        <f t="shared" si="2"/>
        <v>0</v>
      </c>
      <c r="U19" s="53"/>
      <c r="V19" s="53"/>
      <c r="W19" s="53"/>
    </row>
    <row r="20" spans="2:23" ht="15.75" x14ac:dyDescent="0.25">
      <c r="B20" s="53"/>
      <c r="C20" s="53"/>
      <c r="D20" s="53"/>
      <c r="E20" s="53"/>
      <c r="F20" s="53"/>
      <c r="G20" s="53"/>
      <c r="H20" s="53"/>
      <c r="I20" s="53"/>
      <c r="J20" s="53"/>
      <c r="L20" s="59" t="s">
        <v>89</v>
      </c>
      <c r="M20" s="29">
        <v>0.45</v>
      </c>
      <c r="N20" s="29" t="s">
        <v>94</v>
      </c>
      <c r="P20" s="11" t="s">
        <v>95</v>
      </c>
      <c r="Q20" s="14">
        <f>'Animal Data - Ramella'!D38</f>
        <v>0</v>
      </c>
      <c r="R20" s="14">
        <f>'Animal Data - Ramella'!E38</f>
        <v>0</v>
      </c>
      <c r="S20" s="13">
        <f t="shared" si="2"/>
        <v>0</v>
      </c>
      <c r="U20" s="53"/>
      <c r="V20" s="53"/>
      <c r="W20" s="53"/>
    </row>
    <row r="21" spans="2:23" ht="15.75" x14ac:dyDescent="0.25">
      <c r="B21" s="53"/>
      <c r="C21" s="53"/>
      <c r="D21" s="53"/>
      <c r="E21" s="53"/>
      <c r="F21" s="53"/>
      <c r="G21" s="53"/>
      <c r="H21" s="53"/>
      <c r="I21" s="53"/>
      <c r="J21" s="53"/>
      <c r="L21" s="59" t="s">
        <v>90</v>
      </c>
      <c r="M21" s="29">
        <v>0.45</v>
      </c>
      <c r="N21" s="29" t="s">
        <v>94</v>
      </c>
      <c r="P21" s="11" t="s">
        <v>24</v>
      </c>
      <c r="Q21" s="14">
        <f>'Animal Data - Ramella'!D39</f>
        <v>82.041595049845313</v>
      </c>
      <c r="R21" s="14">
        <f>'Animal Data - Ramella'!E39</f>
        <v>140.98374242907235</v>
      </c>
      <c r="S21" s="13">
        <f t="shared" si="2"/>
        <v>111.51266873945883</v>
      </c>
      <c r="U21" s="53"/>
      <c r="V21" s="53"/>
      <c r="W21" s="53"/>
    </row>
    <row r="22" spans="2:23" ht="15.75" x14ac:dyDescent="0.25">
      <c r="B22" s="53"/>
      <c r="C22" s="53"/>
      <c r="D22" s="53"/>
      <c r="E22" s="53"/>
      <c r="F22" s="53"/>
      <c r="G22" s="53"/>
      <c r="H22" s="53"/>
      <c r="I22" s="53"/>
      <c r="J22" s="53"/>
      <c r="L22" s="59" t="s">
        <v>91</v>
      </c>
      <c r="M22" s="29">
        <v>0.28999999999999998</v>
      </c>
      <c r="N22" s="29" t="s">
        <v>94</v>
      </c>
      <c r="P22" s="148" t="s">
        <v>96</v>
      </c>
      <c r="Q22" s="148"/>
      <c r="R22" s="148"/>
      <c r="S22" s="148"/>
      <c r="U22" s="53"/>
      <c r="V22" s="53"/>
      <c r="W22" s="53"/>
    </row>
    <row r="23" spans="2:23" x14ac:dyDescent="0.25">
      <c r="B23" s="53"/>
      <c r="C23" s="53"/>
      <c r="D23" s="53"/>
      <c r="E23" s="53"/>
      <c r="F23" s="53"/>
      <c r="G23" s="53"/>
      <c r="H23" s="53"/>
      <c r="I23" s="53"/>
      <c r="J23" s="53"/>
      <c r="L23" s="170" t="s">
        <v>97</v>
      </c>
      <c r="M23" s="170"/>
      <c r="N23" s="170"/>
      <c r="P23" s="52" t="s">
        <v>76</v>
      </c>
      <c r="Q23" s="26">
        <v>2019</v>
      </c>
      <c r="R23" s="26">
        <v>2020</v>
      </c>
      <c r="S23" s="26" t="s">
        <v>77</v>
      </c>
      <c r="U23" s="53"/>
      <c r="V23" s="53"/>
      <c r="W23" s="53"/>
    </row>
    <row r="24" spans="2:23" x14ac:dyDescent="0.25">
      <c r="B24" s="53"/>
      <c r="C24" s="53"/>
      <c r="D24" s="53"/>
      <c r="E24" s="53"/>
      <c r="F24" s="53"/>
      <c r="G24" s="53"/>
      <c r="H24" s="53"/>
      <c r="I24" s="53"/>
      <c r="J24" s="53"/>
      <c r="L24" s="59" t="s">
        <v>87</v>
      </c>
      <c r="M24" s="29">
        <v>198</v>
      </c>
      <c r="N24" s="29" t="s">
        <v>98</v>
      </c>
      <c r="P24" s="11" t="s">
        <v>26</v>
      </c>
      <c r="Q24" s="45">
        <f>Q15*(Q6/365)</f>
        <v>0</v>
      </c>
      <c r="R24" s="45">
        <f>R15*(R6/365)</f>
        <v>0</v>
      </c>
      <c r="S24" s="13">
        <f t="shared" ref="S24:S30" si="3">AVERAGE(Q24:R24)</f>
        <v>0</v>
      </c>
      <c r="U24" s="53"/>
      <c r="V24" s="53"/>
      <c r="W24" s="53"/>
    </row>
    <row r="25" spans="2:23" x14ac:dyDescent="0.25">
      <c r="B25" s="53"/>
      <c r="C25" s="53"/>
      <c r="D25" s="53"/>
      <c r="E25" s="53"/>
      <c r="F25" s="53"/>
      <c r="G25" s="53"/>
      <c r="H25" s="53"/>
      <c r="I25" s="53"/>
      <c r="J25" s="53"/>
      <c r="L25" s="59" t="s">
        <v>89</v>
      </c>
      <c r="M25" s="29">
        <v>198</v>
      </c>
      <c r="N25" s="29" t="s">
        <v>98</v>
      </c>
      <c r="P25" s="11" t="s">
        <v>27</v>
      </c>
      <c r="Q25" s="45">
        <f t="shared" ref="Q25:R30" si="4">Q16*(Q7/365)</f>
        <v>0</v>
      </c>
      <c r="R25" s="45">
        <f t="shared" si="4"/>
        <v>0</v>
      </c>
      <c r="S25" s="13">
        <f t="shared" si="3"/>
        <v>0</v>
      </c>
      <c r="U25" s="53"/>
      <c r="V25" s="53"/>
      <c r="W25" s="53"/>
    </row>
    <row r="26" spans="2:23" ht="12.75" customHeight="1" x14ac:dyDescent="0.25">
      <c r="B26" s="53"/>
      <c r="C26" s="53"/>
      <c r="D26" s="53"/>
      <c r="E26" s="53"/>
      <c r="F26" s="53"/>
      <c r="G26" s="53"/>
      <c r="H26" s="53"/>
      <c r="I26" s="53"/>
      <c r="J26" s="53"/>
      <c r="L26" s="59" t="s">
        <v>90</v>
      </c>
      <c r="M26" s="29">
        <v>180</v>
      </c>
      <c r="N26" s="29" t="s">
        <v>98</v>
      </c>
      <c r="P26" s="11" t="s">
        <v>56</v>
      </c>
      <c r="Q26" s="45">
        <f t="shared" si="4"/>
        <v>10.172602739726027</v>
      </c>
      <c r="R26" s="45">
        <f t="shared" si="4"/>
        <v>0</v>
      </c>
      <c r="S26" s="13">
        <f t="shared" si="3"/>
        <v>5.0863013698630137</v>
      </c>
      <c r="U26" s="53"/>
      <c r="V26" s="53"/>
      <c r="W26" s="53"/>
    </row>
    <row r="27" spans="2:23" ht="12.75" customHeight="1" x14ac:dyDescent="0.25">
      <c r="B27" s="53"/>
      <c r="C27" s="53"/>
      <c r="D27" s="53"/>
      <c r="E27" s="53"/>
      <c r="F27" s="53"/>
      <c r="G27" s="53"/>
      <c r="H27" s="53"/>
      <c r="I27" s="53"/>
      <c r="J27" s="53"/>
      <c r="L27" s="59" t="s">
        <v>91</v>
      </c>
      <c r="M27" s="29">
        <v>28</v>
      </c>
      <c r="N27" s="29" t="s">
        <v>98</v>
      </c>
      <c r="P27" s="11" t="s">
        <v>93</v>
      </c>
      <c r="Q27" s="45">
        <f t="shared" si="4"/>
        <v>0</v>
      </c>
      <c r="R27" s="45">
        <f t="shared" si="4"/>
        <v>0</v>
      </c>
      <c r="S27" s="13">
        <f t="shared" si="3"/>
        <v>0</v>
      </c>
      <c r="U27" s="53"/>
      <c r="V27" s="53"/>
      <c r="W27" s="53"/>
    </row>
    <row r="28" spans="2:23" x14ac:dyDescent="0.25">
      <c r="B28" s="53"/>
      <c r="C28" s="53"/>
      <c r="D28" s="53"/>
      <c r="E28" s="53"/>
      <c r="F28" s="53"/>
      <c r="G28" s="53"/>
      <c r="H28" s="53"/>
      <c r="I28" s="53"/>
      <c r="J28" s="53"/>
      <c r="L28" s="170" t="s">
        <v>99</v>
      </c>
      <c r="M28" s="170"/>
      <c r="N28" s="170"/>
      <c r="P28" s="11" t="s">
        <v>30</v>
      </c>
      <c r="Q28" s="45">
        <f t="shared" si="4"/>
        <v>0</v>
      </c>
      <c r="R28" s="45">
        <f t="shared" si="4"/>
        <v>0</v>
      </c>
      <c r="S28" s="13">
        <f t="shared" si="3"/>
        <v>0</v>
      </c>
      <c r="U28" s="53"/>
      <c r="V28" s="53"/>
      <c r="W28" s="53"/>
    </row>
    <row r="29" spans="2:23" x14ac:dyDescent="0.25">
      <c r="B29" s="53"/>
      <c r="C29" s="53"/>
      <c r="D29" s="53"/>
      <c r="E29" s="53"/>
      <c r="F29" s="53"/>
      <c r="G29" s="53"/>
      <c r="H29" s="53"/>
      <c r="I29" s="53"/>
      <c r="J29" s="53"/>
      <c r="L29" s="52" t="s">
        <v>67</v>
      </c>
      <c r="M29" s="26" t="s">
        <v>68</v>
      </c>
      <c r="N29" s="26" t="s">
        <v>69</v>
      </c>
      <c r="P29" s="11" t="s">
        <v>95</v>
      </c>
      <c r="Q29" s="45">
        <f t="shared" si="4"/>
        <v>0</v>
      </c>
      <c r="R29" s="45">
        <f t="shared" si="4"/>
        <v>0</v>
      </c>
      <c r="S29" s="13">
        <f t="shared" si="3"/>
        <v>0</v>
      </c>
      <c r="U29" s="53"/>
      <c r="V29" s="53"/>
      <c r="W29" s="53"/>
    </row>
    <row r="30" spans="2:23" x14ac:dyDescent="0.25">
      <c r="B30" s="53"/>
      <c r="C30" s="53"/>
      <c r="D30" s="53"/>
      <c r="E30" s="53"/>
      <c r="F30" s="53"/>
      <c r="G30" s="53"/>
      <c r="H30" s="53"/>
      <c r="I30" s="53"/>
      <c r="J30" s="53"/>
      <c r="L30" s="170" t="s">
        <v>85</v>
      </c>
      <c r="M30" s="170"/>
      <c r="N30" s="170"/>
      <c r="P30" s="11" t="s">
        <v>24</v>
      </c>
      <c r="Q30" s="45">
        <f t="shared" si="4"/>
        <v>653.86027397260273</v>
      </c>
      <c r="R30" s="45">
        <f t="shared" si="4"/>
        <v>1211.6876712328765</v>
      </c>
      <c r="S30" s="13">
        <f t="shared" si="3"/>
        <v>932.7739726027396</v>
      </c>
      <c r="U30" s="53"/>
      <c r="V30" s="53"/>
      <c r="W30" s="53"/>
    </row>
    <row r="31" spans="2:23" ht="15.75" x14ac:dyDescent="0.25">
      <c r="C31" s="53"/>
      <c r="D31" s="53"/>
      <c r="E31" s="53"/>
      <c r="F31" s="53"/>
      <c r="G31" s="53"/>
      <c r="H31" s="53"/>
      <c r="I31" s="53"/>
      <c r="J31" s="53"/>
      <c r="L31" s="60" t="s">
        <v>87</v>
      </c>
      <c r="M31" s="61">
        <v>0.27</v>
      </c>
      <c r="N31" s="61" t="s">
        <v>88</v>
      </c>
      <c r="P31" s="148" t="s">
        <v>100</v>
      </c>
      <c r="Q31" s="148"/>
      <c r="R31" s="148"/>
      <c r="S31" s="148"/>
      <c r="U31" s="53"/>
      <c r="V31" s="53"/>
      <c r="W31" s="53"/>
    </row>
    <row r="32" spans="2:23" x14ac:dyDescent="0.25">
      <c r="C32" s="53"/>
      <c r="D32" s="53"/>
      <c r="E32" s="53"/>
      <c r="F32" s="53"/>
      <c r="G32" s="53"/>
      <c r="H32" s="53"/>
      <c r="I32" s="53"/>
      <c r="J32" s="53"/>
      <c r="L32" s="60" t="s">
        <v>89</v>
      </c>
      <c r="M32" s="61">
        <v>0.3</v>
      </c>
      <c r="N32" s="61" t="s">
        <v>88</v>
      </c>
      <c r="P32" s="52" t="s">
        <v>76</v>
      </c>
      <c r="Q32" s="26">
        <v>2019</v>
      </c>
      <c r="R32" s="26">
        <v>2020</v>
      </c>
      <c r="S32" s="26" t="s">
        <v>77</v>
      </c>
      <c r="U32" s="53"/>
      <c r="V32" s="53"/>
      <c r="W32" s="53"/>
    </row>
    <row r="33" spans="3:25" x14ac:dyDescent="0.25">
      <c r="C33" s="53"/>
      <c r="D33" s="53"/>
      <c r="E33" s="53"/>
      <c r="F33" s="53"/>
      <c r="G33" s="53"/>
      <c r="H33" s="53"/>
      <c r="I33" s="53"/>
      <c r="J33" s="53"/>
      <c r="L33" s="60" t="s">
        <v>90</v>
      </c>
      <c r="M33" s="61">
        <v>0.3</v>
      </c>
      <c r="N33" s="61" t="s">
        <v>88</v>
      </c>
      <c r="P33" s="11" t="s">
        <v>101</v>
      </c>
      <c r="Q33" s="14">
        <f>'Animal Data - Ramella'!D40</f>
        <v>0</v>
      </c>
      <c r="R33" s="14">
        <f>'Animal Data - Ramella'!E40</f>
        <v>0</v>
      </c>
      <c r="S33" s="13">
        <f t="shared" ref="S33:S39" si="5">AVERAGE(Q33:R33)</f>
        <v>0</v>
      </c>
      <c r="U33" s="53"/>
      <c r="V33" s="53"/>
      <c r="W33" s="53"/>
    </row>
    <row r="34" spans="3:25" ht="14.25" customHeight="1" x14ac:dyDescent="0.25">
      <c r="C34" s="53"/>
      <c r="D34" s="53"/>
      <c r="E34" s="53"/>
      <c r="F34" s="53"/>
      <c r="G34" s="53"/>
      <c r="H34" s="53"/>
      <c r="I34" s="53"/>
      <c r="J34" s="53"/>
      <c r="L34" s="60" t="s">
        <v>91</v>
      </c>
      <c r="M34" s="61">
        <v>0.3</v>
      </c>
      <c r="N34" s="61" t="s">
        <v>88</v>
      </c>
      <c r="P34" s="11" t="s">
        <v>27</v>
      </c>
      <c r="Q34" s="14">
        <f>'Animal Data - Ramella'!D41</f>
        <v>0</v>
      </c>
      <c r="R34" s="14">
        <f>'Animal Data - Ramella'!E41</f>
        <v>0</v>
      </c>
      <c r="S34" s="13">
        <f t="shared" si="5"/>
        <v>0</v>
      </c>
      <c r="U34" s="53"/>
      <c r="V34" s="53"/>
      <c r="W34" s="53"/>
    </row>
    <row r="35" spans="3:25" ht="12.75" customHeight="1" x14ac:dyDescent="0.25">
      <c r="C35" s="53"/>
      <c r="D35" s="53"/>
      <c r="E35" s="53"/>
      <c r="F35" s="53"/>
      <c r="G35" s="53"/>
      <c r="H35" s="53"/>
      <c r="I35" s="53"/>
      <c r="J35" s="53"/>
      <c r="L35" s="170" t="s">
        <v>92</v>
      </c>
      <c r="M35" s="170"/>
      <c r="N35" s="170"/>
      <c r="P35" s="11" t="s">
        <v>56</v>
      </c>
      <c r="Q35" s="14">
        <f>'Animal Data - Ramella'!D42</f>
        <v>120.44572009569379</v>
      </c>
      <c r="R35" s="14">
        <f>'Animal Data - Ramella'!E42</f>
        <v>0</v>
      </c>
      <c r="S35" s="13">
        <f t="shared" si="5"/>
        <v>60.222860047846893</v>
      </c>
      <c r="U35" s="53"/>
      <c r="V35" s="53"/>
      <c r="W35" s="53"/>
    </row>
    <row r="36" spans="3:25" ht="15.75" x14ac:dyDescent="0.25">
      <c r="C36" s="53"/>
      <c r="D36" s="53"/>
      <c r="E36" s="53"/>
      <c r="F36" s="53"/>
      <c r="G36" s="53"/>
      <c r="H36" s="53"/>
      <c r="I36" s="53"/>
      <c r="J36" s="53"/>
      <c r="L36" s="60" t="s">
        <v>87</v>
      </c>
      <c r="M36" s="29">
        <v>0.48</v>
      </c>
      <c r="N36" s="29" t="s">
        <v>94</v>
      </c>
      <c r="P36" s="11" t="s">
        <v>93</v>
      </c>
      <c r="Q36" s="14">
        <f>'Animal Data - Ramella'!D43</f>
        <v>0</v>
      </c>
      <c r="R36" s="14">
        <f>'Animal Data - Ramella'!E43</f>
        <v>0</v>
      </c>
      <c r="S36" s="13">
        <f t="shared" si="5"/>
        <v>0</v>
      </c>
      <c r="U36" s="53"/>
      <c r="V36" s="53"/>
      <c r="W36" s="53"/>
      <c r="X36" s="53"/>
      <c r="Y36" s="53"/>
    </row>
    <row r="37" spans="3:25" ht="15" customHeight="1" x14ac:dyDescent="0.25">
      <c r="C37" s="53"/>
      <c r="D37" s="53"/>
      <c r="E37" s="53"/>
      <c r="F37" s="53"/>
      <c r="G37" s="53"/>
      <c r="H37" s="53"/>
      <c r="I37" s="53"/>
      <c r="J37" s="53"/>
      <c r="L37" s="60" t="s">
        <v>89</v>
      </c>
      <c r="M37" s="29">
        <v>0.45</v>
      </c>
      <c r="N37" s="29" t="s">
        <v>94</v>
      </c>
      <c r="P37" s="11" t="s">
        <v>102</v>
      </c>
      <c r="Q37" s="14">
        <f>'Animal Data - Ramella'!D44</f>
        <v>0</v>
      </c>
      <c r="R37" s="14">
        <f>'Animal Data - Ramella'!E44</f>
        <v>0</v>
      </c>
      <c r="S37" s="13">
        <f t="shared" si="5"/>
        <v>0</v>
      </c>
      <c r="U37" s="53"/>
      <c r="V37" s="53"/>
      <c r="W37" s="53"/>
      <c r="X37" s="53"/>
      <c r="Y37" s="53"/>
    </row>
    <row r="38" spans="3:25" ht="15.75" x14ac:dyDescent="0.25">
      <c r="C38" s="53"/>
      <c r="D38" s="53"/>
      <c r="E38" s="53"/>
      <c r="F38" s="53"/>
      <c r="G38" s="53"/>
      <c r="H38" s="53"/>
      <c r="I38" s="53"/>
      <c r="J38" s="53"/>
      <c r="L38" s="60" t="s">
        <v>90</v>
      </c>
      <c r="M38" s="29">
        <v>0.45</v>
      </c>
      <c r="N38" s="29" t="s">
        <v>94</v>
      </c>
      <c r="P38" s="11" t="s">
        <v>78</v>
      </c>
      <c r="Q38" s="14">
        <f>'Animal Data - Ramella'!D45</f>
        <v>0</v>
      </c>
      <c r="R38" s="14">
        <f>'Animal Data - Ramella'!E45</f>
        <v>0</v>
      </c>
      <c r="S38" s="13">
        <f t="shared" si="5"/>
        <v>0</v>
      </c>
      <c r="U38" s="53"/>
      <c r="V38" s="53"/>
      <c r="W38" s="53"/>
      <c r="X38" s="53"/>
      <c r="Y38" s="53"/>
    </row>
    <row r="39" spans="3:25" ht="15.75" x14ac:dyDescent="0.25">
      <c r="C39" s="53"/>
      <c r="D39" s="53"/>
      <c r="E39" s="53"/>
      <c r="F39" s="53"/>
      <c r="G39" s="53"/>
      <c r="H39" s="53"/>
      <c r="I39" s="53"/>
      <c r="J39" s="53"/>
      <c r="L39" s="60" t="s">
        <v>91</v>
      </c>
      <c r="M39" s="29">
        <v>0.28999999999999998</v>
      </c>
      <c r="N39" s="29" t="s">
        <v>94</v>
      </c>
      <c r="P39" s="11" t="s">
        <v>24</v>
      </c>
      <c r="Q39" s="14">
        <f>'Animal Data - Ramella'!D46</f>
        <v>98.7218767617738</v>
      </c>
      <c r="R39" s="14">
        <f>'Animal Data - Ramella'!E46</f>
        <v>68.753211667197959</v>
      </c>
      <c r="S39" s="13">
        <f t="shared" si="5"/>
        <v>83.737544214485879</v>
      </c>
      <c r="U39" s="53"/>
    </row>
    <row r="40" spans="3:25" ht="32.25" customHeight="1" x14ac:dyDescent="0.25">
      <c r="C40" s="53"/>
      <c r="D40" s="53"/>
      <c r="E40" s="53"/>
      <c r="F40" s="53"/>
      <c r="G40" s="53"/>
      <c r="H40" s="53"/>
      <c r="I40" s="53"/>
      <c r="J40" s="53"/>
      <c r="L40" s="170" t="s">
        <v>97</v>
      </c>
      <c r="M40" s="170"/>
      <c r="N40" s="170"/>
      <c r="P40" s="170" t="s">
        <v>103</v>
      </c>
      <c r="Q40" s="170"/>
      <c r="R40" s="170"/>
      <c r="S40" s="170"/>
      <c r="U40" s="53"/>
      <c r="V40" s="53"/>
      <c r="W40" s="53"/>
    </row>
    <row r="41" spans="3:25" x14ac:dyDescent="0.25">
      <c r="C41" s="53"/>
      <c r="D41" s="53"/>
      <c r="E41" s="53"/>
      <c r="F41" s="53"/>
      <c r="G41" s="53"/>
      <c r="H41" s="53"/>
      <c r="I41" s="53"/>
      <c r="J41" s="53"/>
      <c r="L41" s="60" t="s">
        <v>87</v>
      </c>
      <c r="M41" s="29">
        <v>46</v>
      </c>
      <c r="N41" s="61" t="s">
        <v>98</v>
      </c>
      <c r="P41" s="52" t="s">
        <v>76</v>
      </c>
      <c r="Q41" s="26">
        <v>2019</v>
      </c>
      <c r="R41" s="26">
        <v>2020</v>
      </c>
      <c r="S41" s="26" t="s">
        <v>77</v>
      </c>
      <c r="U41" s="53"/>
      <c r="V41" s="53"/>
      <c r="W41" s="53"/>
    </row>
    <row r="42" spans="3:25" x14ac:dyDescent="0.25">
      <c r="L42" s="60" t="s">
        <v>89</v>
      </c>
      <c r="M42" s="29">
        <v>50</v>
      </c>
      <c r="N42" s="61" t="s">
        <v>98</v>
      </c>
      <c r="P42" s="11" t="s">
        <v>101</v>
      </c>
      <c r="Q42" s="14">
        <f>(Q33/$M$27)*$M$17*Q$52</f>
        <v>0</v>
      </c>
      <c r="R42" s="14">
        <f>(R33/$M$27)*$M$17*R$52</f>
        <v>0</v>
      </c>
      <c r="S42" s="13">
        <f t="shared" ref="S42:S48" si="6">AVERAGE(Q42:R42)</f>
        <v>0</v>
      </c>
      <c r="U42" s="53"/>
      <c r="V42" s="53"/>
      <c r="W42" s="53"/>
    </row>
    <row r="43" spans="3:25" x14ac:dyDescent="0.25">
      <c r="L43" s="60" t="s">
        <v>90</v>
      </c>
      <c r="M43" s="29">
        <v>50</v>
      </c>
      <c r="N43" s="61" t="s">
        <v>98</v>
      </c>
      <c r="P43" s="11" t="s">
        <v>27</v>
      </c>
      <c r="Q43" s="14">
        <f>(Q34/$M$27)*$M$17*Q$52</f>
        <v>0</v>
      </c>
      <c r="R43" s="14">
        <f>(R34/$M$27)*$M$17*R$52</f>
        <v>0</v>
      </c>
      <c r="S43" s="13">
        <f t="shared" si="6"/>
        <v>0</v>
      </c>
      <c r="U43" s="53"/>
      <c r="V43" s="53"/>
      <c r="W43" s="53"/>
    </row>
    <row r="44" spans="3:25" x14ac:dyDescent="0.25">
      <c r="L44" s="60" t="s">
        <v>91</v>
      </c>
      <c r="M44" s="29">
        <v>28</v>
      </c>
      <c r="N44" s="61" t="s">
        <v>98</v>
      </c>
      <c r="P44" s="11" t="s">
        <v>56</v>
      </c>
      <c r="Q44" s="14">
        <f>(Q35/$M$27)*$M$17*Q$51</f>
        <v>223.25474546308959</v>
      </c>
      <c r="R44" s="14">
        <f>(R35/$M$27)*$M$17*R$51</f>
        <v>0</v>
      </c>
      <c r="S44" s="13">
        <f t="shared" si="6"/>
        <v>111.6273727315448</v>
      </c>
    </row>
    <row r="45" spans="3:25" x14ac:dyDescent="0.25">
      <c r="P45" s="11" t="s">
        <v>93</v>
      </c>
      <c r="Q45" s="14">
        <f>(Q36/$M$27)*$M$17*Q$52</f>
        <v>0</v>
      </c>
      <c r="R45" s="14">
        <f>(R36/$M$27)*$M$17*R$52</f>
        <v>0</v>
      </c>
      <c r="S45" s="13">
        <f t="shared" si="6"/>
        <v>0</v>
      </c>
    </row>
    <row r="46" spans="3:25" x14ac:dyDescent="0.25">
      <c r="P46" s="11" t="s">
        <v>102</v>
      </c>
      <c r="Q46" s="14">
        <f>(Q37/$M$44)*$M$34*Q$52</f>
        <v>0</v>
      </c>
      <c r="R46" s="14">
        <f>(R37/$M$44)*$M$34*R$52</f>
        <v>0</v>
      </c>
      <c r="S46" s="13">
        <f t="shared" si="6"/>
        <v>0</v>
      </c>
    </row>
    <row r="47" spans="3:25" x14ac:dyDescent="0.25">
      <c r="P47" s="11" t="s">
        <v>78</v>
      </c>
      <c r="Q47" s="14">
        <f>(Q38/$M$44)*$M$34*Q$52</f>
        <v>0</v>
      </c>
      <c r="R47" s="14">
        <f>(R38/$M$44)*$M$34*R$52</f>
        <v>0</v>
      </c>
      <c r="S47" s="13">
        <f t="shared" si="6"/>
        <v>0</v>
      </c>
    </row>
    <row r="48" spans="3:25" x14ac:dyDescent="0.25">
      <c r="O48" s="53"/>
      <c r="P48" s="11" t="s">
        <v>24</v>
      </c>
      <c r="Q48" s="13">
        <f>(Q39/$M$44)*$M$34*Q$52</f>
        <v>182.98805014057359</v>
      </c>
      <c r="R48" s="13">
        <f>(R39/$M$44)*$M$34*R$52</f>
        <v>238.67186335898717</v>
      </c>
      <c r="S48" s="13">
        <f t="shared" si="6"/>
        <v>210.82995674978037</v>
      </c>
    </row>
    <row r="49" spans="15:20" ht="15.75" x14ac:dyDescent="0.25">
      <c r="O49" s="53"/>
      <c r="P49" s="148" t="s">
        <v>104</v>
      </c>
      <c r="Q49" s="148"/>
      <c r="R49" s="148"/>
      <c r="S49" s="148"/>
      <c r="T49" s="53"/>
    </row>
    <row r="50" spans="15:20" x14ac:dyDescent="0.25">
      <c r="O50" s="53"/>
      <c r="P50" s="52" t="s">
        <v>76</v>
      </c>
      <c r="Q50" s="26">
        <v>2019</v>
      </c>
      <c r="R50" s="26">
        <v>2020</v>
      </c>
      <c r="S50" s="26" t="s">
        <v>77</v>
      </c>
    </row>
    <row r="51" spans="15:20" x14ac:dyDescent="0.25">
      <c r="O51" s="53"/>
      <c r="P51" s="11" t="s">
        <v>56</v>
      </c>
      <c r="Q51" s="13">
        <f>('Animal Data - Ramella'!F7-'Animal Data - Ramella'!C1+1)+('Animal Data - Ramella'!F26-'Animal Data - Ramella'!C10+1)</f>
        <v>173</v>
      </c>
      <c r="R51" s="13">
        <f>SUMIFS('Animal Data - Ramella'!$N$5:$N$29,'Animal Data - Ramella'!$I$5:$I$29,'BE - Ramella'!$P$51,'Animal Data - Ramella'!$G$5:$G$29,'BE - Ramella'!R$50)</f>
        <v>0</v>
      </c>
      <c r="S51" s="13">
        <f>AVERAGE(Q51:R51)</f>
        <v>86.5</v>
      </c>
    </row>
    <row r="52" spans="15:20" x14ac:dyDescent="0.25">
      <c r="O52" s="53"/>
      <c r="P52" s="11" t="s">
        <v>24</v>
      </c>
      <c r="Q52" s="13">
        <f>('Animal Data - Ramella'!F7-'Animal Data - Ramella'!C1+1)+('Animal Data - Ramella'!F26-'Animal Data - Ramella'!C10+1)</f>
        <v>173</v>
      </c>
      <c r="R52" s="29">
        <f>('Animal Data - Ramella'!F28-'Animal Data - Ramella'!C27+1)+('Animal Data - Ramella'!C2-'Animal Data - Ramella'!C29+1)</f>
        <v>324</v>
      </c>
      <c r="S52" s="13">
        <f>AVERAGE(Q52:R52)</f>
        <v>248.5</v>
      </c>
    </row>
    <row r="53" spans="15:20" x14ac:dyDescent="0.25">
      <c r="O53" s="53"/>
      <c r="P53" s="49"/>
      <c r="Q53" s="49"/>
      <c r="R53" s="49"/>
    </row>
    <row r="54" spans="15:20" x14ac:dyDescent="0.25">
      <c r="O54" s="53"/>
      <c r="P54" s="53"/>
      <c r="Q54" s="53"/>
      <c r="R54" s="53"/>
      <c r="S54" s="53"/>
    </row>
    <row r="55" spans="15:20" x14ac:dyDescent="0.25">
      <c r="O55" s="53"/>
      <c r="P55" s="53"/>
      <c r="Q55" s="53"/>
      <c r="R55" s="53"/>
      <c r="S55" s="53"/>
    </row>
    <row r="56" spans="15:20" x14ac:dyDescent="0.25">
      <c r="O56" s="53"/>
      <c r="P56" s="53"/>
      <c r="Q56" s="53"/>
      <c r="R56" s="53"/>
      <c r="S56" s="53"/>
    </row>
    <row r="57" spans="15:20" x14ac:dyDescent="0.25">
      <c r="O57" s="53"/>
      <c r="P57" s="53"/>
      <c r="Q57" s="53"/>
      <c r="R57" s="53"/>
      <c r="S57" s="53"/>
    </row>
    <row r="58" spans="15:20" x14ac:dyDescent="0.25">
      <c r="O58" s="53"/>
      <c r="P58" s="53"/>
      <c r="Q58" s="53"/>
      <c r="R58" s="53"/>
      <c r="S58" s="53"/>
    </row>
    <row r="59" spans="15:20" x14ac:dyDescent="0.25">
      <c r="O59" s="53"/>
    </row>
    <row r="60" spans="15:20" x14ac:dyDescent="0.25">
      <c r="O60" s="53"/>
    </row>
    <row r="61" spans="15:20" x14ac:dyDescent="0.25">
      <c r="O61" s="53"/>
    </row>
    <row r="62" spans="15:20" x14ac:dyDescent="0.25">
      <c r="O62" s="53"/>
    </row>
    <row r="63" spans="15:20" x14ac:dyDescent="0.25">
      <c r="O63" s="53"/>
    </row>
    <row r="64" spans="15:20" x14ac:dyDescent="0.25">
      <c r="O64" s="53"/>
    </row>
    <row r="65" spans="15:15" x14ac:dyDescent="0.25">
      <c r="O65" s="53"/>
    </row>
    <row r="66" spans="15:15" x14ac:dyDescent="0.25">
      <c r="O66" s="53"/>
    </row>
    <row r="67" spans="15:15" x14ac:dyDescent="0.25">
      <c r="O67" s="53"/>
    </row>
    <row r="68" spans="15:15" x14ac:dyDescent="0.25">
      <c r="O68" s="53"/>
    </row>
    <row r="69" spans="15:15" x14ac:dyDescent="0.25">
      <c r="O69" s="53"/>
    </row>
    <row r="70" spans="15:15" x14ac:dyDescent="0.25">
      <c r="O70" s="53"/>
    </row>
    <row r="71" spans="15:15" x14ac:dyDescent="0.25">
      <c r="O71" s="53"/>
    </row>
    <row r="72" spans="15:15" x14ac:dyDescent="0.25">
      <c r="O72" s="53"/>
    </row>
    <row r="73" spans="15:15" x14ac:dyDescent="0.25">
      <c r="O73" s="53"/>
    </row>
    <row r="74" spans="15:15" x14ac:dyDescent="0.25">
      <c r="O74" s="53"/>
    </row>
    <row r="75" spans="15:15" x14ac:dyDescent="0.25">
      <c r="O75" s="53"/>
    </row>
    <row r="76" spans="15:15" x14ac:dyDescent="0.25">
      <c r="O76" s="53"/>
    </row>
  </sheetData>
  <mergeCells count="19">
    <mergeCell ref="P49:S49"/>
    <mergeCell ref="L28:N28"/>
    <mergeCell ref="L30:N30"/>
    <mergeCell ref="P31:S31"/>
    <mergeCell ref="L35:N35"/>
    <mergeCell ref="L40:N40"/>
    <mergeCell ref="P40:S40"/>
    <mergeCell ref="L23:N23"/>
    <mergeCell ref="B2:J2"/>
    <mergeCell ref="L2:N2"/>
    <mergeCell ref="P2:S2"/>
    <mergeCell ref="P4:S4"/>
    <mergeCell ref="B5:J5"/>
    <mergeCell ref="L10:N10"/>
    <mergeCell ref="L11:N11"/>
    <mergeCell ref="L13:N13"/>
    <mergeCell ref="P13:S13"/>
    <mergeCell ref="L18:N18"/>
    <mergeCell ref="P22:S22"/>
  </mergeCells>
  <pageMargins left="0.511811024" right="0.511811024" top="0.78740157499999996" bottom="0.78740157499999996" header="0.31496062000000002" footer="0.31496062000000002"/>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CCAB-B324-4B6C-A9B7-3AB05198EEFA}">
  <sheetPr>
    <tabColor theme="0" tint="-0.249977111117893"/>
  </sheetPr>
  <dimension ref="A1:P46"/>
  <sheetViews>
    <sheetView showGridLines="0" zoomScale="80" zoomScaleNormal="80" workbookViewId="0">
      <selection activeCell="B1" sqref="B1"/>
    </sheetView>
  </sheetViews>
  <sheetFormatPr defaultRowHeight="14.25" x14ac:dyDescent="0.25"/>
  <cols>
    <col min="1" max="1" width="3.140625" style="65" customWidth="1"/>
    <col min="2" max="2" width="19.85546875" style="65" customWidth="1"/>
    <col min="3" max="3" width="16.42578125" style="65" bestFit="1" customWidth="1"/>
    <col min="4" max="4" width="19" style="65" customWidth="1"/>
    <col min="5" max="5" width="16.42578125" style="65" customWidth="1"/>
    <col min="6" max="6" width="11.85546875" style="65" bestFit="1" customWidth="1"/>
    <col min="7" max="7" width="12.42578125" style="65" bestFit="1" customWidth="1"/>
    <col min="8" max="8" width="18" style="65" customWidth="1"/>
    <col min="9" max="10" width="17.28515625" style="65" customWidth="1"/>
    <col min="11" max="11" width="17" style="65" customWidth="1"/>
    <col min="12" max="12" width="18.28515625" style="65" customWidth="1"/>
    <col min="13" max="13" width="16.85546875" style="65" customWidth="1"/>
    <col min="14" max="14" width="19.7109375" style="65" customWidth="1"/>
    <col min="15" max="15" width="14" style="65" customWidth="1"/>
    <col min="16" max="16" width="18.7109375" style="65" customWidth="1"/>
    <col min="17" max="256" width="9.140625" style="65"/>
    <col min="257" max="257" width="3.140625" style="65" customWidth="1"/>
    <col min="258" max="258" width="19.85546875" style="65" customWidth="1"/>
    <col min="259" max="261" width="22.5703125" style="65" customWidth="1"/>
    <col min="262" max="262" width="28.140625" style="65" customWidth="1"/>
    <col min="263" max="263" width="16.85546875" style="65" customWidth="1"/>
    <col min="264" max="264" width="22.5703125" style="65" customWidth="1"/>
    <col min="265" max="265" width="19.42578125" style="65" customWidth="1"/>
    <col min="266" max="269" width="22.5703125" style="65" customWidth="1"/>
    <col min="270" max="270" width="19.42578125" style="65" customWidth="1"/>
    <col min="271" max="271" width="14" style="65" customWidth="1"/>
    <col min="272" max="272" width="21.42578125" style="65" customWidth="1"/>
    <col min="273" max="512" width="9.140625" style="65"/>
    <col min="513" max="513" width="3.140625" style="65" customWidth="1"/>
    <col min="514" max="514" width="19.85546875" style="65" customWidth="1"/>
    <col min="515" max="517" width="22.5703125" style="65" customWidth="1"/>
    <col min="518" max="518" width="28.140625" style="65" customWidth="1"/>
    <col min="519" max="519" width="16.85546875" style="65" customWidth="1"/>
    <col min="520" max="520" width="22.5703125" style="65" customWidth="1"/>
    <col min="521" max="521" width="19.42578125" style="65" customWidth="1"/>
    <col min="522" max="525" width="22.5703125" style="65" customWidth="1"/>
    <col min="526" max="526" width="19.42578125" style="65" customWidth="1"/>
    <col min="527" max="527" width="14" style="65" customWidth="1"/>
    <col min="528" max="528" width="21.42578125" style="65" customWidth="1"/>
    <col min="529" max="768" width="9.140625" style="65"/>
    <col min="769" max="769" width="3.140625" style="65" customWidth="1"/>
    <col min="770" max="770" width="19.85546875" style="65" customWidth="1"/>
    <col min="771" max="773" width="22.5703125" style="65" customWidth="1"/>
    <col min="774" max="774" width="28.140625" style="65" customWidth="1"/>
    <col min="775" max="775" width="16.85546875" style="65" customWidth="1"/>
    <col min="776" max="776" width="22.5703125" style="65" customWidth="1"/>
    <col min="777" max="777" width="19.42578125" style="65" customWidth="1"/>
    <col min="778" max="781" width="22.5703125" style="65" customWidth="1"/>
    <col min="782" max="782" width="19.42578125" style="65" customWidth="1"/>
    <col min="783" max="783" width="14" style="65" customWidth="1"/>
    <col min="784" max="784" width="21.42578125" style="65" customWidth="1"/>
    <col min="785" max="1024" width="9.140625" style="65"/>
    <col min="1025" max="1025" width="3.140625" style="65" customWidth="1"/>
    <col min="1026" max="1026" width="19.85546875" style="65" customWidth="1"/>
    <col min="1027" max="1029" width="22.5703125" style="65" customWidth="1"/>
    <col min="1030" max="1030" width="28.140625" style="65" customWidth="1"/>
    <col min="1031" max="1031" width="16.85546875" style="65" customWidth="1"/>
    <col min="1032" max="1032" width="22.5703125" style="65" customWidth="1"/>
    <col min="1033" max="1033" width="19.42578125" style="65" customWidth="1"/>
    <col min="1034" max="1037" width="22.5703125" style="65" customWidth="1"/>
    <col min="1038" max="1038" width="19.42578125" style="65" customWidth="1"/>
    <col min="1039" max="1039" width="14" style="65" customWidth="1"/>
    <col min="1040" max="1040" width="21.42578125" style="65" customWidth="1"/>
    <col min="1041" max="1280" width="9.140625" style="65"/>
    <col min="1281" max="1281" width="3.140625" style="65" customWidth="1"/>
    <col min="1282" max="1282" width="19.85546875" style="65" customWidth="1"/>
    <col min="1283" max="1285" width="22.5703125" style="65" customWidth="1"/>
    <col min="1286" max="1286" width="28.140625" style="65" customWidth="1"/>
    <col min="1287" max="1287" width="16.85546875" style="65" customWidth="1"/>
    <col min="1288" max="1288" width="22.5703125" style="65" customWidth="1"/>
    <col min="1289" max="1289" width="19.42578125" style="65" customWidth="1"/>
    <col min="1290" max="1293" width="22.5703125" style="65" customWidth="1"/>
    <col min="1294" max="1294" width="19.42578125" style="65" customWidth="1"/>
    <col min="1295" max="1295" width="14" style="65" customWidth="1"/>
    <col min="1296" max="1296" width="21.42578125" style="65" customWidth="1"/>
    <col min="1297" max="1536" width="9.140625" style="65"/>
    <col min="1537" max="1537" width="3.140625" style="65" customWidth="1"/>
    <col min="1538" max="1538" width="19.85546875" style="65" customWidth="1"/>
    <col min="1539" max="1541" width="22.5703125" style="65" customWidth="1"/>
    <col min="1542" max="1542" width="28.140625" style="65" customWidth="1"/>
    <col min="1543" max="1543" width="16.85546875" style="65" customWidth="1"/>
    <col min="1544" max="1544" width="22.5703125" style="65" customWidth="1"/>
    <col min="1545" max="1545" width="19.42578125" style="65" customWidth="1"/>
    <col min="1546" max="1549" width="22.5703125" style="65" customWidth="1"/>
    <col min="1550" max="1550" width="19.42578125" style="65" customWidth="1"/>
    <col min="1551" max="1551" width="14" style="65" customWidth="1"/>
    <col min="1552" max="1552" width="21.42578125" style="65" customWidth="1"/>
    <col min="1553" max="1792" width="9.140625" style="65"/>
    <col min="1793" max="1793" width="3.140625" style="65" customWidth="1"/>
    <col min="1794" max="1794" width="19.85546875" style="65" customWidth="1"/>
    <col min="1795" max="1797" width="22.5703125" style="65" customWidth="1"/>
    <col min="1798" max="1798" width="28.140625" style="65" customWidth="1"/>
    <col min="1799" max="1799" width="16.85546875" style="65" customWidth="1"/>
    <col min="1800" max="1800" width="22.5703125" style="65" customWidth="1"/>
    <col min="1801" max="1801" width="19.42578125" style="65" customWidth="1"/>
    <col min="1802" max="1805" width="22.5703125" style="65" customWidth="1"/>
    <col min="1806" max="1806" width="19.42578125" style="65" customWidth="1"/>
    <col min="1807" max="1807" width="14" style="65" customWidth="1"/>
    <col min="1808" max="1808" width="21.42578125" style="65" customWidth="1"/>
    <col min="1809" max="2048" width="9.140625" style="65"/>
    <col min="2049" max="2049" width="3.140625" style="65" customWidth="1"/>
    <col min="2050" max="2050" width="19.85546875" style="65" customWidth="1"/>
    <col min="2051" max="2053" width="22.5703125" style="65" customWidth="1"/>
    <col min="2054" max="2054" width="28.140625" style="65" customWidth="1"/>
    <col min="2055" max="2055" width="16.85546875" style="65" customWidth="1"/>
    <col min="2056" max="2056" width="22.5703125" style="65" customWidth="1"/>
    <col min="2057" max="2057" width="19.42578125" style="65" customWidth="1"/>
    <col min="2058" max="2061" width="22.5703125" style="65" customWidth="1"/>
    <col min="2062" max="2062" width="19.42578125" style="65" customWidth="1"/>
    <col min="2063" max="2063" width="14" style="65" customWidth="1"/>
    <col min="2064" max="2064" width="21.42578125" style="65" customWidth="1"/>
    <col min="2065" max="2304" width="9.140625" style="65"/>
    <col min="2305" max="2305" width="3.140625" style="65" customWidth="1"/>
    <col min="2306" max="2306" width="19.85546875" style="65" customWidth="1"/>
    <col min="2307" max="2309" width="22.5703125" style="65" customWidth="1"/>
    <col min="2310" max="2310" width="28.140625" style="65" customWidth="1"/>
    <col min="2311" max="2311" width="16.85546875" style="65" customWidth="1"/>
    <col min="2312" max="2312" width="22.5703125" style="65" customWidth="1"/>
    <col min="2313" max="2313" width="19.42578125" style="65" customWidth="1"/>
    <col min="2314" max="2317" width="22.5703125" style="65" customWidth="1"/>
    <col min="2318" max="2318" width="19.42578125" style="65" customWidth="1"/>
    <col min="2319" max="2319" width="14" style="65" customWidth="1"/>
    <col min="2320" max="2320" width="21.42578125" style="65" customWidth="1"/>
    <col min="2321" max="2560" width="9.140625" style="65"/>
    <col min="2561" max="2561" width="3.140625" style="65" customWidth="1"/>
    <col min="2562" max="2562" width="19.85546875" style="65" customWidth="1"/>
    <col min="2563" max="2565" width="22.5703125" style="65" customWidth="1"/>
    <col min="2566" max="2566" width="28.140625" style="65" customWidth="1"/>
    <col min="2567" max="2567" width="16.85546875" style="65" customWidth="1"/>
    <col min="2568" max="2568" width="22.5703125" style="65" customWidth="1"/>
    <col min="2569" max="2569" width="19.42578125" style="65" customWidth="1"/>
    <col min="2570" max="2573" width="22.5703125" style="65" customWidth="1"/>
    <col min="2574" max="2574" width="19.42578125" style="65" customWidth="1"/>
    <col min="2575" max="2575" width="14" style="65" customWidth="1"/>
    <col min="2576" max="2576" width="21.42578125" style="65" customWidth="1"/>
    <col min="2577" max="2816" width="9.140625" style="65"/>
    <col min="2817" max="2817" width="3.140625" style="65" customWidth="1"/>
    <col min="2818" max="2818" width="19.85546875" style="65" customWidth="1"/>
    <col min="2819" max="2821" width="22.5703125" style="65" customWidth="1"/>
    <col min="2822" max="2822" width="28.140625" style="65" customWidth="1"/>
    <col min="2823" max="2823" width="16.85546875" style="65" customWidth="1"/>
    <col min="2824" max="2824" width="22.5703125" style="65" customWidth="1"/>
    <col min="2825" max="2825" width="19.42578125" style="65" customWidth="1"/>
    <col min="2826" max="2829" width="22.5703125" style="65" customWidth="1"/>
    <col min="2830" max="2830" width="19.42578125" style="65" customWidth="1"/>
    <col min="2831" max="2831" width="14" style="65" customWidth="1"/>
    <col min="2832" max="2832" width="21.42578125" style="65" customWidth="1"/>
    <col min="2833" max="3072" width="9.140625" style="65"/>
    <col min="3073" max="3073" width="3.140625" style="65" customWidth="1"/>
    <col min="3074" max="3074" width="19.85546875" style="65" customWidth="1"/>
    <col min="3075" max="3077" width="22.5703125" style="65" customWidth="1"/>
    <col min="3078" max="3078" width="28.140625" style="65" customWidth="1"/>
    <col min="3079" max="3079" width="16.85546875" style="65" customWidth="1"/>
    <col min="3080" max="3080" width="22.5703125" style="65" customWidth="1"/>
    <col min="3081" max="3081" width="19.42578125" style="65" customWidth="1"/>
    <col min="3082" max="3085" width="22.5703125" style="65" customWidth="1"/>
    <col min="3086" max="3086" width="19.42578125" style="65" customWidth="1"/>
    <col min="3087" max="3087" width="14" style="65" customWidth="1"/>
    <col min="3088" max="3088" width="21.42578125" style="65" customWidth="1"/>
    <col min="3089" max="3328" width="9.140625" style="65"/>
    <col min="3329" max="3329" width="3.140625" style="65" customWidth="1"/>
    <col min="3330" max="3330" width="19.85546875" style="65" customWidth="1"/>
    <col min="3331" max="3333" width="22.5703125" style="65" customWidth="1"/>
    <col min="3334" max="3334" width="28.140625" style="65" customWidth="1"/>
    <col min="3335" max="3335" width="16.85546875" style="65" customWidth="1"/>
    <col min="3336" max="3336" width="22.5703125" style="65" customWidth="1"/>
    <col min="3337" max="3337" width="19.42578125" style="65" customWidth="1"/>
    <col min="3338" max="3341" width="22.5703125" style="65" customWidth="1"/>
    <col min="3342" max="3342" width="19.42578125" style="65" customWidth="1"/>
    <col min="3343" max="3343" width="14" style="65" customWidth="1"/>
    <col min="3344" max="3344" width="21.42578125" style="65" customWidth="1"/>
    <col min="3345" max="3584" width="9.140625" style="65"/>
    <col min="3585" max="3585" width="3.140625" style="65" customWidth="1"/>
    <col min="3586" max="3586" width="19.85546875" style="65" customWidth="1"/>
    <col min="3587" max="3589" width="22.5703125" style="65" customWidth="1"/>
    <col min="3590" max="3590" width="28.140625" style="65" customWidth="1"/>
    <col min="3591" max="3591" width="16.85546875" style="65" customWidth="1"/>
    <col min="3592" max="3592" width="22.5703125" style="65" customWidth="1"/>
    <col min="3593" max="3593" width="19.42578125" style="65" customWidth="1"/>
    <col min="3594" max="3597" width="22.5703125" style="65" customWidth="1"/>
    <col min="3598" max="3598" width="19.42578125" style="65" customWidth="1"/>
    <col min="3599" max="3599" width="14" style="65" customWidth="1"/>
    <col min="3600" max="3600" width="21.42578125" style="65" customWidth="1"/>
    <col min="3601" max="3840" width="9.140625" style="65"/>
    <col min="3841" max="3841" width="3.140625" style="65" customWidth="1"/>
    <col min="3842" max="3842" width="19.85546875" style="65" customWidth="1"/>
    <col min="3843" max="3845" width="22.5703125" style="65" customWidth="1"/>
    <col min="3846" max="3846" width="28.140625" style="65" customWidth="1"/>
    <col min="3847" max="3847" width="16.85546875" style="65" customWidth="1"/>
    <col min="3848" max="3848" width="22.5703125" style="65" customWidth="1"/>
    <col min="3849" max="3849" width="19.42578125" style="65" customWidth="1"/>
    <col min="3850" max="3853" width="22.5703125" style="65" customWidth="1"/>
    <col min="3854" max="3854" width="19.42578125" style="65" customWidth="1"/>
    <col min="3855" max="3855" width="14" style="65" customWidth="1"/>
    <col min="3856" max="3856" width="21.42578125" style="65" customWidth="1"/>
    <col min="3857" max="4096" width="9.140625" style="65"/>
    <col min="4097" max="4097" width="3.140625" style="65" customWidth="1"/>
    <col min="4098" max="4098" width="19.85546875" style="65" customWidth="1"/>
    <col min="4099" max="4101" width="22.5703125" style="65" customWidth="1"/>
    <col min="4102" max="4102" width="28.140625" style="65" customWidth="1"/>
    <col min="4103" max="4103" width="16.85546875" style="65" customWidth="1"/>
    <col min="4104" max="4104" width="22.5703125" style="65" customWidth="1"/>
    <col min="4105" max="4105" width="19.42578125" style="65" customWidth="1"/>
    <col min="4106" max="4109" width="22.5703125" style="65" customWidth="1"/>
    <col min="4110" max="4110" width="19.42578125" style="65" customWidth="1"/>
    <col min="4111" max="4111" width="14" style="65" customWidth="1"/>
    <col min="4112" max="4112" width="21.42578125" style="65" customWidth="1"/>
    <col min="4113" max="4352" width="9.140625" style="65"/>
    <col min="4353" max="4353" width="3.140625" style="65" customWidth="1"/>
    <col min="4354" max="4354" width="19.85546875" style="65" customWidth="1"/>
    <col min="4355" max="4357" width="22.5703125" style="65" customWidth="1"/>
    <col min="4358" max="4358" width="28.140625" style="65" customWidth="1"/>
    <col min="4359" max="4359" width="16.85546875" style="65" customWidth="1"/>
    <col min="4360" max="4360" width="22.5703125" style="65" customWidth="1"/>
    <col min="4361" max="4361" width="19.42578125" style="65" customWidth="1"/>
    <col min="4362" max="4365" width="22.5703125" style="65" customWidth="1"/>
    <col min="4366" max="4366" width="19.42578125" style="65" customWidth="1"/>
    <col min="4367" max="4367" width="14" style="65" customWidth="1"/>
    <col min="4368" max="4368" width="21.42578125" style="65" customWidth="1"/>
    <col min="4369" max="4608" width="9.140625" style="65"/>
    <col min="4609" max="4609" width="3.140625" style="65" customWidth="1"/>
    <col min="4610" max="4610" width="19.85546875" style="65" customWidth="1"/>
    <col min="4611" max="4613" width="22.5703125" style="65" customWidth="1"/>
    <col min="4614" max="4614" width="28.140625" style="65" customWidth="1"/>
    <col min="4615" max="4615" width="16.85546875" style="65" customWidth="1"/>
    <col min="4616" max="4616" width="22.5703125" style="65" customWidth="1"/>
    <col min="4617" max="4617" width="19.42578125" style="65" customWidth="1"/>
    <col min="4618" max="4621" width="22.5703125" style="65" customWidth="1"/>
    <col min="4622" max="4622" width="19.42578125" style="65" customWidth="1"/>
    <col min="4623" max="4623" width="14" style="65" customWidth="1"/>
    <col min="4624" max="4624" width="21.42578125" style="65" customWidth="1"/>
    <col min="4625" max="4864" width="9.140625" style="65"/>
    <col min="4865" max="4865" width="3.140625" style="65" customWidth="1"/>
    <col min="4866" max="4866" width="19.85546875" style="65" customWidth="1"/>
    <col min="4867" max="4869" width="22.5703125" style="65" customWidth="1"/>
    <col min="4870" max="4870" width="28.140625" style="65" customWidth="1"/>
    <col min="4871" max="4871" width="16.85546875" style="65" customWidth="1"/>
    <col min="4872" max="4872" width="22.5703125" style="65" customWidth="1"/>
    <col min="4873" max="4873" width="19.42578125" style="65" customWidth="1"/>
    <col min="4874" max="4877" width="22.5703125" style="65" customWidth="1"/>
    <col min="4878" max="4878" width="19.42578125" style="65" customWidth="1"/>
    <col min="4879" max="4879" width="14" style="65" customWidth="1"/>
    <col min="4880" max="4880" width="21.42578125" style="65" customWidth="1"/>
    <col min="4881" max="5120" width="9.140625" style="65"/>
    <col min="5121" max="5121" width="3.140625" style="65" customWidth="1"/>
    <col min="5122" max="5122" width="19.85546875" style="65" customWidth="1"/>
    <col min="5123" max="5125" width="22.5703125" style="65" customWidth="1"/>
    <col min="5126" max="5126" width="28.140625" style="65" customWidth="1"/>
    <col min="5127" max="5127" width="16.85546875" style="65" customWidth="1"/>
    <col min="5128" max="5128" width="22.5703125" style="65" customWidth="1"/>
    <col min="5129" max="5129" width="19.42578125" style="65" customWidth="1"/>
    <col min="5130" max="5133" width="22.5703125" style="65" customWidth="1"/>
    <col min="5134" max="5134" width="19.42578125" style="65" customWidth="1"/>
    <col min="5135" max="5135" width="14" style="65" customWidth="1"/>
    <col min="5136" max="5136" width="21.42578125" style="65" customWidth="1"/>
    <col min="5137" max="5376" width="9.140625" style="65"/>
    <col min="5377" max="5377" width="3.140625" style="65" customWidth="1"/>
    <col min="5378" max="5378" width="19.85546875" style="65" customWidth="1"/>
    <col min="5379" max="5381" width="22.5703125" style="65" customWidth="1"/>
    <col min="5382" max="5382" width="28.140625" style="65" customWidth="1"/>
    <col min="5383" max="5383" width="16.85546875" style="65" customWidth="1"/>
    <col min="5384" max="5384" width="22.5703125" style="65" customWidth="1"/>
    <col min="5385" max="5385" width="19.42578125" style="65" customWidth="1"/>
    <col min="5386" max="5389" width="22.5703125" style="65" customWidth="1"/>
    <col min="5390" max="5390" width="19.42578125" style="65" customWidth="1"/>
    <col min="5391" max="5391" width="14" style="65" customWidth="1"/>
    <col min="5392" max="5392" width="21.42578125" style="65" customWidth="1"/>
    <col min="5393" max="5632" width="9.140625" style="65"/>
    <col min="5633" max="5633" width="3.140625" style="65" customWidth="1"/>
    <col min="5634" max="5634" width="19.85546875" style="65" customWidth="1"/>
    <col min="5635" max="5637" width="22.5703125" style="65" customWidth="1"/>
    <col min="5638" max="5638" width="28.140625" style="65" customWidth="1"/>
    <col min="5639" max="5639" width="16.85546875" style="65" customWidth="1"/>
    <col min="5640" max="5640" width="22.5703125" style="65" customWidth="1"/>
    <col min="5641" max="5641" width="19.42578125" style="65" customWidth="1"/>
    <col min="5642" max="5645" width="22.5703125" style="65" customWidth="1"/>
    <col min="5646" max="5646" width="19.42578125" style="65" customWidth="1"/>
    <col min="5647" max="5647" width="14" style="65" customWidth="1"/>
    <col min="5648" max="5648" width="21.42578125" style="65" customWidth="1"/>
    <col min="5649" max="5888" width="9.140625" style="65"/>
    <col min="5889" max="5889" width="3.140625" style="65" customWidth="1"/>
    <col min="5890" max="5890" width="19.85546875" style="65" customWidth="1"/>
    <col min="5891" max="5893" width="22.5703125" style="65" customWidth="1"/>
    <col min="5894" max="5894" width="28.140625" style="65" customWidth="1"/>
    <col min="5895" max="5895" width="16.85546875" style="65" customWidth="1"/>
    <col min="5896" max="5896" width="22.5703125" style="65" customWidth="1"/>
    <col min="5897" max="5897" width="19.42578125" style="65" customWidth="1"/>
    <col min="5898" max="5901" width="22.5703125" style="65" customWidth="1"/>
    <col min="5902" max="5902" width="19.42578125" style="65" customWidth="1"/>
    <col min="5903" max="5903" width="14" style="65" customWidth="1"/>
    <col min="5904" max="5904" width="21.42578125" style="65" customWidth="1"/>
    <col min="5905" max="6144" width="9.140625" style="65"/>
    <col min="6145" max="6145" width="3.140625" style="65" customWidth="1"/>
    <col min="6146" max="6146" width="19.85546875" style="65" customWidth="1"/>
    <col min="6147" max="6149" width="22.5703125" style="65" customWidth="1"/>
    <col min="6150" max="6150" width="28.140625" style="65" customWidth="1"/>
    <col min="6151" max="6151" width="16.85546875" style="65" customWidth="1"/>
    <col min="6152" max="6152" width="22.5703125" style="65" customWidth="1"/>
    <col min="6153" max="6153" width="19.42578125" style="65" customWidth="1"/>
    <col min="6154" max="6157" width="22.5703125" style="65" customWidth="1"/>
    <col min="6158" max="6158" width="19.42578125" style="65" customWidth="1"/>
    <col min="6159" max="6159" width="14" style="65" customWidth="1"/>
    <col min="6160" max="6160" width="21.42578125" style="65" customWidth="1"/>
    <col min="6161" max="6400" width="9.140625" style="65"/>
    <col min="6401" max="6401" width="3.140625" style="65" customWidth="1"/>
    <col min="6402" max="6402" width="19.85546875" style="65" customWidth="1"/>
    <col min="6403" max="6405" width="22.5703125" style="65" customWidth="1"/>
    <col min="6406" max="6406" width="28.140625" style="65" customWidth="1"/>
    <col min="6407" max="6407" width="16.85546875" style="65" customWidth="1"/>
    <col min="6408" max="6408" width="22.5703125" style="65" customWidth="1"/>
    <col min="6409" max="6409" width="19.42578125" style="65" customWidth="1"/>
    <col min="6410" max="6413" width="22.5703125" style="65" customWidth="1"/>
    <col min="6414" max="6414" width="19.42578125" style="65" customWidth="1"/>
    <col min="6415" max="6415" width="14" style="65" customWidth="1"/>
    <col min="6416" max="6416" width="21.42578125" style="65" customWidth="1"/>
    <col min="6417" max="6656" width="9.140625" style="65"/>
    <col min="6657" max="6657" width="3.140625" style="65" customWidth="1"/>
    <col min="6658" max="6658" width="19.85546875" style="65" customWidth="1"/>
    <col min="6659" max="6661" width="22.5703125" style="65" customWidth="1"/>
    <col min="6662" max="6662" width="28.140625" style="65" customWidth="1"/>
    <col min="6663" max="6663" width="16.85546875" style="65" customWidth="1"/>
    <col min="6664" max="6664" width="22.5703125" style="65" customWidth="1"/>
    <col min="6665" max="6665" width="19.42578125" style="65" customWidth="1"/>
    <col min="6666" max="6669" width="22.5703125" style="65" customWidth="1"/>
    <col min="6670" max="6670" width="19.42578125" style="65" customWidth="1"/>
    <col min="6671" max="6671" width="14" style="65" customWidth="1"/>
    <col min="6672" max="6672" width="21.42578125" style="65" customWidth="1"/>
    <col min="6673" max="6912" width="9.140625" style="65"/>
    <col min="6913" max="6913" width="3.140625" style="65" customWidth="1"/>
    <col min="6914" max="6914" width="19.85546875" style="65" customWidth="1"/>
    <col min="6915" max="6917" width="22.5703125" style="65" customWidth="1"/>
    <col min="6918" max="6918" width="28.140625" style="65" customWidth="1"/>
    <col min="6919" max="6919" width="16.85546875" style="65" customWidth="1"/>
    <col min="6920" max="6920" width="22.5703125" style="65" customWidth="1"/>
    <col min="6921" max="6921" width="19.42578125" style="65" customWidth="1"/>
    <col min="6922" max="6925" width="22.5703125" style="65" customWidth="1"/>
    <col min="6926" max="6926" width="19.42578125" style="65" customWidth="1"/>
    <col min="6927" max="6927" width="14" style="65" customWidth="1"/>
    <col min="6928" max="6928" width="21.42578125" style="65" customWidth="1"/>
    <col min="6929" max="7168" width="9.140625" style="65"/>
    <col min="7169" max="7169" width="3.140625" style="65" customWidth="1"/>
    <col min="7170" max="7170" width="19.85546875" style="65" customWidth="1"/>
    <col min="7171" max="7173" width="22.5703125" style="65" customWidth="1"/>
    <col min="7174" max="7174" width="28.140625" style="65" customWidth="1"/>
    <col min="7175" max="7175" width="16.85546875" style="65" customWidth="1"/>
    <col min="7176" max="7176" width="22.5703125" style="65" customWidth="1"/>
    <col min="7177" max="7177" width="19.42578125" style="65" customWidth="1"/>
    <col min="7178" max="7181" width="22.5703125" style="65" customWidth="1"/>
    <col min="7182" max="7182" width="19.42578125" style="65" customWidth="1"/>
    <col min="7183" max="7183" width="14" style="65" customWidth="1"/>
    <col min="7184" max="7184" width="21.42578125" style="65" customWidth="1"/>
    <col min="7185" max="7424" width="9.140625" style="65"/>
    <col min="7425" max="7425" width="3.140625" style="65" customWidth="1"/>
    <col min="7426" max="7426" width="19.85546875" style="65" customWidth="1"/>
    <col min="7427" max="7429" width="22.5703125" style="65" customWidth="1"/>
    <col min="7430" max="7430" width="28.140625" style="65" customWidth="1"/>
    <col min="7431" max="7431" width="16.85546875" style="65" customWidth="1"/>
    <col min="7432" max="7432" width="22.5703125" style="65" customWidth="1"/>
    <col min="7433" max="7433" width="19.42578125" style="65" customWidth="1"/>
    <col min="7434" max="7437" width="22.5703125" style="65" customWidth="1"/>
    <col min="7438" max="7438" width="19.42578125" style="65" customWidth="1"/>
    <col min="7439" max="7439" width="14" style="65" customWidth="1"/>
    <col min="7440" max="7440" width="21.42578125" style="65" customWidth="1"/>
    <col min="7441" max="7680" width="9.140625" style="65"/>
    <col min="7681" max="7681" width="3.140625" style="65" customWidth="1"/>
    <col min="7682" max="7682" width="19.85546875" style="65" customWidth="1"/>
    <col min="7683" max="7685" width="22.5703125" style="65" customWidth="1"/>
    <col min="7686" max="7686" width="28.140625" style="65" customWidth="1"/>
    <col min="7687" max="7687" width="16.85546875" style="65" customWidth="1"/>
    <col min="7688" max="7688" width="22.5703125" style="65" customWidth="1"/>
    <col min="7689" max="7689" width="19.42578125" style="65" customWidth="1"/>
    <col min="7690" max="7693" width="22.5703125" style="65" customWidth="1"/>
    <col min="7694" max="7694" width="19.42578125" style="65" customWidth="1"/>
    <col min="7695" max="7695" width="14" style="65" customWidth="1"/>
    <col min="7696" max="7696" width="21.42578125" style="65" customWidth="1"/>
    <col min="7697" max="7936" width="9.140625" style="65"/>
    <col min="7937" max="7937" width="3.140625" style="65" customWidth="1"/>
    <col min="7938" max="7938" width="19.85546875" style="65" customWidth="1"/>
    <col min="7939" max="7941" width="22.5703125" style="65" customWidth="1"/>
    <col min="7942" max="7942" width="28.140625" style="65" customWidth="1"/>
    <col min="7943" max="7943" width="16.85546875" style="65" customWidth="1"/>
    <col min="7944" max="7944" width="22.5703125" style="65" customWidth="1"/>
    <col min="7945" max="7945" width="19.42578125" style="65" customWidth="1"/>
    <col min="7946" max="7949" width="22.5703125" style="65" customWidth="1"/>
    <col min="7950" max="7950" width="19.42578125" style="65" customWidth="1"/>
    <col min="7951" max="7951" width="14" style="65" customWidth="1"/>
    <col min="7952" max="7952" width="21.42578125" style="65" customWidth="1"/>
    <col min="7953" max="8192" width="9.140625" style="65"/>
    <col min="8193" max="8193" width="3.140625" style="65" customWidth="1"/>
    <col min="8194" max="8194" width="19.85546875" style="65" customWidth="1"/>
    <col min="8195" max="8197" width="22.5703125" style="65" customWidth="1"/>
    <col min="8198" max="8198" width="28.140625" style="65" customWidth="1"/>
    <col min="8199" max="8199" width="16.85546875" style="65" customWidth="1"/>
    <col min="8200" max="8200" width="22.5703125" style="65" customWidth="1"/>
    <col min="8201" max="8201" width="19.42578125" style="65" customWidth="1"/>
    <col min="8202" max="8205" width="22.5703125" style="65" customWidth="1"/>
    <col min="8206" max="8206" width="19.42578125" style="65" customWidth="1"/>
    <col min="8207" max="8207" width="14" style="65" customWidth="1"/>
    <col min="8208" max="8208" width="21.42578125" style="65" customWidth="1"/>
    <col min="8209" max="8448" width="9.140625" style="65"/>
    <col min="8449" max="8449" width="3.140625" style="65" customWidth="1"/>
    <col min="8450" max="8450" width="19.85546875" style="65" customWidth="1"/>
    <col min="8451" max="8453" width="22.5703125" style="65" customWidth="1"/>
    <col min="8454" max="8454" width="28.140625" style="65" customWidth="1"/>
    <col min="8455" max="8455" width="16.85546875" style="65" customWidth="1"/>
    <col min="8456" max="8456" width="22.5703125" style="65" customWidth="1"/>
    <col min="8457" max="8457" width="19.42578125" style="65" customWidth="1"/>
    <col min="8458" max="8461" width="22.5703125" style="65" customWidth="1"/>
    <col min="8462" max="8462" width="19.42578125" style="65" customWidth="1"/>
    <col min="8463" max="8463" width="14" style="65" customWidth="1"/>
    <col min="8464" max="8464" width="21.42578125" style="65" customWidth="1"/>
    <col min="8465" max="8704" width="9.140625" style="65"/>
    <col min="8705" max="8705" width="3.140625" style="65" customWidth="1"/>
    <col min="8706" max="8706" width="19.85546875" style="65" customWidth="1"/>
    <col min="8707" max="8709" width="22.5703125" style="65" customWidth="1"/>
    <col min="8710" max="8710" width="28.140625" style="65" customWidth="1"/>
    <col min="8711" max="8711" width="16.85546875" style="65" customWidth="1"/>
    <col min="8712" max="8712" width="22.5703125" style="65" customWidth="1"/>
    <col min="8713" max="8713" width="19.42578125" style="65" customWidth="1"/>
    <col min="8714" max="8717" width="22.5703125" style="65" customWidth="1"/>
    <col min="8718" max="8718" width="19.42578125" style="65" customWidth="1"/>
    <col min="8719" max="8719" width="14" style="65" customWidth="1"/>
    <col min="8720" max="8720" width="21.42578125" style="65" customWidth="1"/>
    <col min="8721" max="8960" width="9.140625" style="65"/>
    <col min="8961" max="8961" width="3.140625" style="65" customWidth="1"/>
    <col min="8962" max="8962" width="19.85546875" style="65" customWidth="1"/>
    <col min="8963" max="8965" width="22.5703125" style="65" customWidth="1"/>
    <col min="8966" max="8966" width="28.140625" style="65" customWidth="1"/>
    <col min="8967" max="8967" width="16.85546875" style="65" customWidth="1"/>
    <col min="8968" max="8968" width="22.5703125" style="65" customWidth="1"/>
    <col min="8969" max="8969" width="19.42578125" style="65" customWidth="1"/>
    <col min="8970" max="8973" width="22.5703125" style="65" customWidth="1"/>
    <col min="8974" max="8974" width="19.42578125" style="65" customWidth="1"/>
    <col min="8975" max="8975" width="14" style="65" customWidth="1"/>
    <col min="8976" max="8976" width="21.42578125" style="65" customWidth="1"/>
    <col min="8977" max="9216" width="9.140625" style="65"/>
    <col min="9217" max="9217" width="3.140625" style="65" customWidth="1"/>
    <col min="9218" max="9218" width="19.85546875" style="65" customWidth="1"/>
    <col min="9219" max="9221" width="22.5703125" style="65" customWidth="1"/>
    <col min="9222" max="9222" width="28.140625" style="65" customWidth="1"/>
    <col min="9223" max="9223" width="16.85546875" style="65" customWidth="1"/>
    <col min="9224" max="9224" width="22.5703125" style="65" customWidth="1"/>
    <col min="9225" max="9225" width="19.42578125" style="65" customWidth="1"/>
    <col min="9226" max="9229" width="22.5703125" style="65" customWidth="1"/>
    <col min="9230" max="9230" width="19.42578125" style="65" customWidth="1"/>
    <col min="9231" max="9231" width="14" style="65" customWidth="1"/>
    <col min="9232" max="9232" width="21.42578125" style="65" customWidth="1"/>
    <col min="9233" max="9472" width="9.140625" style="65"/>
    <col min="9473" max="9473" width="3.140625" style="65" customWidth="1"/>
    <col min="9474" max="9474" width="19.85546875" style="65" customWidth="1"/>
    <col min="9475" max="9477" width="22.5703125" style="65" customWidth="1"/>
    <col min="9478" max="9478" width="28.140625" style="65" customWidth="1"/>
    <col min="9479" max="9479" width="16.85546875" style="65" customWidth="1"/>
    <col min="9480" max="9480" width="22.5703125" style="65" customWidth="1"/>
    <col min="9481" max="9481" width="19.42578125" style="65" customWidth="1"/>
    <col min="9482" max="9485" width="22.5703125" style="65" customWidth="1"/>
    <col min="9486" max="9486" width="19.42578125" style="65" customWidth="1"/>
    <col min="9487" max="9487" width="14" style="65" customWidth="1"/>
    <col min="9488" max="9488" width="21.42578125" style="65" customWidth="1"/>
    <col min="9489" max="9728" width="9.140625" style="65"/>
    <col min="9729" max="9729" width="3.140625" style="65" customWidth="1"/>
    <col min="9730" max="9730" width="19.85546875" style="65" customWidth="1"/>
    <col min="9731" max="9733" width="22.5703125" style="65" customWidth="1"/>
    <col min="9734" max="9734" width="28.140625" style="65" customWidth="1"/>
    <col min="9735" max="9735" width="16.85546875" style="65" customWidth="1"/>
    <col min="9736" max="9736" width="22.5703125" style="65" customWidth="1"/>
    <col min="9737" max="9737" width="19.42578125" style="65" customWidth="1"/>
    <col min="9738" max="9741" width="22.5703125" style="65" customWidth="1"/>
    <col min="9742" max="9742" width="19.42578125" style="65" customWidth="1"/>
    <col min="9743" max="9743" width="14" style="65" customWidth="1"/>
    <col min="9744" max="9744" width="21.42578125" style="65" customWidth="1"/>
    <col min="9745" max="9984" width="9.140625" style="65"/>
    <col min="9985" max="9985" width="3.140625" style="65" customWidth="1"/>
    <col min="9986" max="9986" width="19.85546875" style="65" customWidth="1"/>
    <col min="9987" max="9989" width="22.5703125" style="65" customWidth="1"/>
    <col min="9990" max="9990" width="28.140625" style="65" customWidth="1"/>
    <col min="9991" max="9991" width="16.85546875" style="65" customWidth="1"/>
    <col min="9992" max="9992" width="22.5703125" style="65" customWidth="1"/>
    <col min="9993" max="9993" width="19.42578125" style="65" customWidth="1"/>
    <col min="9994" max="9997" width="22.5703125" style="65" customWidth="1"/>
    <col min="9998" max="9998" width="19.42578125" style="65" customWidth="1"/>
    <col min="9999" max="9999" width="14" style="65" customWidth="1"/>
    <col min="10000" max="10000" width="21.42578125" style="65" customWidth="1"/>
    <col min="10001" max="10240" width="9.140625" style="65"/>
    <col min="10241" max="10241" width="3.140625" style="65" customWidth="1"/>
    <col min="10242" max="10242" width="19.85546875" style="65" customWidth="1"/>
    <col min="10243" max="10245" width="22.5703125" style="65" customWidth="1"/>
    <col min="10246" max="10246" width="28.140625" style="65" customWidth="1"/>
    <col min="10247" max="10247" width="16.85546875" style="65" customWidth="1"/>
    <col min="10248" max="10248" width="22.5703125" style="65" customWidth="1"/>
    <col min="10249" max="10249" width="19.42578125" style="65" customWidth="1"/>
    <col min="10250" max="10253" width="22.5703125" style="65" customWidth="1"/>
    <col min="10254" max="10254" width="19.42578125" style="65" customWidth="1"/>
    <col min="10255" max="10255" width="14" style="65" customWidth="1"/>
    <col min="10256" max="10256" width="21.42578125" style="65" customWidth="1"/>
    <col min="10257" max="10496" width="9.140625" style="65"/>
    <col min="10497" max="10497" width="3.140625" style="65" customWidth="1"/>
    <col min="10498" max="10498" width="19.85546875" style="65" customWidth="1"/>
    <col min="10499" max="10501" width="22.5703125" style="65" customWidth="1"/>
    <col min="10502" max="10502" width="28.140625" style="65" customWidth="1"/>
    <col min="10503" max="10503" width="16.85546875" style="65" customWidth="1"/>
    <col min="10504" max="10504" width="22.5703125" style="65" customWidth="1"/>
    <col min="10505" max="10505" width="19.42578125" style="65" customWidth="1"/>
    <col min="10506" max="10509" width="22.5703125" style="65" customWidth="1"/>
    <col min="10510" max="10510" width="19.42578125" style="65" customWidth="1"/>
    <col min="10511" max="10511" width="14" style="65" customWidth="1"/>
    <col min="10512" max="10512" width="21.42578125" style="65" customWidth="1"/>
    <col min="10513" max="10752" width="9.140625" style="65"/>
    <col min="10753" max="10753" width="3.140625" style="65" customWidth="1"/>
    <col min="10754" max="10754" width="19.85546875" style="65" customWidth="1"/>
    <col min="10755" max="10757" width="22.5703125" style="65" customWidth="1"/>
    <col min="10758" max="10758" width="28.140625" style="65" customWidth="1"/>
    <col min="10759" max="10759" width="16.85546875" style="65" customWidth="1"/>
    <col min="10760" max="10760" width="22.5703125" style="65" customWidth="1"/>
    <col min="10761" max="10761" width="19.42578125" style="65" customWidth="1"/>
    <col min="10762" max="10765" width="22.5703125" style="65" customWidth="1"/>
    <col min="10766" max="10766" width="19.42578125" style="65" customWidth="1"/>
    <col min="10767" max="10767" width="14" style="65" customWidth="1"/>
    <col min="10768" max="10768" width="21.42578125" style="65" customWidth="1"/>
    <col min="10769" max="11008" width="9.140625" style="65"/>
    <col min="11009" max="11009" width="3.140625" style="65" customWidth="1"/>
    <col min="11010" max="11010" width="19.85546875" style="65" customWidth="1"/>
    <col min="11011" max="11013" width="22.5703125" style="65" customWidth="1"/>
    <col min="11014" max="11014" width="28.140625" style="65" customWidth="1"/>
    <col min="11015" max="11015" width="16.85546875" style="65" customWidth="1"/>
    <col min="11016" max="11016" width="22.5703125" style="65" customWidth="1"/>
    <col min="11017" max="11017" width="19.42578125" style="65" customWidth="1"/>
    <col min="11018" max="11021" width="22.5703125" style="65" customWidth="1"/>
    <col min="11022" max="11022" width="19.42578125" style="65" customWidth="1"/>
    <col min="11023" max="11023" width="14" style="65" customWidth="1"/>
    <col min="11024" max="11024" width="21.42578125" style="65" customWidth="1"/>
    <col min="11025" max="11264" width="9.140625" style="65"/>
    <col min="11265" max="11265" width="3.140625" style="65" customWidth="1"/>
    <col min="11266" max="11266" width="19.85546875" style="65" customWidth="1"/>
    <col min="11267" max="11269" width="22.5703125" style="65" customWidth="1"/>
    <col min="11270" max="11270" width="28.140625" style="65" customWidth="1"/>
    <col min="11271" max="11271" width="16.85546875" style="65" customWidth="1"/>
    <col min="11272" max="11272" width="22.5703125" style="65" customWidth="1"/>
    <col min="11273" max="11273" width="19.42578125" style="65" customWidth="1"/>
    <col min="11274" max="11277" width="22.5703125" style="65" customWidth="1"/>
    <col min="11278" max="11278" width="19.42578125" style="65" customWidth="1"/>
    <col min="11279" max="11279" width="14" style="65" customWidth="1"/>
    <col min="11280" max="11280" width="21.42578125" style="65" customWidth="1"/>
    <col min="11281" max="11520" width="9.140625" style="65"/>
    <col min="11521" max="11521" width="3.140625" style="65" customWidth="1"/>
    <col min="11522" max="11522" width="19.85546875" style="65" customWidth="1"/>
    <col min="11523" max="11525" width="22.5703125" style="65" customWidth="1"/>
    <col min="11526" max="11526" width="28.140625" style="65" customWidth="1"/>
    <col min="11527" max="11527" width="16.85546875" style="65" customWidth="1"/>
    <col min="11528" max="11528" width="22.5703125" style="65" customWidth="1"/>
    <col min="11529" max="11529" width="19.42578125" style="65" customWidth="1"/>
    <col min="11530" max="11533" width="22.5703125" style="65" customWidth="1"/>
    <col min="11534" max="11534" width="19.42578125" style="65" customWidth="1"/>
    <col min="11535" max="11535" width="14" style="65" customWidth="1"/>
    <col min="11536" max="11536" width="21.42578125" style="65" customWidth="1"/>
    <col min="11537" max="11776" width="9.140625" style="65"/>
    <col min="11777" max="11777" width="3.140625" style="65" customWidth="1"/>
    <col min="11778" max="11778" width="19.85546875" style="65" customWidth="1"/>
    <col min="11779" max="11781" width="22.5703125" style="65" customWidth="1"/>
    <col min="11782" max="11782" width="28.140625" style="65" customWidth="1"/>
    <col min="11783" max="11783" width="16.85546875" style="65" customWidth="1"/>
    <col min="11784" max="11784" width="22.5703125" style="65" customWidth="1"/>
    <col min="11785" max="11785" width="19.42578125" style="65" customWidth="1"/>
    <col min="11786" max="11789" width="22.5703125" style="65" customWidth="1"/>
    <col min="11790" max="11790" width="19.42578125" style="65" customWidth="1"/>
    <col min="11791" max="11791" width="14" style="65" customWidth="1"/>
    <col min="11792" max="11792" width="21.42578125" style="65" customWidth="1"/>
    <col min="11793" max="12032" width="9.140625" style="65"/>
    <col min="12033" max="12033" width="3.140625" style="65" customWidth="1"/>
    <col min="12034" max="12034" width="19.85546875" style="65" customWidth="1"/>
    <col min="12035" max="12037" width="22.5703125" style="65" customWidth="1"/>
    <col min="12038" max="12038" width="28.140625" style="65" customWidth="1"/>
    <col min="12039" max="12039" width="16.85546875" style="65" customWidth="1"/>
    <col min="12040" max="12040" width="22.5703125" style="65" customWidth="1"/>
    <col min="12041" max="12041" width="19.42578125" style="65" customWidth="1"/>
    <col min="12042" max="12045" width="22.5703125" style="65" customWidth="1"/>
    <col min="12046" max="12046" width="19.42578125" style="65" customWidth="1"/>
    <col min="12047" max="12047" width="14" style="65" customWidth="1"/>
    <col min="12048" max="12048" width="21.42578125" style="65" customWidth="1"/>
    <col min="12049" max="12288" width="9.140625" style="65"/>
    <col min="12289" max="12289" width="3.140625" style="65" customWidth="1"/>
    <col min="12290" max="12290" width="19.85546875" style="65" customWidth="1"/>
    <col min="12291" max="12293" width="22.5703125" style="65" customWidth="1"/>
    <col min="12294" max="12294" width="28.140625" style="65" customWidth="1"/>
    <col min="12295" max="12295" width="16.85546875" style="65" customWidth="1"/>
    <col min="12296" max="12296" width="22.5703125" style="65" customWidth="1"/>
    <col min="12297" max="12297" width="19.42578125" style="65" customWidth="1"/>
    <col min="12298" max="12301" width="22.5703125" style="65" customWidth="1"/>
    <col min="12302" max="12302" width="19.42578125" style="65" customWidth="1"/>
    <col min="12303" max="12303" width="14" style="65" customWidth="1"/>
    <col min="12304" max="12304" width="21.42578125" style="65" customWidth="1"/>
    <col min="12305" max="12544" width="9.140625" style="65"/>
    <col min="12545" max="12545" width="3.140625" style="65" customWidth="1"/>
    <col min="12546" max="12546" width="19.85546875" style="65" customWidth="1"/>
    <col min="12547" max="12549" width="22.5703125" style="65" customWidth="1"/>
    <col min="12550" max="12550" width="28.140625" style="65" customWidth="1"/>
    <col min="12551" max="12551" width="16.85546875" style="65" customWidth="1"/>
    <col min="12552" max="12552" width="22.5703125" style="65" customWidth="1"/>
    <col min="12553" max="12553" width="19.42578125" style="65" customWidth="1"/>
    <col min="12554" max="12557" width="22.5703125" style="65" customWidth="1"/>
    <col min="12558" max="12558" width="19.42578125" style="65" customWidth="1"/>
    <col min="12559" max="12559" width="14" style="65" customWidth="1"/>
    <col min="12560" max="12560" width="21.42578125" style="65" customWidth="1"/>
    <col min="12561" max="12800" width="9.140625" style="65"/>
    <col min="12801" max="12801" width="3.140625" style="65" customWidth="1"/>
    <col min="12802" max="12802" width="19.85546875" style="65" customWidth="1"/>
    <col min="12803" max="12805" width="22.5703125" style="65" customWidth="1"/>
    <col min="12806" max="12806" width="28.140625" style="65" customWidth="1"/>
    <col min="12807" max="12807" width="16.85546875" style="65" customWidth="1"/>
    <col min="12808" max="12808" width="22.5703125" style="65" customWidth="1"/>
    <col min="12809" max="12809" width="19.42578125" style="65" customWidth="1"/>
    <col min="12810" max="12813" width="22.5703125" style="65" customWidth="1"/>
    <col min="12814" max="12814" width="19.42578125" style="65" customWidth="1"/>
    <col min="12815" max="12815" width="14" style="65" customWidth="1"/>
    <col min="12816" max="12816" width="21.42578125" style="65" customWidth="1"/>
    <col min="12817" max="13056" width="9.140625" style="65"/>
    <col min="13057" max="13057" width="3.140625" style="65" customWidth="1"/>
    <col min="13058" max="13058" width="19.85546875" style="65" customWidth="1"/>
    <col min="13059" max="13061" width="22.5703125" style="65" customWidth="1"/>
    <col min="13062" max="13062" width="28.140625" style="65" customWidth="1"/>
    <col min="13063" max="13063" width="16.85546875" style="65" customWidth="1"/>
    <col min="13064" max="13064" width="22.5703125" style="65" customWidth="1"/>
    <col min="13065" max="13065" width="19.42578125" style="65" customWidth="1"/>
    <col min="13066" max="13069" width="22.5703125" style="65" customWidth="1"/>
    <col min="13070" max="13070" width="19.42578125" style="65" customWidth="1"/>
    <col min="13071" max="13071" width="14" style="65" customWidth="1"/>
    <col min="13072" max="13072" width="21.42578125" style="65" customWidth="1"/>
    <col min="13073" max="13312" width="9.140625" style="65"/>
    <col min="13313" max="13313" width="3.140625" style="65" customWidth="1"/>
    <col min="13314" max="13314" width="19.85546875" style="65" customWidth="1"/>
    <col min="13315" max="13317" width="22.5703125" style="65" customWidth="1"/>
    <col min="13318" max="13318" width="28.140625" style="65" customWidth="1"/>
    <col min="13319" max="13319" width="16.85546875" style="65" customWidth="1"/>
    <col min="13320" max="13320" width="22.5703125" style="65" customWidth="1"/>
    <col min="13321" max="13321" width="19.42578125" style="65" customWidth="1"/>
    <col min="13322" max="13325" width="22.5703125" style="65" customWidth="1"/>
    <col min="13326" max="13326" width="19.42578125" style="65" customWidth="1"/>
    <col min="13327" max="13327" width="14" style="65" customWidth="1"/>
    <col min="13328" max="13328" width="21.42578125" style="65" customWidth="1"/>
    <col min="13329" max="13568" width="9.140625" style="65"/>
    <col min="13569" max="13569" width="3.140625" style="65" customWidth="1"/>
    <col min="13570" max="13570" width="19.85546875" style="65" customWidth="1"/>
    <col min="13571" max="13573" width="22.5703125" style="65" customWidth="1"/>
    <col min="13574" max="13574" width="28.140625" style="65" customWidth="1"/>
    <col min="13575" max="13575" width="16.85546875" style="65" customWidth="1"/>
    <col min="13576" max="13576" width="22.5703125" style="65" customWidth="1"/>
    <col min="13577" max="13577" width="19.42578125" style="65" customWidth="1"/>
    <col min="13578" max="13581" width="22.5703125" style="65" customWidth="1"/>
    <col min="13582" max="13582" width="19.42578125" style="65" customWidth="1"/>
    <col min="13583" max="13583" width="14" style="65" customWidth="1"/>
    <col min="13584" max="13584" width="21.42578125" style="65" customWidth="1"/>
    <col min="13585" max="13824" width="9.140625" style="65"/>
    <col min="13825" max="13825" width="3.140625" style="65" customWidth="1"/>
    <col min="13826" max="13826" width="19.85546875" style="65" customWidth="1"/>
    <col min="13827" max="13829" width="22.5703125" style="65" customWidth="1"/>
    <col min="13830" max="13830" width="28.140625" style="65" customWidth="1"/>
    <col min="13831" max="13831" width="16.85546875" style="65" customWidth="1"/>
    <col min="13832" max="13832" width="22.5703125" style="65" customWidth="1"/>
    <col min="13833" max="13833" width="19.42578125" style="65" customWidth="1"/>
    <col min="13834" max="13837" width="22.5703125" style="65" customWidth="1"/>
    <col min="13838" max="13838" width="19.42578125" style="65" customWidth="1"/>
    <col min="13839" max="13839" width="14" style="65" customWidth="1"/>
    <col min="13840" max="13840" width="21.42578125" style="65" customWidth="1"/>
    <col min="13841" max="14080" width="9.140625" style="65"/>
    <col min="14081" max="14081" width="3.140625" style="65" customWidth="1"/>
    <col min="14082" max="14082" width="19.85546875" style="65" customWidth="1"/>
    <col min="14083" max="14085" width="22.5703125" style="65" customWidth="1"/>
    <col min="14086" max="14086" width="28.140625" style="65" customWidth="1"/>
    <col min="14087" max="14087" width="16.85546875" style="65" customWidth="1"/>
    <col min="14088" max="14088" width="22.5703125" style="65" customWidth="1"/>
    <col min="14089" max="14089" width="19.42578125" style="65" customWidth="1"/>
    <col min="14090" max="14093" width="22.5703125" style="65" customWidth="1"/>
    <col min="14094" max="14094" width="19.42578125" style="65" customWidth="1"/>
    <col min="14095" max="14095" width="14" style="65" customWidth="1"/>
    <col min="14096" max="14096" width="21.42578125" style="65" customWidth="1"/>
    <col min="14097" max="14336" width="9.140625" style="65"/>
    <col min="14337" max="14337" width="3.140625" style="65" customWidth="1"/>
    <col min="14338" max="14338" width="19.85546875" style="65" customWidth="1"/>
    <col min="14339" max="14341" width="22.5703125" style="65" customWidth="1"/>
    <col min="14342" max="14342" width="28.140625" style="65" customWidth="1"/>
    <col min="14343" max="14343" width="16.85546875" style="65" customWidth="1"/>
    <col min="14344" max="14344" width="22.5703125" style="65" customWidth="1"/>
    <col min="14345" max="14345" width="19.42578125" style="65" customWidth="1"/>
    <col min="14346" max="14349" width="22.5703125" style="65" customWidth="1"/>
    <col min="14350" max="14350" width="19.42578125" style="65" customWidth="1"/>
    <col min="14351" max="14351" width="14" style="65" customWidth="1"/>
    <col min="14352" max="14352" width="21.42578125" style="65" customWidth="1"/>
    <col min="14353" max="14592" width="9.140625" style="65"/>
    <col min="14593" max="14593" width="3.140625" style="65" customWidth="1"/>
    <col min="14594" max="14594" width="19.85546875" style="65" customWidth="1"/>
    <col min="14595" max="14597" width="22.5703125" style="65" customWidth="1"/>
    <col min="14598" max="14598" width="28.140625" style="65" customWidth="1"/>
    <col min="14599" max="14599" width="16.85546875" style="65" customWidth="1"/>
    <col min="14600" max="14600" width="22.5703125" style="65" customWidth="1"/>
    <col min="14601" max="14601" width="19.42578125" style="65" customWidth="1"/>
    <col min="14602" max="14605" width="22.5703125" style="65" customWidth="1"/>
    <col min="14606" max="14606" width="19.42578125" style="65" customWidth="1"/>
    <col min="14607" max="14607" width="14" style="65" customWidth="1"/>
    <col min="14608" max="14608" width="21.42578125" style="65" customWidth="1"/>
    <col min="14609" max="14848" width="9.140625" style="65"/>
    <col min="14849" max="14849" width="3.140625" style="65" customWidth="1"/>
    <col min="14850" max="14850" width="19.85546875" style="65" customWidth="1"/>
    <col min="14851" max="14853" width="22.5703125" style="65" customWidth="1"/>
    <col min="14854" max="14854" width="28.140625" style="65" customWidth="1"/>
    <col min="14855" max="14855" width="16.85546875" style="65" customWidth="1"/>
    <col min="14856" max="14856" width="22.5703125" style="65" customWidth="1"/>
    <col min="14857" max="14857" width="19.42578125" style="65" customWidth="1"/>
    <col min="14858" max="14861" width="22.5703125" style="65" customWidth="1"/>
    <col min="14862" max="14862" width="19.42578125" style="65" customWidth="1"/>
    <col min="14863" max="14863" width="14" style="65" customWidth="1"/>
    <col min="14864" max="14864" width="21.42578125" style="65" customWidth="1"/>
    <col min="14865" max="15104" width="9.140625" style="65"/>
    <col min="15105" max="15105" width="3.140625" style="65" customWidth="1"/>
    <col min="15106" max="15106" width="19.85546875" style="65" customWidth="1"/>
    <col min="15107" max="15109" width="22.5703125" style="65" customWidth="1"/>
    <col min="15110" max="15110" width="28.140625" style="65" customWidth="1"/>
    <col min="15111" max="15111" width="16.85546875" style="65" customWidth="1"/>
    <col min="15112" max="15112" width="22.5703125" style="65" customWidth="1"/>
    <col min="15113" max="15113" width="19.42578125" style="65" customWidth="1"/>
    <col min="15114" max="15117" width="22.5703125" style="65" customWidth="1"/>
    <col min="15118" max="15118" width="19.42578125" style="65" customWidth="1"/>
    <col min="15119" max="15119" width="14" style="65" customWidth="1"/>
    <col min="15120" max="15120" width="21.42578125" style="65" customWidth="1"/>
    <col min="15121" max="15360" width="9.140625" style="65"/>
    <col min="15361" max="15361" width="3.140625" style="65" customWidth="1"/>
    <col min="15362" max="15362" width="19.85546875" style="65" customWidth="1"/>
    <col min="15363" max="15365" width="22.5703125" style="65" customWidth="1"/>
    <col min="15366" max="15366" width="28.140625" style="65" customWidth="1"/>
    <col min="15367" max="15367" width="16.85546875" style="65" customWidth="1"/>
    <col min="15368" max="15368" width="22.5703125" style="65" customWidth="1"/>
    <col min="15369" max="15369" width="19.42578125" style="65" customWidth="1"/>
    <col min="15370" max="15373" width="22.5703125" style="65" customWidth="1"/>
    <col min="15374" max="15374" width="19.42578125" style="65" customWidth="1"/>
    <col min="15375" max="15375" width="14" style="65" customWidth="1"/>
    <col min="15376" max="15376" width="21.42578125" style="65" customWidth="1"/>
    <col min="15377" max="15616" width="9.140625" style="65"/>
    <col min="15617" max="15617" width="3.140625" style="65" customWidth="1"/>
    <col min="15618" max="15618" width="19.85546875" style="65" customWidth="1"/>
    <col min="15619" max="15621" width="22.5703125" style="65" customWidth="1"/>
    <col min="15622" max="15622" width="28.140625" style="65" customWidth="1"/>
    <col min="15623" max="15623" width="16.85546875" style="65" customWidth="1"/>
    <col min="15624" max="15624" width="22.5703125" style="65" customWidth="1"/>
    <col min="15625" max="15625" width="19.42578125" style="65" customWidth="1"/>
    <col min="15626" max="15629" width="22.5703125" style="65" customWidth="1"/>
    <col min="15630" max="15630" width="19.42578125" style="65" customWidth="1"/>
    <col min="15631" max="15631" width="14" style="65" customWidth="1"/>
    <col min="15632" max="15632" width="21.42578125" style="65" customWidth="1"/>
    <col min="15633" max="15872" width="9.140625" style="65"/>
    <col min="15873" max="15873" width="3.140625" style="65" customWidth="1"/>
    <col min="15874" max="15874" width="19.85546875" style="65" customWidth="1"/>
    <col min="15875" max="15877" width="22.5703125" style="65" customWidth="1"/>
    <col min="15878" max="15878" width="28.140625" style="65" customWidth="1"/>
    <col min="15879" max="15879" width="16.85546875" style="65" customWidth="1"/>
    <col min="15880" max="15880" width="22.5703125" style="65" customWidth="1"/>
    <col min="15881" max="15881" width="19.42578125" style="65" customWidth="1"/>
    <col min="15882" max="15885" width="22.5703125" style="65" customWidth="1"/>
    <col min="15886" max="15886" width="19.42578125" style="65" customWidth="1"/>
    <col min="15887" max="15887" width="14" style="65" customWidth="1"/>
    <col min="15888" max="15888" width="21.42578125" style="65" customWidth="1"/>
    <col min="15889" max="16128" width="9.140625" style="65"/>
    <col min="16129" max="16129" width="3.140625" style="65" customWidth="1"/>
    <col min="16130" max="16130" width="19.85546875" style="65" customWidth="1"/>
    <col min="16131" max="16133" width="22.5703125" style="65" customWidth="1"/>
    <col min="16134" max="16134" width="28.140625" style="65" customWidth="1"/>
    <col min="16135" max="16135" width="16.85546875" style="65" customWidth="1"/>
    <col min="16136" max="16136" width="22.5703125" style="65" customWidth="1"/>
    <col min="16137" max="16137" width="19.42578125" style="65" customWidth="1"/>
    <col min="16138" max="16141" width="22.5703125" style="65" customWidth="1"/>
    <col min="16142" max="16142" width="19.42578125" style="65" customWidth="1"/>
    <col min="16143" max="16143" width="14" style="65" customWidth="1"/>
    <col min="16144" max="16144" width="21.42578125" style="65" customWidth="1"/>
    <col min="16145" max="16384" width="9.140625" style="65"/>
  </cols>
  <sheetData>
    <row r="1" spans="1:16" ht="28.5" x14ac:dyDescent="0.25">
      <c r="B1" s="26" t="s">
        <v>105</v>
      </c>
      <c r="C1" s="67">
        <v>43586</v>
      </c>
    </row>
    <row r="2" spans="1:16" ht="28.5" x14ac:dyDescent="0.25">
      <c r="B2" s="26" t="s">
        <v>106</v>
      </c>
      <c r="C2" s="67">
        <v>44196</v>
      </c>
    </row>
    <row r="4" spans="1:16" ht="59.25" customHeight="1" x14ac:dyDescent="0.25">
      <c r="B4" s="26" t="s">
        <v>107</v>
      </c>
      <c r="C4" s="26" t="s">
        <v>108</v>
      </c>
      <c r="D4" s="26" t="s">
        <v>109</v>
      </c>
      <c r="E4" s="26" t="s">
        <v>110</v>
      </c>
      <c r="F4" s="26" t="s">
        <v>111</v>
      </c>
      <c r="G4" s="26" t="s">
        <v>112</v>
      </c>
      <c r="H4" s="26" t="s">
        <v>113</v>
      </c>
      <c r="I4" s="26" t="s">
        <v>114</v>
      </c>
      <c r="J4" s="26" t="s">
        <v>115</v>
      </c>
      <c r="K4" s="26" t="s">
        <v>116</v>
      </c>
      <c r="L4" s="26" t="s">
        <v>117</v>
      </c>
      <c r="M4" s="26" t="s">
        <v>118</v>
      </c>
      <c r="N4" s="26" t="s">
        <v>119</v>
      </c>
      <c r="O4" s="26" t="s">
        <v>120</v>
      </c>
      <c r="P4" s="26" t="s">
        <v>121</v>
      </c>
    </row>
    <row r="5" spans="1:16" x14ac:dyDescent="0.25">
      <c r="B5" s="14">
        <v>1</v>
      </c>
      <c r="C5" s="67">
        <v>43484</v>
      </c>
      <c r="D5" s="67">
        <f t="shared" ref="D5:D29" si="0">IF(C5="","",$C$1)</f>
        <v>43586</v>
      </c>
      <c r="E5" s="14">
        <f>(F5-C5)+1</f>
        <v>116</v>
      </c>
      <c r="F5" s="67">
        <v>43599</v>
      </c>
      <c r="G5" s="45">
        <f t="shared" ref="G5:G29" si="1">IF(F5="","",YEAR(F5))</f>
        <v>2019</v>
      </c>
      <c r="H5" s="14">
        <v>189</v>
      </c>
      <c r="I5" s="14" t="s">
        <v>24</v>
      </c>
      <c r="J5" s="68">
        <f>((((D5-C5)+1)*0.913)+21.78)</f>
        <v>115.819</v>
      </c>
      <c r="K5" s="14">
        <v>25140</v>
      </c>
      <c r="L5" s="68">
        <v>133.02000000000001</v>
      </c>
      <c r="M5" s="38">
        <f t="shared" ref="M5:M29" si="2">IF(J5="","",AVERAGE(J5,L5))</f>
        <v>124.4195</v>
      </c>
      <c r="N5" s="14">
        <f>IF(F5="","",F5-LARGE(C5:D5,1))+1</f>
        <v>14</v>
      </c>
      <c r="O5" s="14">
        <f t="shared" ref="O5:O29" si="3">IF(N5="","",H5*N5)</f>
        <v>2646</v>
      </c>
      <c r="P5" s="14">
        <f t="shared" ref="P5:P29" si="4">IF(M5="","",H5*M5)</f>
        <v>23515.285499999998</v>
      </c>
    </row>
    <row r="6" spans="1:16" x14ac:dyDescent="0.25">
      <c r="B6" s="14">
        <v>2</v>
      </c>
      <c r="C6" s="67">
        <v>43484</v>
      </c>
      <c r="D6" s="67">
        <f t="shared" si="0"/>
        <v>43586</v>
      </c>
      <c r="E6" s="14">
        <f t="shared" ref="E6:E29" si="5">(F6-C6)+1</f>
        <v>117</v>
      </c>
      <c r="F6" s="67">
        <v>43600</v>
      </c>
      <c r="G6" s="45">
        <f t="shared" si="1"/>
        <v>2019</v>
      </c>
      <c r="H6" s="14">
        <v>240</v>
      </c>
      <c r="I6" s="14" t="s">
        <v>24</v>
      </c>
      <c r="J6" s="68">
        <f>((((D6-C6)+1)*0.913)+21.78)</f>
        <v>115.819</v>
      </c>
      <c r="K6" s="14">
        <v>30540</v>
      </c>
      <c r="L6" s="68">
        <v>127.25</v>
      </c>
      <c r="M6" s="38">
        <f t="shared" si="2"/>
        <v>121.53450000000001</v>
      </c>
      <c r="N6" s="14">
        <f t="shared" ref="N6:N29" si="6">IF(F6="","",F6-LARGE(C6:D6,1))+1</f>
        <v>15</v>
      </c>
      <c r="O6" s="14">
        <f t="shared" si="3"/>
        <v>3600</v>
      </c>
      <c r="P6" s="14">
        <f t="shared" si="4"/>
        <v>29168.280000000002</v>
      </c>
    </row>
    <row r="7" spans="1:16" x14ac:dyDescent="0.25">
      <c r="B7" s="14">
        <v>3</v>
      </c>
      <c r="C7" s="67">
        <v>43484</v>
      </c>
      <c r="D7" s="67">
        <f t="shared" si="0"/>
        <v>43586</v>
      </c>
      <c r="E7" s="14">
        <f t="shared" si="5"/>
        <v>132</v>
      </c>
      <c r="F7" s="67">
        <v>43615</v>
      </c>
      <c r="G7" s="45">
        <f t="shared" si="1"/>
        <v>2019</v>
      </c>
      <c r="H7" s="14">
        <v>912</v>
      </c>
      <c r="I7" s="14" t="s">
        <v>24</v>
      </c>
      <c r="J7" s="68">
        <f>((((D7-C7)+1)*0.913)+21.78)</f>
        <v>115.819</v>
      </c>
      <c r="K7" s="14">
        <v>120394</v>
      </c>
      <c r="L7" s="68">
        <v>132.01</v>
      </c>
      <c r="M7" s="38">
        <f t="shared" si="2"/>
        <v>123.9145</v>
      </c>
      <c r="N7" s="14">
        <f t="shared" si="6"/>
        <v>30</v>
      </c>
      <c r="O7" s="14">
        <f t="shared" si="3"/>
        <v>27360</v>
      </c>
      <c r="P7" s="14">
        <f t="shared" si="4"/>
        <v>113010.024</v>
      </c>
    </row>
    <row r="8" spans="1:16" x14ac:dyDescent="0.25">
      <c r="B8" s="14">
        <v>4</v>
      </c>
      <c r="C8" s="67">
        <v>43484</v>
      </c>
      <c r="D8" s="67">
        <f t="shared" si="0"/>
        <v>43586</v>
      </c>
      <c r="E8" s="14">
        <f t="shared" si="5"/>
        <v>119</v>
      </c>
      <c r="F8" s="67">
        <v>43602</v>
      </c>
      <c r="G8" s="45">
        <f t="shared" si="1"/>
        <v>2019</v>
      </c>
      <c r="H8" s="14">
        <v>49</v>
      </c>
      <c r="I8" s="14" t="s">
        <v>28</v>
      </c>
      <c r="J8" s="68">
        <f>((((D8-C8)+1)*0.913)+21.78)</f>
        <v>115.819</v>
      </c>
      <c r="K8" s="14">
        <v>6020</v>
      </c>
      <c r="L8" s="68">
        <v>122.86</v>
      </c>
      <c r="M8" s="38">
        <f t="shared" si="2"/>
        <v>119.3395</v>
      </c>
      <c r="N8" s="14">
        <f>IF(F8="","",F8-LARGE(C8:D8,1))+1</f>
        <v>17</v>
      </c>
      <c r="O8" s="14">
        <f t="shared" si="3"/>
        <v>833</v>
      </c>
      <c r="P8" s="14">
        <f t="shared" si="4"/>
        <v>5847.6355000000003</v>
      </c>
    </row>
    <row r="9" spans="1:16" x14ac:dyDescent="0.25">
      <c r="B9" s="14">
        <v>5</v>
      </c>
      <c r="C9" s="67">
        <v>43484</v>
      </c>
      <c r="D9" s="67">
        <f t="shared" si="0"/>
        <v>43586</v>
      </c>
      <c r="E9" s="14">
        <f t="shared" si="5"/>
        <v>120</v>
      </c>
      <c r="F9" s="67">
        <v>43603</v>
      </c>
      <c r="G9" s="45">
        <f t="shared" si="1"/>
        <v>2019</v>
      </c>
      <c r="H9" s="14">
        <v>160</v>
      </c>
      <c r="I9" s="14" t="s">
        <v>28</v>
      </c>
      <c r="J9" s="68">
        <f>((((D9-C9)+1)*0.913)+21.78)</f>
        <v>115.819</v>
      </c>
      <c r="K9" s="14">
        <v>20120</v>
      </c>
      <c r="L9" s="68">
        <v>125.75</v>
      </c>
      <c r="M9" s="38">
        <f t="shared" si="2"/>
        <v>120.78450000000001</v>
      </c>
      <c r="N9" s="14">
        <f>IF(F9="","",F9-LARGE(C9:D9,1))+1</f>
        <v>18</v>
      </c>
      <c r="O9" s="14">
        <f t="shared" si="3"/>
        <v>2880</v>
      </c>
      <c r="P9" s="14">
        <f t="shared" si="4"/>
        <v>19325.52</v>
      </c>
    </row>
    <row r="10" spans="1:16" x14ac:dyDescent="0.25">
      <c r="B10" s="14">
        <v>6</v>
      </c>
      <c r="C10" s="67">
        <v>43656</v>
      </c>
      <c r="D10" s="67">
        <f t="shared" si="0"/>
        <v>43586</v>
      </c>
      <c r="E10" s="14">
        <f t="shared" si="5"/>
        <v>131</v>
      </c>
      <c r="F10" s="67">
        <v>43786</v>
      </c>
      <c r="G10" s="45">
        <f t="shared" si="1"/>
        <v>2019</v>
      </c>
      <c r="H10" s="14">
        <v>70</v>
      </c>
      <c r="I10" s="14" t="s">
        <v>24</v>
      </c>
      <c r="J10" s="68">
        <v>23.05</v>
      </c>
      <c r="K10" s="14">
        <v>9370</v>
      </c>
      <c r="L10" s="68">
        <v>133.86000000000001</v>
      </c>
      <c r="M10" s="38">
        <f t="shared" si="2"/>
        <v>78.455000000000013</v>
      </c>
      <c r="N10" s="14">
        <f t="shared" si="6"/>
        <v>131</v>
      </c>
      <c r="O10" s="14">
        <f t="shared" si="3"/>
        <v>9170</v>
      </c>
      <c r="P10" s="14">
        <f t="shared" si="4"/>
        <v>5491.8500000000013</v>
      </c>
    </row>
    <row r="11" spans="1:16" x14ac:dyDescent="0.25">
      <c r="A11" s="136"/>
      <c r="B11" s="14">
        <v>7</v>
      </c>
      <c r="C11" s="67">
        <v>43656</v>
      </c>
      <c r="D11" s="67">
        <f t="shared" si="0"/>
        <v>43586</v>
      </c>
      <c r="E11" s="14">
        <f t="shared" si="5"/>
        <v>131</v>
      </c>
      <c r="F11" s="67">
        <v>43786</v>
      </c>
      <c r="G11" s="45">
        <f t="shared" si="1"/>
        <v>2019</v>
      </c>
      <c r="H11" s="14">
        <f>70*2</f>
        <v>140</v>
      </c>
      <c r="I11" s="14" t="s">
        <v>24</v>
      </c>
      <c r="J11" s="68">
        <v>23.05</v>
      </c>
      <c r="K11" s="14">
        <f>9720*2</f>
        <v>19440</v>
      </c>
      <c r="L11" s="68">
        <v>138.86000000000001</v>
      </c>
      <c r="M11" s="38">
        <f t="shared" si="2"/>
        <v>80.955000000000013</v>
      </c>
      <c r="N11" s="14">
        <f t="shared" si="6"/>
        <v>131</v>
      </c>
      <c r="O11" s="14">
        <f t="shared" si="3"/>
        <v>18340</v>
      </c>
      <c r="P11" s="14">
        <f t="shared" si="4"/>
        <v>11333.700000000003</v>
      </c>
    </row>
    <row r="12" spans="1:16" x14ac:dyDescent="0.25">
      <c r="B12" s="14">
        <v>8</v>
      </c>
      <c r="C12" s="67">
        <v>43656</v>
      </c>
      <c r="D12" s="67">
        <f t="shared" si="0"/>
        <v>43586</v>
      </c>
      <c r="E12" s="14">
        <f t="shared" si="5"/>
        <v>131</v>
      </c>
      <c r="F12" s="67">
        <v>43786</v>
      </c>
      <c r="G12" s="45">
        <f t="shared" si="1"/>
        <v>2019</v>
      </c>
      <c r="H12" s="14">
        <v>80</v>
      </c>
      <c r="I12" s="14" t="s">
        <v>24</v>
      </c>
      <c r="J12" s="68">
        <v>23.05</v>
      </c>
      <c r="K12" s="144">
        <v>11330</v>
      </c>
      <c r="L12" s="68">
        <v>141.63</v>
      </c>
      <c r="M12" s="38">
        <f t="shared" si="2"/>
        <v>82.34</v>
      </c>
      <c r="N12" s="14">
        <f t="shared" si="6"/>
        <v>131</v>
      </c>
      <c r="O12" s="14">
        <f t="shared" si="3"/>
        <v>10480</v>
      </c>
      <c r="P12" s="14">
        <f t="shared" si="4"/>
        <v>6587.2000000000007</v>
      </c>
    </row>
    <row r="13" spans="1:16" x14ac:dyDescent="0.25">
      <c r="B13" s="14">
        <v>9</v>
      </c>
      <c r="C13" s="67">
        <v>43656</v>
      </c>
      <c r="D13" s="67">
        <f t="shared" si="0"/>
        <v>43586</v>
      </c>
      <c r="E13" s="14">
        <f t="shared" si="5"/>
        <v>131</v>
      </c>
      <c r="F13" s="67">
        <v>43786</v>
      </c>
      <c r="G13" s="45">
        <f t="shared" si="1"/>
        <v>2019</v>
      </c>
      <c r="H13" s="14">
        <v>80</v>
      </c>
      <c r="I13" s="14" t="s">
        <v>24</v>
      </c>
      <c r="J13" s="68">
        <v>23.05</v>
      </c>
      <c r="K13" s="14">
        <v>10880</v>
      </c>
      <c r="L13" s="68">
        <v>136</v>
      </c>
      <c r="M13" s="38">
        <f t="shared" si="2"/>
        <v>79.525000000000006</v>
      </c>
      <c r="N13" s="14">
        <f t="shared" si="6"/>
        <v>131</v>
      </c>
      <c r="O13" s="14">
        <f t="shared" si="3"/>
        <v>10480</v>
      </c>
      <c r="P13" s="14">
        <f t="shared" si="4"/>
        <v>6362</v>
      </c>
    </row>
    <row r="14" spans="1:16" x14ac:dyDescent="0.25">
      <c r="B14" s="14">
        <v>10</v>
      </c>
      <c r="C14" s="67">
        <v>43656</v>
      </c>
      <c r="D14" s="67">
        <f t="shared" si="0"/>
        <v>43586</v>
      </c>
      <c r="E14" s="14">
        <f t="shared" si="5"/>
        <v>131</v>
      </c>
      <c r="F14" s="67">
        <v>43786</v>
      </c>
      <c r="G14" s="45">
        <f t="shared" si="1"/>
        <v>2019</v>
      </c>
      <c r="H14" s="14">
        <v>80</v>
      </c>
      <c r="I14" s="14" t="s">
        <v>24</v>
      </c>
      <c r="J14" s="68">
        <v>23.05</v>
      </c>
      <c r="K14" s="14">
        <v>10680</v>
      </c>
      <c r="L14" s="68">
        <v>133.5</v>
      </c>
      <c r="M14" s="38">
        <f t="shared" si="2"/>
        <v>78.275000000000006</v>
      </c>
      <c r="N14" s="14">
        <f t="shared" si="6"/>
        <v>131</v>
      </c>
      <c r="O14" s="14">
        <f t="shared" si="3"/>
        <v>10480</v>
      </c>
      <c r="P14" s="14">
        <f t="shared" si="4"/>
        <v>6262</v>
      </c>
    </row>
    <row r="15" spans="1:16" x14ac:dyDescent="0.25">
      <c r="B15" s="14">
        <v>11</v>
      </c>
      <c r="C15" s="67">
        <v>43656</v>
      </c>
      <c r="D15" s="67">
        <f t="shared" si="0"/>
        <v>43586</v>
      </c>
      <c r="E15" s="14">
        <f t="shared" si="5"/>
        <v>131</v>
      </c>
      <c r="F15" s="67">
        <v>43786</v>
      </c>
      <c r="G15" s="45">
        <f t="shared" si="1"/>
        <v>2019</v>
      </c>
      <c r="H15" s="14">
        <v>40</v>
      </c>
      <c r="I15" s="14" t="s">
        <v>24</v>
      </c>
      <c r="J15" s="68">
        <v>23.05</v>
      </c>
      <c r="K15" s="14">
        <f>(11250*H15)/80</f>
        <v>5625</v>
      </c>
      <c r="L15" s="68">
        <v>140.63</v>
      </c>
      <c r="M15" s="38">
        <f t="shared" si="2"/>
        <v>81.84</v>
      </c>
      <c r="N15" s="14">
        <f t="shared" si="6"/>
        <v>131</v>
      </c>
      <c r="O15" s="14">
        <f t="shared" si="3"/>
        <v>5240</v>
      </c>
      <c r="P15" s="14">
        <f t="shared" si="4"/>
        <v>3273.6000000000004</v>
      </c>
    </row>
    <row r="16" spans="1:16" x14ac:dyDescent="0.25">
      <c r="B16" s="14">
        <v>12</v>
      </c>
      <c r="C16" s="67">
        <v>43662</v>
      </c>
      <c r="D16" s="67">
        <f t="shared" si="0"/>
        <v>43586</v>
      </c>
      <c r="E16" s="14">
        <f t="shared" si="5"/>
        <v>125</v>
      </c>
      <c r="F16" s="67">
        <v>43786</v>
      </c>
      <c r="G16" s="45">
        <f t="shared" si="1"/>
        <v>2019</v>
      </c>
      <c r="H16" s="14">
        <v>40</v>
      </c>
      <c r="I16" s="14" t="s">
        <v>24</v>
      </c>
      <c r="J16" s="38">
        <v>21.86</v>
      </c>
      <c r="K16" s="14">
        <f>(11250*H16)/80</f>
        <v>5625</v>
      </c>
      <c r="L16" s="68">
        <v>140.63</v>
      </c>
      <c r="M16" s="38">
        <f t="shared" si="2"/>
        <v>81.245000000000005</v>
      </c>
      <c r="N16" s="14">
        <f t="shared" si="6"/>
        <v>125</v>
      </c>
      <c r="O16" s="14">
        <f t="shared" si="3"/>
        <v>5000</v>
      </c>
      <c r="P16" s="14">
        <f t="shared" si="4"/>
        <v>3249.8</v>
      </c>
    </row>
    <row r="17" spans="2:16" x14ac:dyDescent="0.25">
      <c r="B17" s="14">
        <v>13</v>
      </c>
      <c r="C17" s="67">
        <v>43662</v>
      </c>
      <c r="D17" s="67">
        <f t="shared" si="0"/>
        <v>43586</v>
      </c>
      <c r="E17" s="14">
        <f t="shared" si="5"/>
        <v>125</v>
      </c>
      <c r="F17" s="67">
        <v>43786</v>
      </c>
      <c r="G17" s="45">
        <f t="shared" si="1"/>
        <v>2019</v>
      </c>
      <c r="H17" s="14">
        <v>80</v>
      </c>
      <c r="I17" s="14" t="s">
        <v>24</v>
      </c>
      <c r="J17" s="38">
        <v>21.86</v>
      </c>
      <c r="K17" s="14">
        <v>11150</v>
      </c>
      <c r="L17" s="68">
        <v>139.38</v>
      </c>
      <c r="M17" s="38">
        <f t="shared" si="2"/>
        <v>80.62</v>
      </c>
      <c r="N17" s="14">
        <f t="shared" si="6"/>
        <v>125</v>
      </c>
      <c r="O17" s="14">
        <f t="shared" si="3"/>
        <v>10000</v>
      </c>
      <c r="P17" s="14">
        <f t="shared" si="4"/>
        <v>6449.6</v>
      </c>
    </row>
    <row r="18" spans="2:16" x14ac:dyDescent="0.25">
      <c r="B18" s="14">
        <v>14</v>
      </c>
      <c r="C18" s="67">
        <v>43662</v>
      </c>
      <c r="D18" s="67">
        <f t="shared" si="0"/>
        <v>43586</v>
      </c>
      <c r="E18" s="14">
        <f t="shared" si="5"/>
        <v>127</v>
      </c>
      <c r="F18" s="67">
        <v>43788</v>
      </c>
      <c r="G18" s="45">
        <f t="shared" si="1"/>
        <v>2019</v>
      </c>
      <c r="H18" s="14">
        <v>144</v>
      </c>
      <c r="I18" s="14" t="s">
        <v>24</v>
      </c>
      <c r="J18" s="38">
        <v>21.86</v>
      </c>
      <c r="K18" s="14">
        <v>18214</v>
      </c>
      <c r="L18" s="68">
        <v>126.49</v>
      </c>
      <c r="M18" s="38">
        <f t="shared" si="2"/>
        <v>74.174999999999997</v>
      </c>
      <c r="N18" s="14">
        <f t="shared" si="6"/>
        <v>127</v>
      </c>
      <c r="O18" s="14">
        <f t="shared" si="3"/>
        <v>18288</v>
      </c>
      <c r="P18" s="14">
        <f t="shared" si="4"/>
        <v>10681.199999999999</v>
      </c>
    </row>
    <row r="19" spans="2:16" x14ac:dyDescent="0.25">
      <c r="B19" s="14">
        <v>15</v>
      </c>
      <c r="C19" s="67">
        <v>43662</v>
      </c>
      <c r="D19" s="67">
        <f t="shared" si="0"/>
        <v>43586</v>
      </c>
      <c r="E19" s="14">
        <f t="shared" si="5"/>
        <v>132</v>
      </c>
      <c r="F19" s="67">
        <v>43793</v>
      </c>
      <c r="G19" s="45">
        <f t="shared" si="1"/>
        <v>2019</v>
      </c>
      <c r="H19" s="14">
        <v>107</v>
      </c>
      <c r="I19" s="14" t="s">
        <v>24</v>
      </c>
      <c r="J19" s="38">
        <v>21.86</v>
      </c>
      <c r="K19" s="14">
        <v>14280</v>
      </c>
      <c r="L19" s="68">
        <v>133.46</v>
      </c>
      <c r="M19" s="38">
        <f t="shared" si="2"/>
        <v>77.66</v>
      </c>
      <c r="N19" s="14">
        <f t="shared" si="6"/>
        <v>132</v>
      </c>
      <c r="O19" s="14">
        <f t="shared" si="3"/>
        <v>14124</v>
      </c>
      <c r="P19" s="14">
        <f t="shared" si="4"/>
        <v>8309.619999999999</v>
      </c>
    </row>
    <row r="20" spans="2:16" x14ac:dyDescent="0.25">
      <c r="B20" s="14">
        <v>16</v>
      </c>
      <c r="C20" s="67">
        <v>43662</v>
      </c>
      <c r="D20" s="67">
        <f t="shared" si="0"/>
        <v>43586</v>
      </c>
      <c r="E20" s="14">
        <f t="shared" si="5"/>
        <v>132</v>
      </c>
      <c r="F20" s="67">
        <v>43793</v>
      </c>
      <c r="G20" s="45">
        <f t="shared" si="1"/>
        <v>2019</v>
      </c>
      <c r="H20" s="14">
        <v>210</v>
      </c>
      <c r="I20" s="14" t="s">
        <v>24</v>
      </c>
      <c r="J20" s="38">
        <v>21.86</v>
      </c>
      <c r="K20" s="14">
        <v>27080</v>
      </c>
      <c r="L20" s="68">
        <v>128.94999999999999</v>
      </c>
      <c r="M20" s="38">
        <f t="shared" si="2"/>
        <v>75.405000000000001</v>
      </c>
      <c r="N20" s="14">
        <f t="shared" si="6"/>
        <v>132</v>
      </c>
      <c r="O20" s="14">
        <f t="shared" si="3"/>
        <v>27720</v>
      </c>
      <c r="P20" s="14">
        <f t="shared" si="4"/>
        <v>15835.050000000001</v>
      </c>
    </row>
    <row r="21" spans="2:16" x14ac:dyDescent="0.25">
      <c r="B21" s="14">
        <v>17</v>
      </c>
      <c r="C21" s="67">
        <v>43662</v>
      </c>
      <c r="D21" s="67">
        <f t="shared" si="0"/>
        <v>43586</v>
      </c>
      <c r="E21" s="14">
        <f t="shared" si="5"/>
        <v>134</v>
      </c>
      <c r="F21" s="67">
        <v>43795</v>
      </c>
      <c r="G21" s="45">
        <f t="shared" si="1"/>
        <v>2019</v>
      </c>
      <c r="H21" s="14">
        <f>210-193</f>
        <v>17</v>
      </c>
      <c r="I21" s="14" t="s">
        <v>24</v>
      </c>
      <c r="J21" s="38">
        <v>21.86</v>
      </c>
      <c r="K21" s="14">
        <f>(27810*H21)/210</f>
        <v>2251.2857142857142</v>
      </c>
      <c r="L21" s="68">
        <v>132.43</v>
      </c>
      <c r="M21" s="38">
        <f t="shared" si="2"/>
        <v>77.14500000000001</v>
      </c>
      <c r="N21" s="14">
        <f t="shared" si="6"/>
        <v>134</v>
      </c>
      <c r="O21" s="14">
        <f t="shared" si="3"/>
        <v>2278</v>
      </c>
      <c r="P21" s="14">
        <f t="shared" si="4"/>
        <v>1311.4650000000001</v>
      </c>
    </row>
    <row r="22" spans="2:16" x14ac:dyDescent="0.25">
      <c r="B22" s="14">
        <v>18</v>
      </c>
      <c r="C22" s="67">
        <v>43663</v>
      </c>
      <c r="D22" s="67">
        <f t="shared" si="0"/>
        <v>43586</v>
      </c>
      <c r="E22" s="14">
        <f t="shared" si="5"/>
        <v>133</v>
      </c>
      <c r="F22" s="67">
        <v>43795</v>
      </c>
      <c r="G22" s="45">
        <f t="shared" si="1"/>
        <v>2019</v>
      </c>
      <c r="H22" s="14">
        <f>210-17</f>
        <v>193</v>
      </c>
      <c r="I22" s="14" t="s">
        <v>24</v>
      </c>
      <c r="J22" s="38">
        <v>22.56</v>
      </c>
      <c r="K22" s="14">
        <f>(27810*H22)/210</f>
        <v>25558.714285714286</v>
      </c>
      <c r="L22" s="68">
        <v>132.43</v>
      </c>
      <c r="M22" s="38">
        <f t="shared" si="2"/>
        <v>77.495000000000005</v>
      </c>
      <c r="N22" s="14">
        <f t="shared" si="6"/>
        <v>133</v>
      </c>
      <c r="O22" s="14">
        <f t="shared" si="3"/>
        <v>25669</v>
      </c>
      <c r="P22" s="14">
        <f t="shared" si="4"/>
        <v>14956.535000000002</v>
      </c>
    </row>
    <row r="23" spans="2:16" x14ac:dyDescent="0.25">
      <c r="B23" s="14">
        <v>19</v>
      </c>
      <c r="C23" s="67">
        <v>43663</v>
      </c>
      <c r="D23" s="67">
        <f t="shared" si="0"/>
        <v>43586</v>
      </c>
      <c r="E23" s="14">
        <f t="shared" si="5"/>
        <v>135</v>
      </c>
      <c r="F23" s="67">
        <v>43797</v>
      </c>
      <c r="G23" s="45">
        <f t="shared" si="1"/>
        <v>2019</v>
      </c>
      <c r="H23" s="14">
        <f>218-166</f>
        <v>52</v>
      </c>
      <c r="I23" s="14" t="s">
        <v>24</v>
      </c>
      <c r="J23" s="38">
        <v>22.56</v>
      </c>
      <c r="K23" s="14">
        <f>(28020*H23)/218</f>
        <v>6683.6697247706425</v>
      </c>
      <c r="L23" s="68">
        <v>128.53</v>
      </c>
      <c r="M23" s="38">
        <f t="shared" si="2"/>
        <v>75.545000000000002</v>
      </c>
      <c r="N23" s="14">
        <f t="shared" si="6"/>
        <v>135</v>
      </c>
      <c r="O23" s="14">
        <f t="shared" si="3"/>
        <v>7020</v>
      </c>
      <c r="P23" s="14">
        <f t="shared" si="4"/>
        <v>3928.34</v>
      </c>
    </row>
    <row r="24" spans="2:16" x14ac:dyDescent="0.25">
      <c r="B24" s="14">
        <v>20</v>
      </c>
      <c r="C24" s="67">
        <v>43663</v>
      </c>
      <c r="D24" s="67">
        <f t="shared" si="0"/>
        <v>43586</v>
      </c>
      <c r="E24" s="14">
        <f t="shared" si="5"/>
        <v>135</v>
      </c>
      <c r="F24" s="67">
        <v>43797</v>
      </c>
      <c r="G24" s="45">
        <f t="shared" si="1"/>
        <v>2019</v>
      </c>
      <c r="H24" s="14">
        <f>218-189</f>
        <v>29</v>
      </c>
      <c r="I24" s="14" t="s">
        <v>24</v>
      </c>
      <c r="J24" s="38">
        <v>20.149999999999999</v>
      </c>
      <c r="K24" s="14">
        <f>(28020*H24)/218</f>
        <v>3727.4311926605506</v>
      </c>
      <c r="L24" s="68">
        <v>128.53</v>
      </c>
      <c r="M24" s="38">
        <f t="shared" si="2"/>
        <v>74.34</v>
      </c>
      <c r="N24" s="14">
        <f t="shared" si="6"/>
        <v>135</v>
      </c>
      <c r="O24" s="14">
        <f t="shared" si="3"/>
        <v>3915</v>
      </c>
      <c r="P24" s="14">
        <f t="shared" si="4"/>
        <v>2155.86</v>
      </c>
    </row>
    <row r="25" spans="2:16" x14ac:dyDescent="0.25">
      <c r="B25" s="14">
        <v>21</v>
      </c>
      <c r="C25" s="67">
        <v>43668</v>
      </c>
      <c r="D25" s="67">
        <f t="shared" si="0"/>
        <v>43586</v>
      </c>
      <c r="E25" s="14">
        <f t="shared" si="5"/>
        <v>130</v>
      </c>
      <c r="F25" s="67">
        <v>43797</v>
      </c>
      <c r="G25" s="45">
        <f t="shared" si="1"/>
        <v>2019</v>
      </c>
      <c r="H25" s="14">
        <f>218-81</f>
        <v>137</v>
      </c>
      <c r="I25" s="14" t="s">
        <v>24</v>
      </c>
      <c r="J25" s="38">
        <v>23.02</v>
      </c>
      <c r="K25" s="14">
        <f>(28020*H25)/218</f>
        <v>17608.899082568809</v>
      </c>
      <c r="L25" s="68">
        <v>128.53</v>
      </c>
      <c r="M25" s="38">
        <f t="shared" si="2"/>
        <v>75.775000000000006</v>
      </c>
      <c r="N25" s="14">
        <f t="shared" si="6"/>
        <v>130</v>
      </c>
      <c r="O25" s="14">
        <f t="shared" si="3"/>
        <v>17810</v>
      </c>
      <c r="P25" s="14">
        <f t="shared" si="4"/>
        <v>10381.175000000001</v>
      </c>
    </row>
    <row r="26" spans="2:16" x14ac:dyDescent="0.25">
      <c r="B26" s="14">
        <v>22</v>
      </c>
      <c r="C26" s="67">
        <v>43668</v>
      </c>
      <c r="D26" s="67">
        <f t="shared" si="0"/>
        <v>43586</v>
      </c>
      <c r="E26" s="14">
        <f t="shared" si="5"/>
        <v>131</v>
      </c>
      <c r="F26" s="67">
        <v>43798</v>
      </c>
      <c r="G26" s="45">
        <f t="shared" si="1"/>
        <v>2019</v>
      </c>
      <c r="H26" s="14">
        <v>69</v>
      </c>
      <c r="I26" s="14" t="s">
        <v>24</v>
      </c>
      <c r="J26" s="38">
        <v>23.02</v>
      </c>
      <c r="K26" s="14">
        <v>8250</v>
      </c>
      <c r="L26" s="68">
        <v>119.57</v>
      </c>
      <c r="M26" s="38">
        <f t="shared" si="2"/>
        <v>71.295000000000002</v>
      </c>
      <c r="N26" s="14">
        <f t="shared" si="6"/>
        <v>131</v>
      </c>
      <c r="O26" s="14">
        <f t="shared" si="3"/>
        <v>9039</v>
      </c>
      <c r="P26" s="14">
        <f t="shared" si="4"/>
        <v>4919.3550000000005</v>
      </c>
    </row>
    <row r="27" spans="2:16" x14ac:dyDescent="0.25">
      <c r="B27" s="14">
        <v>23</v>
      </c>
      <c r="C27" s="67">
        <v>43836</v>
      </c>
      <c r="D27" s="67">
        <f t="shared" si="0"/>
        <v>43586</v>
      </c>
      <c r="E27" s="14">
        <f>(F27-C27)+1</f>
        <v>144</v>
      </c>
      <c r="F27" s="67">
        <v>43979</v>
      </c>
      <c r="G27" s="45">
        <f t="shared" si="1"/>
        <v>2020</v>
      </c>
      <c r="H27" s="14">
        <v>1560</v>
      </c>
      <c r="I27" s="14" t="s">
        <v>24</v>
      </c>
      <c r="J27" s="38">
        <v>20.440000000000001</v>
      </c>
      <c r="K27" s="14">
        <v>183660</v>
      </c>
      <c r="L27" s="68">
        <v>117.73</v>
      </c>
      <c r="M27" s="38">
        <f t="shared" si="2"/>
        <v>69.085000000000008</v>
      </c>
      <c r="N27" s="14">
        <f>IF(F27="","",F27-LARGE(C27:D27,1))+1</f>
        <v>144</v>
      </c>
      <c r="O27" s="14">
        <f t="shared" si="3"/>
        <v>224640</v>
      </c>
      <c r="P27" s="14">
        <f t="shared" si="4"/>
        <v>107772.6</v>
      </c>
    </row>
    <row r="28" spans="2:16" x14ac:dyDescent="0.25">
      <c r="B28" s="14">
        <v>24</v>
      </c>
      <c r="C28" s="67">
        <v>43955</v>
      </c>
      <c r="D28" s="67">
        <f t="shared" si="0"/>
        <v>43586</v>
      </c>
      <c r="E28" s="14">
        <f t="shared" si="5"/>
        <v>138</v>
      </c>
      <c r="F28" s="67">
        <v>44092</v>
      </c>
      <c r="G28" s="45">
        <f t="shared" si="1"/>
        <v>2020</v>
      </c>
      <c r="H28" s="14">
        <v>1577</v>
      </c>
      <c r="I28" s="14" t="s">
        <v>24</v>
      </c>
      <c r="J28" s="38">
        <v>21.66</v>
      </c>
      <c r="K28" s="14">
        <v>181660</v>
      </c>
      <c r="L28" s="68">
        <v>115.19</v>
      </c>
      <c r="M28" s="38">
        <f t="shared" si="2"/>
        <v>68.424999999999997</v>
      </c>
      <c r="N28" s="14">
        <f t="shared" si="6"/>
        <v>138</v>
      </c>
      <c r="O28" s="14">
        <f t="shared" si="3"/>
        <v>217626</v>
      </c>
      <c r="P28" s="14">
        <f t="shared" si="4"/>
        <v>107906.22499999999</v>
      </c>
    </row>
    <row r="29" spans="2:16" x14ac:dyDescent="0.25">
      <c r="B29" s="14">
        <v>25</v>
      </c>
      <c r="C29" s="67">
        <v>44130</v>
      </c>
      <c r="D29" s="67">
        <f t="shared" si="0"/>
        <v>43586</v>
      </c>
      <c r="E29" s="14">
        <f t="shared" si="5"/>
        <v>135</v>
      </c>
      <c r="F29" s="67">
        <v>44264</v>
      </c>
      <c r="G29" s="45">
        <f t="shared" si="1"/>
        <v>2021</v>
      </c>
      <c r="H29" s="14">
        <v>1536</v>
      </c>
      <c r="I29" s="14" t="s">
        <v>24</v>
      </c>
      <c r="J29" s="38">
        <v>22.52</v>
      </c>
      <c r="K29" s="14">
        <v>182570</v>
      </c>
      <c r="L29" s="68">
        <f>(118.86-(((F29-C2)+1)*0.935))</f>
        <v>54.344999999999999</v>
      </c>
      <c r="M29" s="38">
        <f t="shared" si="2"/>
        <v>38.432499999999997</v>
      </c>
      <c r="N29" s="14">
        <f t="shared" si="6"/>
        <v>135</v>
      </c>
      <c r="O29" s="14">
        <f t="shared" si="3"/>
        <v>207360</v>
      </c>
      <c r="P29" s="14">
        <f t="shared" si="4"/>
        <v>59032.319999999992</v>
      </c>
    </row>
    <row r="31" spans="2:16" x14ac:dyDescent="0.25">
      <c r="B31" s="146" t="s">
        <v>66</v>
      </c>
      <c r="C31" s="147"/>
      <c r="D31" s="147"/>
      <c r="E31" s="171"/>
    </row>
    <row r="32" spans="2:16" x14ac:dyDescent="0.25">
      <c r="B32" s="21" t="s">
        <v>15</v>
      </c>
      <c r="C32" s="52" t="s">
        <v>76</v>
      </c>
      <c r="D32" s="21">
        <v>2019</v>
      </c>
      <c r="E32" s="21">
        <v>2020</v>
      </c>
      <c r="F32" s="70"/>
      <c r="G32" s="70"/>
      <c r="I32" s="71"/>
    </row>
    <row r="33" spans="2:9" x14ac:dyDescent="0.25">
      <c r="B33" s="170" t="s">
        <v>86</v>
      </c>
      <c r="C33" s="11" t="s">
        <v>26</v>
      </c>
      <c r="D33" s="45">
        <f t="shared" ref="D33:E39" si="7">SUMIFS($O$5:$O$29,$I$5:$I$29,$C33,$G$5:$G$29,D$32)/(IF(SUMIFS($H$5:$H$29,$I$5:$I$29,$C33,$G$5:$G$29,D$32)=0,1,SUMIFS($H$5:$H$29,$I$5:$I$29,$C33,$G$5:$G$29,D$32)))</f>
        <v>0</v>
      </c>
      <c r="E33" s="45">
        <f t="shared" si="7"/>
        <v>0</v>
      </c>
      <c r="F33" s="70"/>
      <c r="G33" s="70"/>
      <c r="I33" s="73"/>
    </row>
    <row r="34" spans="2:9" x14ac:dyDescent="0.25">
      <c r="B34" s="170"/>
      <c r="C34" s="11" t="s">
        <v>27</v>
      </c>
      <c r="D34" s="45">
        <f t="shared" si="7"/>
        <v>0</v>
      </c>
      <c r="E34" s="45">
        <f t="shared" si="7"/>
        <v>0</v>
      </c>
      <c r="F34" s="70"/>
      <c r="G34" s="70"/>
      <c r="I34" s="73"/>
    </row>
    <row r="35" spans="2:9" x14ac:dyDescent="0.25">
      <c r="B35" s="170"/>
      <c r="C35" s="11" t="s">
        <v>28</v>
      </c>
      <c r="D35" s="45">
        <f t="shared" si="7"/>
        <v>17.76555023923445</v>
      </c>
      <c r="E35" s="45">
        <f t="shared" si="7"/>
        <v>0</v>
      </c>
      <c r="F35" s="70"/>
      <c r="G35" s="70"/>
      <c r="I35" s="73"/>
    </row>
    <row r="36" spans="2:9" x14ac:dyDescent="0.25">
      <c r="B36" s="170"/>
      <c r="C36" s="11" t="s">
        <v>29</v>
      </c>
      <c r="D36" s="45">
        <f t="shared" si="7"/>
        <v>0</v>
      </c>
      <c r="E36" s="45">
        <f t="shared" si="7"/>
        <v>0</v>
      </c>
      <c r="F36" s="70"/>
      <c r="G36" s="70"/>
      <c r="I36" s="73"/>
    </row>
    <row r="37" spans="2:9" x14ac:dyDescent="0.25">
      <c r="B37" s="170"/>
      <c r="C37" s="11" t="s">
        <v>30</v>
      </c>
      <c r="D37" s="45">
        <f t="shared" si="7"/>
        <v>0</v>
      </c>
      <c r="E37" s="45">
        <f t="shared" si="7"/>
        <v>0</v>
      </c>
      <c r="F37" s="70"/>
      <c r="G37" s="70"/>
      <c r="I37" s="73"/>
    </row>
    <row r="38" spans="2:9" x14ac:dyDescent="0.25">
      <c r="B38" s="170"/>
      <c r="C38" s="11" t="s">
        <v>78</v>
      </c>
      <c r="D38" s="45">
        <f t="shared" si="7"/>
        <v>0</v>
      </c>
      <c r="E38" s="45">
        <f t="shared" si="7"/>
        <v>0</v>
      </c>
      <c r="F38" s="70"/>
      <c r="G38" s="70"/>
      <c r="I38" s="73"/>
    </row>
    <row r="39" spans="2:9" x14ac:dyDescent="0.25">
      <c r="B39" s="170"/>
      <c r="C39" s="11" t="s">
        <v>24</v>
      </c>
      <c r="D39" s="45">
        <f t="shared" si="7"/>
        <v>82.041595049845313</v>
      </c>
      <c r="E39" s="45">
        <f t="shared" si="7"/>
        <v>140.98374242907235</v>
      </c>
      <c r="F39" s="70"/>
      <c r="G39" s="70"/>
      <c r="I39" s="73"/>
    </row>
    <row r="40" spans="2:9" x14ac:dyDescent="0.25">
      <c r="B40" s="170" t="s">
        <v>122</v>
      </c>
      <c r="C40" s="11" t="s">
        <v>26</v>
      </c>
      <c r="D40" s="45">
        <f t="shared" ref="D40:E46" si="8">SUMIFS($P$5:$P$29,$I$5:$I$29,$C40,$G$5:$G$29,D$32)/IF(SUMIFS($H$5:$H$29,$I$5:$I$29,$C40,$G$5:$G$29,D$32)=0,1,SUMIFS($H$5:$H$29,$I$5:$I$29,$C40,$G$5:$G$29,D$32))</f>
        <v>0</v>
      </c>
      <c r="E40" s="45">
        <f t="shared" si="8"/>
        <v>0</v>
      </c>
      <c r="F40" s="70"/>
      <c r="G40" s="70"/>
      <c r="I40" s="74"/>
    </row>
    <row r="41" spans="2:9" x14ac:dyDescent="0.25">
      <c r="B41" s="170"/>
      <c r="C41" s="11" t="s">
        <v>27</v>
      </c>
      <c r="D41" s="45">
        <f t="shared" si="8"/>
        <v>0</v>
      </c>
      <c r="E41" s="45">
        <f t="shared" si="8"/>
        <v>0</v>
      </c>
      <c r="F41" s="70"/>
      <c r="H41" s="71"/>
    </row>
    <row r="42" spans="2:9" x14ac:dyDescent="0.25">
      <c r="B42" s="170"/>
      <c r="C42" s="11" t="s">
        <v>28</v>
      </c>
      <c r="D42" s="45">
        <f>SUMIFS($P$5:$P$29,$I$5:$I$29,$C42,$G$5:$G$29,D$32)/IF(SUMIFS($H$5:$H$29,$I$5:$I$29,$C42,$G$5:$G$29,D$32)=0,1,SUMIFS($H$5:$H$29,$I$5:$I$29,$C42,$G$5:$G$29,D$32))</f>
        <v>120.44572009569379</v>
      </c>
      <c r="E42" s="45">
        <f t="shared" si="8"/>
        <v>0</v>
      </c>
      <c r="F42" s="70"/>
    </row>
    <row r="43" spans="2:9" x14ac:dyDescent="0.25">
      <c r="B43" s="170"/>
      <c r="C43" s="11" t="s">
        <v>29</v>
      </c>
      <c r="D43" s="45">
        <f t="shared" si="8"/>
        <v>0</v>
      </c>
      <c r="E43" s="45">
        <f t="shared" si="8"/>
        <v>0</v>
      </c>
      <c r="F43" s="70"/>
    </row>
    <row r="44" spans="2:9" x14ac:dyDescent="0.25">
      <c r="B44" s="170"/>
      <c r="C44" s="11" t="s">
        <v>30</v>
      </c>
      <c r="D44" s="45">
        <f t="shared" si="8"/>
        <v>0</v>
      </c>
      <c r="E44" s="45">
        <f t="shared" si="8"/>
        <v>0</v>
      </c>
      <c r="F44" s="70"/>
    </row>
    <row r="45" spans="2:9" x14ac:dyDescent="0.25">
      <c r="B45" s="170"/>
      <c r="C45" s="11" t="s">
        <v>78</v>
      </c>
      <c r="D45" s="45">
        <f t="shared" si="8"/>
        <v>0</v>
      </c>
      <c r="E45" s="45">
        <f t="shared" si="8"/>
        <v>0</v>
      </c>
    </row>
    <row r="46" spans="2:9" x14ac:dyDescent="0.25">
      <c r="B46" s="170"/>
      <c r="C46" s="11" t="s">
        <v>24</v>
      </c>
      <c r="D46" s="45">
        <f>SUMIFS($P$5:$P$29,$I$5:$I$29,$C46,$G$5:$G$29,D$32)/IF(SUMIFS($H$5:$H$29,$I$5:$I$29,$C46,$G$5:$G$29,D$32)=0,1,SUMIFS($H$5:$H$29,$I$5:$I$29,$C46,$G$5:$G$29,D$32))</f>
        <v>98.7218767617738</v>
      </c>
      <c r="E46" s="45">
        <f t="shared" si="8"/>
        <v>68.753211667197959</v>
      </c>
    </row>
  </sheetData>
  <mergeCells count="3">
    <mergeCell ref="B31:E31"/>
    <mergeCell ref="B33:B39"/>
    <mergeCell ref="B40:B46"/>
  </mergeCells>
  <conditionalFormatting sqref="C27:C29">
    <cfRule type="duplicateValues" dxfId="0" priority="1" stopIfTrue="1"/>
  </conditionalFormatting>
  <dataValidations count="1">
    <dataValidation type="list" allowBlank="1" showInputMessage="1" showErrorMessage="1" sqref="I65534:I65558 WVQ983038:WVQ983062 WLU983038:WLU983062 WBY983038:WBY983062 VSC983038:VSC983062 VIG983038:VIG983062 UYK983038:UYK983062 UOO983038:UOO983062 UES983038:UES983062 TUW983038:TUW983062 TLA983038:TLA983062 TBE983038:TBE983062 SRI983038:SRI983062 SHM983038:SHM983062 RXQ983038:RXQ983062 RNU983038:RNU983062 RDY983038:RDY983062 QUC983038:QUC983062 QKG983038:QKG983062 QAK983038:QAK983062 PQO983038:PQO983062 PGS983038:PGS983062 OWW983038:OWW983062 ONA983038:ONA983062 ODE983038:ODE983062 NTI983038:NTI983062 NJM983038:NJM983062 MZQ983038:MZQ983062 MPU983038:MPU983062 MFY983038:MFY983062 LWC983038:LWC983062 LMG983038:LMG983062 LCK983038:LCK983062 KSO983038:KSO983062 KIS983038:KIS983062 JYW983038:JYW983062 JPA983038:JPA983062 JFE983038:JFE983062 IVI983038:IVI983062 ILM983038:ILM983062 IBQ983038:IBQ983062 HRU983038:HRU983062 HHY983038:HHY983062 GYC983038:GYC983062 GOG983038:GOG983062 GEK983038:GEK983062 FUO983038:FUO983062 FKS983038:FKS983062 FAW983038:FAW983062 ERA983038:ERA983062 EHE983038:EHE983062 DXI983038:DXI983062 DNM983038:DNM983062 DDQ983038:DDQ983062 CTU983038:CTU983062 CJY983038:CJY983062 CAC983038:CAC983062 BQG983038:BQG983062 BGK983038:BGK983062 AWO983038:AWO983062 AMS983038:AMS983062 ACW983038:ACW983062 TA983038:TA983062 JE983038:JE983062 I983038:I983062 WVQ917502:WVQ917526 WLU917502:WLU917526 WBY917502:WBY917526 VSC917502:VSC917526 VIG917502:VIG917526 UYK917502:UYK917526 UOO917502:UOO917526 UES917502:UES917526 TUW917502:TUW917526 TLA917502:TLA917526 TBE917502:TBE917526 SRI917502:SRI917526 SHM917502:SHM917526 RXQ917502:RXQ917526 RNU917502:RNU917526 RDY917502:RDY917526 QUC917502:QUC917526 QKG917502:QKG917526 QAK917502:QAK917526 PQO917502:PQO917526 PGS917502:PGS917526 OWW917502:OWW917526 ONA917502:ONA917526 ODE917502:ODE917526 NTI917502:NTI917526 NJM917502:NJM917526 MZQ917502:MZQ917526 MPU917502:MPU917526 MFY917502:MFY917526 LWC917502:LWC917526 LMG917502:LMG917526 LCK917502:LCK917526 KSO917502:KSO917526 KIS917502:KIS917526 JYW917502:JYW917526 JPA917502:JPA917526 JFE917502:JFE917526 IVI917502:IVI917526 ILM917502:ILM917526 IBQ917502:IBQ917526 HRU917502:HRU917526 HHY917502:HHY917526 GYC917502:GYC917526 GOG917502:GOG917526 GEK917502:GEK917526 FUO917502:FUO917526 FKS917502:FKS917526 FAW917502:FAW917526 ERA917502:ERA917526 EHE917502:EHE917526 DXI917502:DXI917526 DNM917502:DNM917526 DDQ917502:DDQ917526 CTU917502:CTU917526 CJY917502:CJY917526 CAC917502:CAC917526 BQG917502:BQG917526 BGK917502:BGK917526 AWO917502:AWO917526 AMS917502:AMS917526 ACW917502:ACW917526 TA917502:TA917526 JE917502:JE917526 I917502:I917526 WVQ851966:WVQ851990 WLU851966:WLU851990 WBY851966:WBY851990 VSC851966:VSC851990 VIG851966:VIG851990 UYK851966:UYK851990 UOO851966:UOO851990 UES851966:UES851990 TUW851966:TUW851990 TLA851966:TLA851990 TBE851966:TBE851990 SRI851966:SRI851990 SHM851966:SHM851990 RXQ851966:RXQ851990 RNU851966:RNU851990 RDY851966:RDY851990 QUC851966:QUC851990 QKG851966:QKG851990 QAK851966:QAK851990 PQO851966:PQO851990 PGS851966:PGS851990 OWW851966:OWW851990 ONA851966:ONA851990 ODE851966:ODE851990 NTI851966:NTI851990 NJM851966:NJM851990 MZQ851966:MZQ851990 MPU851966:MPU851990 MFY851966:MFY851990 LWC851966:LWC851990 LMG851966:LMG851990 LCK851966:LCK851990 KSO851966:KSO851990 KIS851966:KIS851990 JYW851966:JYW851990 JPA851966:JPA851990 JFE851966:JFE851990 IVI851966:IVI851990 ILM851966:ILM851990 IBQ851966:IBQ851990 HRU851966:HRU851990 HHY851966:HHY851990 GYC851966:GYC851990 GOG851966:GOG851990 GEK851966:GEK851990 FUO851966:FUO851990 FKS851966:FKS851990 FAW851966:FAW851990 ERA851966:ERA851990 EHE851966:EHE851990 DXI851966:DXI851990 DNM851966:DNM851990 DDQ851966:DDQ851990 CTU851966:CTU851990 CJY851966:CJY851990 CAC851966:CAC851990 BQG851966:BQG851990 BGK851966:BGK851990 AWO851966:AWO851990 AMS851966:AMS851990 ACW851966:ACW851990 TA851966:TA851990 JE851966:JE851990 I851966:I851990 WVQ786430:WVQ786454 WLU786430:WLU786454 WBY786430:WBY786454 VSC786430:VSC786454 VIG786430:VIG786454 UYK786430:UYK786454 UOO786430:UOO786454 UES786430:UES786454 TUW786430:TUW786454 TLA786430:TLA786454 TBE786430:TBE786454 SRI786430:SRI786454 SHM786430:SHM786454 RXQ786430:RXQ786454 RNU786430:RNU786454 RDY786430:RDY786454 QUC786430:QUC786454 QKG786430:QKG786454 QAK786430:QAK786454 PQO786430:PQO786454 PGS786430:PGS786454 OWW786430:OWW786454 ONA786430:ONA786454 ODE786430:ODE786454 NTI786430:NTI786454 NJM786430:NJM786454 MZQ786430:MZQ786454 MPU786430:MPU786454 MFY786430:MFY786454 LWC786430:LWC786454 LMG786430:LMG786454 LCK786430:LCK786454 KSO786430:KSO786454 KIS786430:KIS786454 JYW786430:JYW786454 JPA786430:JPA786454 JFE786430:JFE786454 IVI786430:IVI786454 ILM786430:ILM786454 IBQ786430:IBQ786454 HRU786430:HRU786454 HHY786430:HHY786454 GYC786430:GYC786454 GOG786430:GOG786454 GEK786430:GEK786454 FUO786430:FUO786454 FKS786430:FKS786454 FAW786430:FAW786454 ERA786430:ERA786454 EHE786430:EHE786454 DXI786430:DXI786454 DNM786430:DNM786454 DDQ786430:DDQ786454 CTU786430:CTU786454 CJY786430:CJY786454 CAC786430:CAC786454 BQG786430:BQG786454 BGK786430:BGK786454 AWO786430:AWO786454 AMS786430:AMS786454 ACW786430:ACW786454 TA786430:TA786454 JE786430:JE786454 I786430:I786454 WVQ720894:WVQ720918 WLU720894:WLU720918 WBY720894:WBY720918 VSC720894:VSC720918 VIG720894:VIG720918 UYK720894:UYK720918 UOO720894:UOO720918 UES720894:UES720918 TUW720894:TUW720918 TLA720894:TLA720918 TBE720894:TBE720918 SRI720894:SRI720918 SHM720894:SHM720918 RXQ720894:RXQ720918 RNU720894:RNU720918 RDY720894:RDY720918 QUC720894:QUC720918 QKG720894:QKG720918 QAK720894:QAK720918 PQO720894:PQO720918 PGS720894:PGS720918 OWW720894:OWW720918 ONA720894:ONA720918 ODE720894:ODE720918 NTI720894:NTI720918 NJM720894:NJM720918 MZQ720894:MZQ720918 MPU720894:MPU720918 MFY720894:MFY720918 LWC720894:LWC720918 LMG720894:LMG720918 LCK720894:LCK720918 KSO720894:KSO720918 KIS720894:KIS720918 JYW720894:JYW720918 JPA720894:JPA720918 JFE720894:JFE720918 IVI720894:IVI720918 ILM720894:ILM720918 IBQ720894:IBQ720918 HRU720894:HRU720918 HHY720894:HHY720918 GYC720894:GYC720918 GOG720894:GOG720918 GEK720894:GEK720918 FUO720894:FUO720918 FKS720894:FKS720918 FAW720894:FAW720918 ERA720894:ERA720918 EHE720894:EHE720918 DXI720894:DXI720918 DNM720894:DNM720918 DDQ720894:DDQ720918 CTU720894:CTU720918 CJY720894:CJY720918 CAC720894:CAC720918 BQG720894:BQG720918 BGK720894:BGK720918 AWO720894:AWO720918 AMS720894:AMS720918 ACW720894:ACW720918 TA720894:TA720918 JE720894:JE720918 I720894:I720918 WVQ655358:WVQ655382 WLU655358:WLU655382 WBY655358:WBY655382 VSC655358:VSC655382 VIG655358:VIG655382 UYK655358:UYK655382 UOO655358:UOO655382 UES655358:UES655382 TUW655358:TUW655382 TLA655358:TLA655382 TBE655358:TBE655382 SRI655358:SRI655382 SHM655358:SHM655382 RXQ655358:RXQ655382 RNU655358:RNU655382 RDY655358:RDY655382 QUC655358:QUC655382 QKG655358:QKG655382 QAK655358:QAK655382 PQO655358:PQO655382 PGS655358:PGS655382 OWW655358:OWW655382 ONA655358:ONA655382 ODE655358:ODE655382 NTI655358:NTI655382 NJM655358:NJM655382 MZQ655358:MZQ655382 MPU655358:MPU655382 MFY655358:MFY655382 LWC655358:LWC655382 LMG655358:LMG655382 LCK655358:LCK655382 KSO655358:KSO655382 KIS655358:KIS655382 JYW655358:JYW655382 JPA655358:JPA655382 JFE655358:JFE655382 IVI655358:IVI655382 ILM655358:ILM655382 IBQ655358:IBQ655382 HRU655358:HRU655382 HHY655358:HHY655382 GYC655358:GYC655382 GOG655358:GOG655382 GEK655358:GEK655382 FUO655358:FUO655382 FKS655358:FKS655382 FAW655358:FAW655382 ERA655358:ERA655382 EHE655358:EHE655382 DXI655358:DXI655382 DNM655358:DNM655382 DDQ655358:DDQ655382 CTU655358:CTU655382 CJY655358:CJY655382 CAC655358:CAC655382 BQG655358:BQG655382 BGK655358:BGK655382 AWO655358:AWO655382 AMS655358:AMS655382 ACW655358:ACW655382 TA655358:TA655382 JE655358:JE655382 I655358:I655382 WVQ589822:WVQ589846 WLU589822:WLU589846 WBY589822:WBY589846 VSC589822:VSC589846 VIG589822:VIG589846 UYK589822:UYK589846 UOO589822:UOO589846 UES589822:UES589846 TUW589822:TUW589846 TLA589822:TLA589846 TBE589822:TBE589846 SRI589822:SRI589846 SHM589822:SHM589846 RXQ589822:RXQ589846 RNU589822:RNU589846 RDY589822:RDY589846 QUC589822:QUC589846 QKG589822:QKG589846 QAK589822:QAK589846 PQO589822:PQO589846 PGS589822:PGS589846 OWW589822:OWW589846 ONA589822:ONA589846 ODE589822:ODE589846 NTI589822:NTI589846 NJM589822:NJM589846 MZQ589822:MZQ589846 MPU589822:MPU589846 MFY589822:MFY589846 LWC589822:LWC589846 LMG589822:LMG589846 LCK589822:LCK589846 KSO589822:KSO589846 KIS589822:KIS589846 JYW589822:JYW589846 JPA589822:JPA589846 JFE589822:JFE589846 IVI589822:IVI589846 ILM589822:ILM589846 IBQ589822:IBQ589846 HRU589822:HRU589846 HHY589822:HHY589846 GYC589822:GYC589846 GOG589822:GOG589846 GEK589822:GEK589846 FUO589822:FUO589846 FKS589822:FKS589846 FAW589822:FAW589846 ERA589822:ERA589846 EHE589822:EHE589846 DXI589822:DXI589846 DNM589822:DNM589846 DDQ589822:DDQ589846 CTU589822:CTU589846 CJY589822:CJY589846 CAC589822:CAC589846 BQG589822:BQG589846 BGK589822:BGK589846 AWO589822:AWO589846 AMS589822:AMS589846 ACW589822:ACW589846 TA589822:TA589846 JE589822:JE589846 I589822:I589846 WVQ524286:WVQ524310 WLU524286:WLU524310 WBY524286:WBY524310 VSC524286:VSC524310 VIG524286:VIG524310 UYK524286:UYK524310 UOO524286:UOO524310 UES524286:UES524310 TUW524286:TUW524310 TLA524286:TLA524310 TBE524286:TBE524310 SRI524286:SRI524310 SHM524286:SHM524310 RXQ524286:RXQ524310 RNU524286:RNU524310 RDY524286:RDY524310 QUC524286:QUC524310 QKG524286:QKG524310 QAK524286:QAK524310 PQO524286:PQO524310 PGS524286:PGS524310 OWW524286:OWW524310 ONA524286:ONA524310 ODE524286:ODE524310 NTI524286:NTI524310 NJM524286:NJM524310 MZQ524286:MZQ524310 MPU524286:MPU524310 MFY524286:MFY524310 LWC524286:LWC524310 LMG524286:LMG524310 LCK524286:LCK524310 KSO524286:KSO524310 KIS524286:KIS524310 JYW524286:JYW524310 JPA524286:JPA524310 JFE524286:JFE524310 IVI524286:IVI524310 ILM524286:ILM524310 IBQ524286:IBQ524310 HRU524286:HRU524310 HHY524286:HHY524310 GYC524286:GYC524310 GOG524286:GOG524310 GEK524286:GEK524310 FUO524286:FUO524310 FKS524286:FKS524310 FAW524286:FAW524310 ERA524286:ERA524310 EHE524286:EHE524310 DXI524286:DXI524310 DNM524286:DNM524310 DDQ524286:DDQ524310 CTU524286:CTU524310 CJY524286:CJY524310 CAC524286:CAC524310 BQG524286:BQG524310 BGK524286:BGK524310 AWO524286:AWO524310 AMS524286:AMS524310 ACW524286:ACW524310 TA524286:TA524310 JE524286:JE524310 I524286:I524310 WVQ458750:WVQ458774 WLU458750:WLU458774 WBY458750:WBY458774 VSC458750:VSC458774 VIG458750:VIG458774 UYK458750:UYK458774 UOO458750:UOO458774 UES458750:UES458774 TUW458750:TUW458774 TLA458750:TLA458774 TBE458750:TBE458774 SRI458750:SRI458774 SHM458750:SHM458774 RXQ458750:RXQ458774 RNU458750:RNU458774 RDY458750:RDY458774 QUC458750:QUC458774 QKG458750:QKG458774 QAK458750:QAK458774 PQO458750:PQO458774 PGS458750:PGS458774 OWW458750:OWW458774 ONA458750:ONA458774 ODE458750:ODE458774 NTI458750:NTI458774 NJM458750:NJM458774 MZQ458750:MZQ458774 MPU458750:MPU458774 MFY458750:MFY458774 LWC458750:LWC458774 LMG458750:LMG458774 LCK458750:LCK458774 KSO458750:KSO458774 KIS458750:KIS458774 JYW458750:JYW458774 JPA458750:JPA458774 JFE458750:JFE458774 IVI458750:IVI458774 ILM458750:ILM458774 IBQ458750:IBQ458774 HRU458750:HRU458774 HHY458750:HHY458774 GYC458750:GYC458774 GOG458750:GOG458774 GEK458750:GEK458774 FUO458750:FUO458774 FKS458750:FKS458774 FAW458750:FAW458774 ERA458750:ERA458774 EHE458750:EHE458774 DXI458750:DXI458774 DNM458750:DNM458774 DDQ458750:DDQ458774 CTU458750:CTU458774 CJY458750:CJY458774 CAC458750:CAC458774 BQG458750:BQG458774 BGK458750:BGK458774 AWO458750:AWO458774 AMS458750:AMS458774 ACW458750:ACW458774 TA458750:TA458774 JE458750:JE458774 I458750:I458774 WVQ393214:WVQ393238 WLU393214:WLU393238 WBY393214:WBY393238 VSC393214:VSC393238 VIG393214:VIG393238 UYK393214:UYK393238 UOO393214:UOO393238 UES393214:UES393238 TUW393214:TUW393238 TLA393214:TLA393238 TBE393214:TBE393238 SRI393214:SRI393238 SHM393214:SHM393238 RXQ393214:RXQ393238 RNU393214:RNU393238 RDY393214:RDY393238 QUC393214:QUC393238 QKG393214:QKG393238 QAK393214:QAK393238 PQO393214:PQO393238 PGS393214:PGS393238 OWW393214:OWW393238 ONA393214:ONA393238 ODE393214:ODE393238 NTI393214:NTI393238 NJM393214:NJM393238 MZQ393214:MZQ393238 MPU393214:MPU393238 MFY393214:MFY393238 LWC393214:LWC393238 LMG393214:LMG393238 LCK393214:LCK393238 KSO393214:KSO393238 KIS393214:KIS393238 JYW393214:JYW393238 JPA393214:JPA393238 JFE393214:JFE393238 IVI393214:IVI393238 ILM393214:ILM393238 IBQ393214:IBQ393238 HRU393214:HRU393238 HHY393214:HHY393238 GYC393214:GYC393238 GOG393214:GOG393238 GEK393214:GEK393238 FUO393214:FUO393238 FKS393214:FKS393238 FAW393214:FAW393238 ERA393214:ERA393238 EHE393214:EHE393238 DXI393214:DXI393238 DNM393214:DNM393238 DDQ393214:DDQ393238 CTU393214:CTU393238 CJY393214:CJY393238 CAC393214:CAC393238 BQG393214:BQG393238 BGK393214:BGK393238 AWO393214:AWO393238 AMS393214:AMS393238 ACW393214:ACW393238 TA393214:TA393238 JE393214:JE393238 I393214:I393238 WVQ327678:WVQ327702 WLU327678:WLU327702 WBY327678:WBY327702 VSC327678:VSC327702 VIG327678:VIG327702 UYK327678:UYK327702 UOO327678:UOO327702 UES327678:UES327702 TUW327678:TUW327702 TLA327678:TLA327702 TBE327678:TBE327702 SRI327678:SRI327702 SHM327678:SHM327702 RXQ327678:RXQ327702 RNU327678:RNU327702 RDY327678:RDY327702 QUC327678:QUC327702 QKG327678:QKG327702 QAK327678:QAK327702 PQO327678:PQO327702 PGS327678:PGS327702 OWW327678:OWW327702 ONA327678:ONA327702 ODE327678:ODE327702 NTI327678:NTI327702 NJM327678:NJM327702 MZQ327678:MZQ327702 MPU327678:MPU327702 MFY327678:MFY327702 LWC327678:LWC327702 LMG327678:LMG327702 LCK327678:LCK327702 KSO327678:KSO327702 KIS327678:KIS327702 JYW327678:JYW327702 JPA327678:JPA327702 JFE327678:JFE327702 IVI327678:IVI327702 ILM327678:ILM327702 IBQ327678:IBQ327702 HRU327678:HRU327702 HHY327678:HHY327702 GYC327678:GYC327702 GOG327678:GOG327702 GEK327678:GEK327702 FUO327678:FUO327702 FKS327678:FKS327702 FAW327678:FAW327702 ERA327678:ERA327702 EHE327678:EHE327702 DXI327678:DXI327702 DNM327678:DNM327702 DDQ327678:DDQ327702 CTU327678:CTU327702 CJY327678:CJY327702 CAC327678:CAC327702 BQG327678:BQG327702 BGK327678:BGK327702 AWO327678:AWO327702 AMS327678:AMS327702 ACW327678:ACW327702 TA327678:TA327702 JE327678:JE327702 I327678:I327702 WVQ262142:WVQ262166 WLU262142:WLU262166 WBY262142:WBY262166 VSC262142:VSC262166 VIG262142:VIG262166 UYK262142:UYK262166 UOO262142:UOO262166 UES262142:UES262166 TUW262142:TUW262166 TLA262142:TLA262166 TBE262142:TBE262166 SRI262142:SRI262166 SHM262142:SHM262166 RXQ262142:RXQ262166 RNU262142:RNU262166 RDY262142:RDY262166 QUC262142:QUC262166 QKG262142:QKG262166 QAK262142:QAK262166 PQO262142:PQO262166 PGS262142:PGS262166 OWW262142:OWW262166 ONA262142:ONA262166 ODE262142:ODE262166 NTI262142:NTI262166 NJM262142:NJM262166 MZQ262142:MZQ262166 MPU262142:MPU262166 MFY262142:MFY262166 LWC262142:LWC262166 LMG262142:LMG262166 LCK262142:LCK262166 KSO262142:KSO262166 KIS262142:KIS262166 JYW262142:JYW262166 JPA262142:JPA262166 JFE262142:JFE262166 IVI262142:IVI262166 ILM262142:ILM262166 IBQ262142:IBQ262166 HRU262142:HRU262166 HHY262142:HHY262166 GYC262142:GYC262166 GOG262142:GOG262166 GEK262142:GEK262166 FUO262142:FUO262166 FKS262142:FKS262166 FAW262142:FAW262166 ERA262142:ERA262166 EHE262142:EHE262166 DXI262142:DXI262166 DNM262142:DNM262166 DDQ262142:DDQ262166 CTU262142:CTU262166 CJY262142:CJY262166 CAC262142:CAC262166 BQG262142:BQG262166 BGK262142:BGK262166 AWO262142:AWO262166 AMS262142:AMS262166 ACW262142:ACW262166 TA262142:TA262166 JE262142:JE262166 I262142:I262166 WVQ196606:WVQ196630 WLU196606:WLU196630 WBY196606:WBY196630 VSC196606:VSC196630 VIG196606:VIG196630 UYK196606:UYK196630 UOO196606:UOO196630 UES196606:UES196630 TUW196606:TUW196630 TLA196606:TLA196630 TBE196606:TBE196630 SRI196606:SRI196630 SHM196606:SHM196630 RXQ196606:RXQ196630 RNU196606:RNU196630 RDY196606:RDY196630 QUC196606:QUC196630 QKG196606:QKG196630 QAK196606:QAK196630 PQO196606:PQO196630 PGS196606:PGS196630 OWW196606:OWW196630 ONA196606:ONA196630 ODE196606:ODE196630 NTI196606:NTI196630 NJM196606:NJM196630 MZQ196606:MZQ196630 MPU196606:MPU196630 MFY196606:MFY196630 LWC196606:LWC196630 LMG196606:LMG196630 LCK196606:LCK196630 KSO196606:KSO196630 KIS196606:KIS196630 JYW196606:JYW196630 JPA196606:JPA196630 JFE196606:JFE196630 IVI196606:IVI196630 ILM196606:ILM196630 IBQ196606:IBQ196630 HRU196606:HRU196630 HHY196606:HHY196630 GYC196606:GYC196630 GOG196606:GOG196630 GEK196606:GEK196630 FUO196606:FUO196630 FKS196606:FKS196630 FAW196606:FAW196630 ERA196606:ERA196630 EHE196606:EHE196630 DXI196606:DXI196630 DNM196606:DNM196630 DDQ196606:DDQ196630 CTU196606:CTU196630 CJY196606:CJY196630 CAC196606:CAC196630 BQG196606:BQG196630 BGK196606:BGK196630 AWO196606:AWO196630 AMS196606:AMS196630 ACW196606:ACW196630 TA196606:TA196630 JE196606:JE196630 I196606:I196630 WVQ131070:WVQ131094 WLU131070:WLU131094 WBY131070:WBY131094 VSC131070:VSC131094 VIG131070:VIG131094 UYK131070:UYK131094 UOO131070:UOO131094 UES131070:UES131094 TUW131070:TUW131094 TLA131070:TLA131094 TBE131070:TBE131094 SRI131070:SRI131094 SHM131070:SHM131094 RXQ131070:RXQ131094 RNU131070:RNU131094 RDY131070:RDY131094 QUC131070:QUC131094 QKG131070:QKG131094 QAK131070:QAK131094 PQO131070:PQO131094 PGS131070:PGS131094 OWW131070:OWW131094 ONA131070:ONA131094 ODE131070:ODE131094 NTI131070:NTI131094 NJM131070:NJM131094 MZQ131070:MZQ131094 MPU131070:MPU131094 MFY131070:MFY131094 LWC131070:LWC131094 LMG131070:LMG131094 LCK131070:LCK131094 KSO131070:KSO131094 KIS131070:KIS131094 JYW131070:JYW131094 JPA131070:JPA131094 JFE131070:JFE131094 IVI131070:IVI131094 ILM131070:ILM131094 IBQ131070:IBQ131094 HRU131070:HRU131094 HHY131070:HHY131094 GYC131070:GYC131094 GOG131070:GOG131094 GEK131070:GEK131094 FUO131070:FUO131094 FKS131070:FKS131094 FAW131070:FAW131094 ERA131070:ERA131094 EHE131070:EHE131094 DXI131070:DXI131094 DNM131070:DNM131094 DDQ131070:DDQ131094 CTU131070:CTU131094 CJY131070:CJY131094 CAC131070:CAC131094 BQG131070:BQG131094 BGK131070:BGK131094 AWO131070:AWO131094 AMS131070:AMS131094 ACW131070:ACW131094 TA131070:TA131094 JE131070:JE131094 I131070:I131094 WVQ65534:WVQ65558 WLU65534:WLU65558 WBY65534:WBY65558 VSC65534:VSC65558 VIG65534:VIG65558 UYK65534:UYK65558 UOO65534:UOO65558 UES65534:UES65558 TUW65534:TUW65558 TLA65534:TLA65558 TBE65534:TBE65558 SRI65534:SRI65558 SHM65534:SHM65558 RXQ65534:RXQ65558 RNU65534:RNU65558 RDY65534:RDY65558 QUC65534:QUC65558 QKG65534:QKG65558 QAK65534:QAK65558 PQO65534:PQO65558 PGS65534:PGS65558 OWW65534:OWW65558 ONA65534:ONA65558 ODE65534:ODE65558 NTI65534:NTI65558 NJM65534:NJM65558 MZQ65534:MZQ65558 MPU65534:MPU65558 MFY65534:MFY65558 LWC65534:LWC65558 LMG65534:LMG65558 LCK65534:LCK65558 KSO65534:KSO65558 KIS65534:KIS65558 JYW65534:JYW65558 JPA65534:JPA65558 JFE65534:JFE65558 IVI65534:IVI65558 ILM65534:ILM65558 IBQ65534:IBQ65558 HRU65534:HRU65558 HHY65534:HHY65558 GYC65534:GYC65558 GOG65534:GOG65558 GEK65534:GEK65558 FUO65534:FUO65558 FKS65534:FKS65558 FAW65534:FAW65558 ERA65534:ERA65558 EHE65534:EHE65558 DXI65534:DXI65558 DNM65534:DNM65558 DDQ65534:DDQ65558 CTU65534:CTU65558 CJY65534:CJY65558 CAC65534:CAC65558 BQG65534:BQG65558 BGK65534:BGK65558 AWO65534:AWO65558 AMS65534:AMS65558 ACW65534:ACW65558 TA65534:TA65558 JE65534:JE65558 WVQ5:WVQ29 WLU5:WLU29 WBY5:WBY29 VSC5:VSC29 VIG5:VIG29 UYK5:UYK29 UOO5:UOO29 UES5:UES29 TUW5:TUW29 TLA5:TLA29 TBE5:TBE29 SRI5:SRI29 SHM5:SHM29 RXQ5:RXQ29 RNU5:RNU29 RDY5:RDY29 QUC5:QUC29 QKG5:QKG29 QAK5:QAK29 PQO5:PQO29 PGS5:PGS29 OWW5:OWW29 ONA5:ONA29 ODE5:ODE29 NTI5:NTI29 NJM5:NJM29 MZQ5:MZQ29 MPU5:MPU29 MFY5:MFY29 LWC5:LWC29 LMG5:LMG29 LCK5:LCK29 KSO5:KSO29 KIS5:KIS29 JYW5:JYW29 JPA5:JPA29 JFE5:JFE29 IVI5:IVI29 ILM5:ILM29 IBQ5:IBQ29 HRU5:HRU29 HHY5:HHY29 GYC5:GYC29 GOG5:GOG29 GEK5:GEK29 FUO5:FUO29 FKS5:FKS29 FAW5:FAW29 ERA5:ERA29 EHE5:EHE29 DXI5:DXI29 DNM5:DNM29 DDQ5:DDQ29 CTU5:CTU29 CJY5:CJY29 CAC5:CAC29 BQG5:BQG29 BGK5:BGK29 AWO5:AWO29 AMS5:AMS29 ACW5:ACW29 TA5:TA29 JE5:JE29 I5:I29" xr:uid="{8E7A4762-32CD-4AE7-92FB-1146AEAFD7AE}">
      <formula1>#REF!</formula1>
    </dataValidation>
  </dataValidations>
  <pageMargins left="0.511811024" right="0.511811024" top="0.78740157499999996" bottom="0.78740157499999996" header="0.31496062000000002" footer="0.31496062000000002"/>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4BF31-69EF-4C21-876F-591E01DB5BC2}">
  <sheetPr>
    <tabColor theme="0" tint="-0.249977111117893"/>
  </sheetPr>
  <dimension ref="A2:X35"/>
  <sheetViews>
    <sheetView showGridLines="0" zoomScale="80" zoomScaleNormal="80" workbookViewId="0">
      <selection activeCell="B2" sqref="B2:H2"/>
    </sheetView>
  </sheetViews>
  <sheetFormatPr defaultRowHeight="14.25" x14ac:dyDescent="0.25"/>
  <cols>
    <col min="1" max="1" width="2.85546875" style="65" customWidth="1"/>
    <col min="2" max="8" width="11.28515625" style="65" customWidth="1"/>
    <col min="9" max="9" width="10" style="65" customWidth="1"/>
    <col min="10" max="10" width="43.85546875" style="65" customWidth="1"/>
    <col min="11" max="11" width="17.42578125" style="65" customWidth="1"/>
    <col min="12" max="13" width="15.7109375" style="65" customWidth="1"/>
    <col min="14" max="14" width="9.5703125" style="65" customWidth="1"/>
    <col min="15" max="15" width="21.140625" style="65" customWidth="1"/>
    <col min="16" max="16" width="40.140625" style="65" customWidth="1"/>
    <col min="17" max="17" width="9" style="65" customWidth="1"/>
    <col min="18" max="18" width="10.42578125" style="65" bestFit="1" customWidth="1"/>
    <col min="19" max="19" width="24.42578125" style="65" customWidth="1"/>
    <col min="20" max="20" width="9.140625" style="65"/>
    <col min="21" max="21" width="12.7109375" style="65" bestFit="1" customWidth="1"/>
    <col min="22" max="22" width="64" style="65" bestFit="1" customWidth="1"/>
    <col min="23" max="23" width="7" style="65" bestFit="1" customWidth="1"/>
    <col min="24" max="24" width="11.28515625" style="65" bestFit="1" customWidth="1"/>
    <col min="25" max="256" width="9.140625" style="65"/>
    <col min="257" max="257" width="2.85546875" style="65" customWidth="1"/>
    <col min="258" max="264" width="11.28515625" style="65" customWidth="1"/>
    <col min="265" max="265" width="10" style="65" customWidth="1"/>
    <col min="266" max="266" width="43.85546875" style="65" customWidth="1"/>
    <col min="267" max="267" width="17.42578125" style="65" customWidth="1"/>
    <col min="268" max="269" width="15.7109375" style="65" customWidth="1"/>
    <col min="270" max="270" width="9.5703125" style="65" customWidth="1"/>
    <col min="271" max="271" width="21.140625" style="65" customWidth="1"/>
    <col min="272" max="272" width="40.140625" style="65" customWidth="1"/>
    <col min="273" max="273" width="9" style="65" customWidth="1"/>
    <col min="274" max="274" width="10.42578125" style="65" bestFit="1" customWidth="1"/>
    <col min="275" max="275" width="24.42578125" style="65" customWidth="1"/>
    <col min="276" max="276" width="9.140625" style="65"/>
    <col min="277" max="277" width="12.7109375" style="65" bestFit="1" customWidth="1"/>
    <col min="278" max="278" width="64" style="65" bestFit="1" customWidth="1"/>
    <col min="279" max="279" width="7" style="65" bestFit="1" customWidth="1"/>
    <col min="280" max="280" width="11.28515625" style="65" bestFit="1" customWidth="1"/>
    <col min="281" max="512" width="9.140625" style="65"/>
    <col min="513" max="513" width="2.85546875" style="65" customWidth="1"/>
    <col min="514" max="520" width="11.28515625" style="65" customWidth="1"/>
    <col min="521" max="521" width="10" style="65" customWidth="1"/>
    <col min="522" max="522" width="43.85546875" style="65" customWidth="1"/>
    <col min="523" max="523" width="17.42578125" style="65" customWidth="1"/>
    <col min="524" max="525" width="15.7109375" style="65" customWidth="1"/>
    <col min="526" max="526" width="9.5703125" style="65" customWidth="1"/>
    <col min="527" max="527" width="21.140625" style="65" customWidth="1"/>
    <col min="528" max="528" width="40.140625" style="65" customWidth="1"/>
    <col min="529" max="529" width="9" style="65" customWidth="1"/>
    <col min="530" max="530" width="10.42578125" style="65" bestFit="1" customWidth="1"/>
    <col min="531" max="531" width="24.42578125" style="65" customWidth="1"/>
    <col min="532" max="532" width="9.140625" style="65"/>
    <col min="533" max="533" width="12.7109375" style="65" bestFit="1" customWidth="1"/>
    <col min="534" max="534" width="64" style="65" bestFit="1" customWidth="1"/>
    <col min="535" max="535" width="7" style="65" bestFit="1" customWidth="1"/>
    <col min="536" max="536" width="11.28515625" style="65" bestFit="1" customWidth="1"/>
    <col min="537" max="768" width="9.140625" style="65"/>
    <col min="769" max="769" width="2.85546875" style="65" customWidth="1"/>
    <col min="770" max="776" width="11.28515625" style="65" customWidth="1"/>
    <col min="777" max="777" width="10" style="65" customWidth="1"/>
    <col min="778" max="778" width="43.85546875" style="65" customWidth="1"/>
    <col min="779" max="779" width="17.42578125" style="65" customWidth="1"/>
    <col min="780" max="781" width="15.7109375" style="65" customWidth="1"/>
    <col min="782" max="782" width="9.5703125" style="65" customWidth="1"/>
    <col min="783" max="783" width="21.140625" style="65" customWidth="1"/>
    <col min="784" max="784" width="40.140625" style="65" customWidth="1"/>
    <col min="785" max="785" width="9" style="65" customWidth="1"/>
    <col min="786" max="786" width="10.42578125" style="65" bestFit="1" customWidth="1"/>
    <col min="787" max="787" width="24.42578125" style="65" customWidth="1"/>
    <col min="788" max="788" width="9.140625" style="65"/>
    <col min="789" max="789" width="12.7109375" style="65" bestFit="1" customWidth="1"/>
    <col min="790" max="790" width="64" style="65" bestFit="1" customWidth="1"/>
    <col min="791" max="791" width="7" style="65" bestFit="1" customWidth="1"/>
    <col min="792" max="792" width="11.28515625" style="65" bestFit="1" customWidth="1"/>
    <col min="793" max="1024" width="9.140625" style="65"/>
    <col min="1025" max="1025" width="2.85546875" style="65" customWidth="1"/>
    <col min="1026" max="1032" width="11.28515625" style="65" customWidth="1"/>
    <col min="1033" max="1033" width="10" style="65" customWidth="1"/>
    <col min="1034" max="1034" width="43.85546875" style="65" customWidth="1"/>
    <col min="1035" max="1035" width="17.42578125" style="65" customWidth="1"/>
    <col min="1036" max="1037" width="15.7109375" style="65" customWidth="1"/>
    <col min="1038" max="1038" width="9.5703125" style="65" customWidth="1"/>
    <col min="1039" max="1039" width="21.140625" style="65" customWidth="1"/>
    <col min="1040" max="1040" width="40.140625" style="65" customWidth="1"/>
    <col min="1041" max="1041" width="9" style="65" customWidth="1"/>
    <col min="1042" max="1042" width="10.42578125" style="65" bestFit="1" customWidth="1"/>
    <col min="1043" max="1043" width="24.42578125" style="65" customWidth="1"/>
    <col min="1044" max="1044" width="9.140625" style="65"/>
    <col min="1045" max="1045" width="12.7109375" style="65" bestFit="1" customWidth="1"/>
    <col min="1046" max="1046" width="64" style="65" bestFit="1" customWidth="1"/>
    <col min="1047" max="1047" width="7" style="65" bestFit="1" customWidth="1"/>
    <col min="1048" max="1048" width="11.28515625" style="65" bestFit="1" customWidth="1"/>
    <col min="1049" max="1280" width="9.140625" style="65"/>
    <col min="1281" max="1281" width="2.85546875" style="65" customWidth="1"/>
    <col min="1282" max="1288" width="11.28515625" style="65" customWidth="1"/>
    <col min="1289" max="1289" width="10" style="65" customWidth="1"/>
    <col min="1290" max="1290" width="43.85546875" style="65" customWidth="1"/>
    <col min="1291" max="1291" width="17.42578125" style="65" customWidth="1"/>
    <col min="1292" max="1293" width="15.7109375" style="65" customWidth="1"/>
    <col min="1294" max="1294" width="9.5703125" style="65" customWidth="1"/>
    <col min="1295" max="1295" width="21.140625" style="65" customWidth="1"/>
    <col min="1296" max="1296" width="40.140625" style="65" customWidth="1"/>
    <col min="1297" max="1297" width="9" style="65" customWidth="1"/>
    <col min="1298" max="1298" width="10.42578125" style="65" bestFit="1" customWidth="1"/>
    <col min="1299" max="1299" width="24.42578125" style="65" customWidth="1"/>
    <col min="1300" max="1300" width="9.140625" style="65"/>
    <col min="1301" max="1301" width="12.7109375" style="65" bestFit="1" customWidth="1"/>
    <col min="1302" max="1302" width="64" style="65" bestFit="1" customWidth="1"/>
    <col min="1303" max="1303" width="7" style="65" bestFit="1" customWidth="1"/>
    <col min="1304" max="1304" width="11.28515625" style="65" bestFit="1" customWidth="1"/>
    <col min="1305" max="1536" width="9.140625" style="65"/>
    <col min="1537" max="1537" width="2.85546875" style="65" customWidth="1"/>
    <col min="1538" max="1544" width="11.28515625" style="65" customWidth="1"/>
    <col min="1545" max="1545" width="10" style="65" customWidth="1"/>
    <col min="1546" max="1546" width="43.85546875" style="65" customWidth="1"/>
    <col min="1547" max="1547" width="17.42578125" style="65" customWidth="1"/>
    <col min="1548" max="1549" width="15.7109375" style="65" customWidth="1"/>
    <col min="1550" max="1550" width="9.5703125" style="65" customWidth="1"/>
    <col min="1551" max="1551" width="21.140625" style="65" customWidth="1"/>
    <col min="1552" max="1552" width="40.140625" style="65" customWidth="1"/>
    <col min="1553" max="1553" width="9" style="65" customWidth="1"/>
    <col min="1554" max="1554" width="10.42578125" style="65" bestFit="1" customWidth="1"/>
    <col min="1555" max="1555" width="24.42578125" style="65" customWidth="1"/>
    <col min="1556" max="1556" width="9.140625" style="65"/>
    <col min="1557" max="1557" width="12.7109375" style="65" bestFit="1" customWidth="1"/>
    <col min="1558" max="1558" width="64" style="65" bestFit="1" customWidth="1"/>
    <col min="1559" max="1559" width="7" style="65" bestFit="1" customWidth="1"/>
    <col min="1560" max="1560" width="11.28515625" style="65" bestFit="1" customWidth="1"/>
    <col min="1561" max="1792" width="9.140625" style="65"/>
    <col min="1793" max="1793" width="2.85546875" style="65" customWidth="1"/>
    <col min="1794" max="1800" width="11.28515625" style="65" customWidth="1"/>
    <col min="1801" max="1801" width="10" style="65" customWidth="1"/>
    <col min="1802" max="1802" width="43.85546875" style="65" customWidth="1"/>
    <col min="1803" max="1803" width="17.42578125" style="65" customWidth="1"/>
    <col min="1804" max="1805" width="15.7109375" style="65" customWidth="1"/>
    <col min="1806" max="1806" width="9.5703125" style="65" customWidth="1"/>
    <col min="1807" max="1807" width="21.140625" style="65" customWidth="1"/>
    <col min="1808" max="1808" width="40.140625" style="65" customWidth="1"/>
    <col min="1809" max="1809" width="9" style="65" customWidth="1"/>
    <col min="1810" max="1810" width="10.42578125" style="65" bestFit="1" customWidth="1"/>
    <col min="1811" max="1811" width="24.42578125" style="65" customWidth="1"/>
    <col min="1812" max="1812" width="9.140625" style="65"/>
    <col min="1813" max="1813" width="12.7109375" style="65" bestFit="1" customWidth="1"/>
    <col min="1814" max="1814" width="64" style="65" bestFit="1" customWidth="1"/>
    <col min="1815" max="1815" width="7" style="65" bestFit="1" customWidth="1"/>
    <col min="1816" max="1816" width="11.28515625" style="65" bestFit="1" customWidth="1"/>
    <col min="1817" max="2048" width="9.140625" style="65"/>
    <col min="2049" max="2049" width="2.85546875" style="65" customWidth="1"/>
    <col min="2050" max="2056" width="11.28515625" style="65" customWidth="1"/>
    <col min="2057" max="2057" width="10" style="65" customWidth="1"/>
    <col min="2058" max="2058" width="43.85546875" style="65" customWidth="1"/>
    <col min="2059" max="2059" width="17.42578125" style="65" customWidth="1"/>
    <col min="2060" max="2061" width="15.7109375" style="65" customWidth="1"/>
    <col min="2062" max="2062" width="9.5703125" style="65" customWidth="1"/>
    <col min="2063" max="2063" width="21.140625" style="65" customWidth="1"/>
    <col min="2064" max="2064" width="40.140625" style="65" customWidth="1"/>
    <col min="2065" max="2065" width="9" style="65" customWidth="1"/>
    <col min="2066" max="2066" width="10.42578125" style="65" bestFit="1" customWidth="1"/>
    <col min="2067" max="2067" width="24.42578125" style="65" customWidth="1"/>
    <col min="2068" max="2068" width="9.140625" style="65"/>
    <col min="2069" max="2069" width="12.7109375" style="65" bestFit="1" customWidth="1"/>
    <col min="2070" max="2070" width="64" style="65" bestFit="1" customWidth="1"/>
    <col min="2071" max="2071" width="7" style="65" bestFit="1" customWidth="1"/>
    <col min="2072" max="2072" width="11.28515625" style="65" bestFit="1" customWidth="1"/>
    <col min="2073" max="2304" width="9.140625" style="65"/>
    <col min="2305" max="2305" width="2.85546875" style="65" customWidth="1"/>
    <col min="2306" max="2312" width="11.28515625" style="65" customWidth="1"/>
    <col min="2313" max="2313" width="10" style="65" customWidth="1"/>
    <col min="2314" max="2314" width="43.85546875" style="65" customWidth="1"/>
    <col min="2315" max="2315" width="17.42578125" style="65" customWidth="1"/>
    <col min="2316" max="2317" width="15.7109375" style="65" customWidth="1"/>
    <col min="2318" max="2318" width="9.5703125" style="65" customWidth="1"/>
    <col min="2319" max="2319" width="21.140625" style="65" customWidth="1"/>
    <col min="2320" max="2320" width="40.140625" style="65" customWidth="1"/>
    <col min="2321" max="2321" width="9" style="65" customWidth="1"/>
    <col min="2322" max="2322" width="10.42578125" style="65" bestFit="1" customWidth="1"/>
    <col min="2323" max="2323" width="24.42578125" style="65" customWidth="1"/>
    <col min="2324" max="2324" width="9.140625" style="65"/>
    <col min="2325" max="2325" width="12.7109375" style="65" bestFit="1" customWidth="1"/>
    <col min="2326" max="2326" width="64" style="65" bestFit="1" customWidth="1"/>
    <col min="2327" max="2327" width="7" style="65" bestFit="1" customWidth="1"/>
    <col min="2328" max="2328" width="11.28515625" style="65" bestFit="1" customWidth="1"/>
    <col min="2329" max="2560" width="9.140625" style="65"/>
    <col min="2561" max="2561" width="2.85546875" style="65" customWidth="1"/>
    <col min="2562" max="2568" width="11.28515625" style="65" customWidth="1"/>
    <col min="2569" max="2569" width="10" style="65" customWidth="1"/>
    <col min="2570" max="2570" width="43.85546875" style="65" customWidth="1"/>
    <col min="2571" max="2571" width="17.42578125" style="65" customWidth="1"/>
    <col min="2572" max="2573" width="15.7109375" style="65" customWidth="1"/>
    <col min="2574" max="2574" width="9.5703125" style="65" customWidth="1"/>
    <col min="2575" max="2575" width="21.140625" style="65" customWidth="1"/>
    <col min="2576" max="2576" width="40.140625" style="65" customWidth="1"/>
    <col min="2577" max="2577" width="9" style="65" customWidth="1"/>
    <col min="2578" max="2578" width="10.42578125" style="65" bestFit="1" customWidth="1"/>
    <col min="2579" max="2579" width="24.42578125" style="65" customWidth="1"/>
    <col min="2580" max="2580" width="9.140625" style="65"/>
    <col min="2581" max="2581" width="12.7109375" style="65" bestFit="1" customWidth="1"/>
    <col min="2582" max="2582" width="64" style="65" bestFit="1" customWidth="1"/>
    <col min="2583" max="2583" width="7" style="65" bestFit="1" customWidth="1"/>
    <col min="2584" max="2584" width="11.28515625" style="65" bestFit="1" customWidth="1"/>
    <col min="2585" max="2816" width="9.140625" style="65"/>
    <col min="2817" max="2817" width="2.85546875" style="65" customWidth="1"/>
    <col min="2818" max="2824" width="11.28515625" style="65" customWidth="1"/>
    <col min="2825" max="2825" width="10" style="65" customWidth="1"/>
    <col min="2826" max="2826" width="43.85546875" style="65" customWidth="1"/>
    <col min="2827" max="2827" width="17.42578125" style="65" customWidth="1"/>
    <col min="2828" max="2829" width="15.7109375" style="65" customWidth="1"/>
    <col min="2830" max="2830" width="9.5703125" style="65" customWidth="1"/>
    <col min="2831" max="2831" width="21.140625" style="65" customWidth="1"/>
    <col min="2832" max="2832" width="40.140625" style="65" customWidth="1"/>
    <col min="2833" max="2833" width="9" style="65" customWidth="1"/>
    <col min="2834" max="2834" width="10.42578125" style="65" bestFit="1" customWidth="1"/>
    <col min="2835" max="2835" width="24.42578125" style="65" customWidth="1"/>
    <col min="2836" max="2836" width="9.140625" style="65"/>
    <col min="2837" max="2837" width="12.7109375" style="65" bestFit="1" customWidth="1"/>
    <col min="2838" max="2838" width="64" style="65" bestFit="1" customWidth="1"/>
    <col min="2839" max="2839" width="7" style="65" bestFit="1" customWidth="1"/>
    <col min="2840" max="2840" width="11.28515625" style="65" bestFit="1" customWidth="1"/>
    <col min="2841" max="3072" width="9.140625" style="65"/>
    <col min="3073" max="3073" width="2.85546875" style="65" customWidth="1"/>
    <col min="3074" max="3080" width="11.28515625" style="65" customWidth="1"/>
    <col min="3081" max="3081" width="10" style="65" customWidth="1"/>
    <col min="3082" max="3082" width="43.85546875" style="65" customWidth="1"/>
    <col min="3083" max="3083" width="17.42578125" style="65" customWidth="1"/>
    <col min="3084" max="3085" width="15.7109375" style="65" customWidth="1"/>
    <col min="3086" max="3086" width="9.5703125" style="65" customWidth="1"/>
    <col min="3087" max="3087" width="21.140625" style="65" customWidth="1"/>
    <col min="3088" max="3088" width="40.140625" style="65" customWidth="1"/>
    <col min="3089" max="3089" width="9" style="65" customWidth="1"/>
    <col min="3090" max="3090" width="10.42578125" style="65" bestFit="1" customWidth="1"/>
    <col min="3091" max="3091" width="24.42578125" style="65" customWidth="1"/>
    <col min="3092" max="3092" width="9.140625" style="65"/>
    <col min="3093" max="3093" width="12.7109375" style="65" bestFit="1" customWidth="1"/>
    <col min="3094" max="3094" width="64" style="65" bestFit="1" customWidth="1"/>
    <col min="3095" max="3095" width="7" style="65" bestFit="1" customWidth="1"/>
    <col min="3096" max="3096" width="11.28515625" style="65" bestFit="1" customWidth="1"/>
    <col min="3097" max="3328" width="9.140625" style="65"/>
    <col min="3329" max="3329" width="2.85546875" style="65" customWidth="1"/>
    <col min="3330" max="3336" width="11.28515625" style="65" customWidth="1"/>
    <col min="3337" max="3337" width="10" style="65" customWidth="1"/>
    <col min="3338" max="3338" width="43.85546875" style="65" customWidth="1"/>
    <col min="3339" max="3339" width="17.42578125" style="65" customWidth="1"/>
    <col min="3340" max="3341" width="15.7109375" style="65" customWidth="1"/>
    <col min="3342" max="3342" width="9.5703125" style="65" customWidth="1"/>
    <col min="3343" max="3343" width="21.140625" style="65" customWidth="1"/>
    <col min="3344" max="3344" width="40.140625" style="65" customWidth="1"/>
    <col min="3345" max="3345" width="9" style="65" customWidth="1"/>
    <col min="3346" max="3346" width="10.42578125" style="65" bestFit="1" customWidth="1"/>
    <col min="3347" max="3347" width="24.42578125" style="65" customWidth="1"/>
    <col min="3348" max="3348" width="9.140625" style="65"/>
    <col min="3349" max="3349" width="12.7109375" style="65" bestFit="1" customWidth="1"/>
    <col min="3350" max="3350" width="64" style="65" bestFit="1" customWidth="1"/>
    <col min="3351" max="3351" width="7" style="65" bestFit="1" customWidth="1"/>
    <col min="3352" max="3352" width="11.28515625" style="65" bestFit="1" customWidth="1"/>
    <col min="3353" max="3584" width="9.140625" style="65"/>
    <col min="3585" max="3585" width="2.85546875" style="65" customWidth="1"/>
    <col min="3586" max="3592" width="11.28515625" style="65" customWidth="1"/>
    <col min="3593" max="3593" width="10" style="65" customWidth="1"/>
    <col min="3594" max="3594" width="43.85546875" style="65" customWidth="1"/>
    <col min="3595" max="3595" width="17.42578125" style="65" customWidth="1"/>
    <col min="3596" max="3597" width="15.7109375" style="65" customWidth="1"/>
    <col min="3598" max="3598" width="9.5703125" style="65" customWidth="1"/>
    <col min="3599" max="3599" width="21.140625" style="65" customWidth="1"/>
    <col min="3600" max="3600" width="40.140625" style="65" customWidth="1"/>
    <col min="3601" max="3601" width="9" style="65" customWidth="1"/>
    <col min="3602" max="3602" width="10.42578125" style="65" bestFit="1" customWidth="1"/>
    <col min="3603" max="3603" width="24.42578125" style="65" customWidth="1"/>
    <col min="3604" max="3604" width="9.140625" style="65"/>
    <col min="3605" max="3605" width="12.7109375" style="65" bestFit="1" customWidth="1"/>
    <col min="3606" max="3606" width="64" style="65" bestFit="1" customWidth="1"/>
    <col min="3607" max="3607" width="7" style="65" bestFit="1" customWidth="1"/>
    <col min="3608" max="3608" width="11.28515625" style="65" bestFit="1" customWidth="1"/>
    <col min="3609" max="3840" width="9.140625" style="65"/>
    <col min="3841" max="3841" width="2.85546875" style="65" customWidth="1"/>
    <col min="3842" max="3848" width="11.28515625" style="65" customWidth="1"/>
    <col min="3849" max="3849" width="10" style="65" customWidth="1"/>
    <col min="3850" max="3850" width="43.85546875" style="65" customWidth="1"/>
    <col min="3851" max="3851" width="17.42578125" style="65" customWidth="1"/>
    <col min="3852" max="3853" width="15.7109375" style="65" customWidth="1"/>
    <col min="3854" max="3854" width="9.5703125" style="65" customWidth="1"/>
    <col min="3855" max="3855" width="21.140625" style="65" customWidth="1"/>
    <col min="3856" max="3856" width="40.140625" style="65" customWidth="1"/>
    <col min="3857" max="3857" width="9" style="65" customWidth="1"/>
    <col min="3858" max="3858" width="10.42578125" style="65" bestFit="1" customWidth="1"/>
    <col min="3859" max="3859" width="24.42578125" style="65" customWidth="1"/>
    <col min="3860" max="3860" width="9.140625" style="65"/>
    <col min="3861" max="3861" width="12.7109375" style="65" bestFit="1" customWidth="1"/>
    <col min="3862" max="3862" width="64" style="65" bestFit="1" customWidth="1"/>
    <col min="3863" max="3863" width="7" style="65" bestFit="1" customWidth="1"/>
    <col min="3864" max="3864" width="11.28515625" style="65" bestFit="1" customWidth="1"/>
    <col min="3865" max="4096" width="9.140625" style="65"/>
    <col min="4097" max="4097" width="2.85546875" style="65" customWidth="1"/>
    <col min="4098" max="4104" width="11.28515625" style="65" customWidth="1"/>
    <col min="4105" max="4105" width="10" style="65" customWidth="1"/>
    <col min="4106" max="4106" width="43.85546875" style="65" customWidth="1"/>
    <col min="4107" max="4107" width="17.42578125" style="65" customWidth="1"/>
    <col min="4108" max="4109" width="15.7109375" style="65" customWidth="1"/>
    <col min="4110" max="4110" width="9.5703125" style="65" customWidth="1"/>
    <col min="4111" max="4111" width="21.140625" style="65" customWidth="1"/>
    <col min="4112" max="4112" width="40.140625" style="65" customWidth="1"/>
    <col min="4113" max="4113" width="9" style="65" customWidth="1"/>
    <col min="4114" max="4114" width="10.42578125" style="65" bestFit="1" customWidth="1"/>
    <col min="4115" max="4115" width="24.42578125" style="65" customWidth="1"/>
    <col min="4116" max="4116" width="9.140625" style="65"/>
    <col min="4117" max="4117" width="12.7109375" style="65" bestFit="1" customWidth="1"/>
    <col min="4118" max="4118" width="64" style="65" bestFit="1" customWidth="1"/>
    <col min="4119" max="4119" width="7" style="65" bestFit="1" customWidth="1"/>
    <col min="4120" max="4120" width="11.28515625" style="65" bestFit="1" customWidth="1"/>
    <col min="4121" max="4352" width="9.140625" style="65"/>
    <col min="4353" max="4353" width="2.85546875" style="65" customWidth="1"/>
    <col min="4354" max="4360" width="11.28515625" style="65" customWidth="1"/>
    <col min="4361" max="4361" width="10" style="65" customWidth="1"/>
    <col min="4362" max="4362" width="43.85546875" style="65" customWidth="1"/>
    <col min="4363" max="4363" width="17.42578125" style="65" customWidth="1"/>
    <col min="4364" max="4365" width="15.7109375" style="65" customWidth="1"/>
    <col min="4366" max="4366" width="9.5703125" style="65" customWidth="1"/>
    <col min="4367" max="4367" width="21.140625" style="65" customWidth="1"/>
    <col min="4368" max="4368" width="40.140625" style="65" customWidth="1"/>
    <col min="4369" max="4369" width="9" style="65" customWidth="1"/>
    <col min="4370" max="4370" width="10.42578125" style="65" bestFit="1" customWidth="1"/>
    <col min="4371" max="4371" width="24.42578125" style="65" customWidth="1"/>
    <col min="4372" max="4372" width="9.140625" style="65"/>
    <col min="4373" max="4373" width="12.7109375" style="65" bestFit="1" customWidth="1"/>
    <col min="4374" max="4374" width="64" style="65" bestFit="1" customWidth="1"/>
    <col min="4375" max="4375" width="7" style="65" bestFit="1" customWidth="1"/>
    <col min="4376" max="4376" width="11.28515625" style="65" bestFit="1" customWidth="1"/>
    <col min="4377" max="4608" width="9.140625" style="65"/>
    <col min="4609" max="4609" width="2.85546875" style="65" customWidth="1"/>
    <col min="4610" max="4616" width="11.28515625" style="65" customWidth="1"/>
    <col min="4617" max="4617" width="10" style="65" customWidth="1"/>
    <col min="4618" max="4618" width="43.85546875" style="65" customWidth="1"/>
    <col min="4619" max="4619" width="17.42578125" style="65" customWidth="1"/>
    <col min="4620" max="4621" width="15.7109375" style="65" customWidth="1"/>
    <col min="4622" max="4622" width="9.5703125" style="65" customWidth="1"/>
    <col min="4623" max="4623" width="21.140625" style="65" customWidth="1"/>
    <col min="4624" max="4624" width="40.140625" style="65" customWidth="1"/>
    <col min="4625" max="4625" width="9" style="65" customWidth="1"/>
    <col min="4626" max="4626" width="10.42578125" style="65" bestFit="1" customWidth="1"/>
    <col min="4627" max="4627" width="24.42578125" style="65" customWidth="1"/>
    <col min="4628" max="4628" width="9.140625" style="65"/>
    <col min="4629" max="4629" width="12.7109375" style="65" bestFit="1" customWidth="1"/>
    <col min="4630" max="4630" width="64" style="65" bestFit="1" customWidth="1"/>
    <col min="4631" max="4631" width="7" style="65" bestFit="1" customWidth="1"/>
    <col min="4632" max="4632" width="11.28515625" style="65" bestFit="1" customWidth="1"/>
    <col min="4633" max="4864" width="9.140625" style="65"/>
    <col min="4865" max="4865" width="2.85546875" style="65" customWidth="1"/>
    <col min="4866" max="4872" width="11.28515625" style="65" customWidth="1"/>
    <col min="4873" max="4873" width="10" style="65" customWidth="1"/>
    <col min="4874" max="4874" width="43.85546875" style="65" customWidth="1"/>
    <col min="4875" max="4875" width="17.42578125" style="65" customWidth="1"/>
    <col min="4876" max="4877" width="15.7109375" style="65" customWidth="1"/>
    <col min="4878" max="4878" width="9.5703125" style="65" customWidth="1"/>
    <col min="4879" max="4879" width="21.140625" style="65" customWidth="1"/>
    <col min="4880" max="4880" width="40.140625" style="65" customWidth="1"/>
    <col min="4881" max="4881" width="9" style="65" customWidth="1"/>
    <col min="4882" max="4882" width="10.42578125" style="65" bestFit="1" customWidth="1"/>
    <col min="4883" max="4883" width="24.42578125" style="65" customWidth="1"/>
    <col min="4884" max="4884" width="9.140625" style="65"/>
    <col min="4885" max="4885" width="12.7109375" style="65" bestFit="1" customWidth="1"/>
    <col min="4886" max="4886" width="64" style="65" bestFit="1" customWidth="1"/>
    <col min="4887" max="4887" width="7" style="65" bestFit="1" customWidth="1"/>
    <col min="4888" max="4888" width="11.28515625" style="65" bestFit="1" customWidth="1"/>
    <col min="4889" max="5120" width="9.140625" style="65"/>
    <col min="5121" max="5121" width="2.85546875" style="65" customWidth="1"/>
    <col min="5122" max="5128" width="11.28515625" style="65" customWidth="1"/>
    <col min="5129" max="5129" width="10" style="65" customWidth="1"/>
    <col min="5130" max="5130" width="43.85546875" style="65" customWidth="1"/>
    <col min="5131" max="5131" width="17.42578125" style="65" customWidth="1"/>
    <col min="5132" max="5133" width="15.7109375" style="65" customWidth="1"/>
    <col min="5134" max="5134" width="9.5703125" style="65" customWidth="1"/>
    <col min="5135" max="5135" width="21.140625" style="65" customWidth="1"/>
    <col min="5136" max="5136" width="40.140625" style="65" customWidth="1"/>
    <col min="5137" max="5137" width="9" style="65" customWidth="1"/>
    <col min="5138" max="5138" width="10.42578125" style="65" bestFit="1" customWidth="1"/>
    <col min="5139" max="5139" width="24.42578125" style="65" customWidth="1"/>
    <col min="5140" max="5140" width="9.140625" style="65"/>
    <col min="5141" max="5141" width="12.7109375" style="65" bestFit="1" customWidth="1"/>
    <col min="5142" max="5142" width="64" style="65" bestFit="1" customWidth="1"/>
    <col min="5143" max="5143" width="7" style="65" bestFit="1" customWidth="1"/>
    <col min="5144" max="5144" width="11.28515625" style="65" bestFit="1" customWidth="1"/>
    <col min="5145" max="5376" width="9.140625" style="65"/>
    <col min="5377" max="5377" width="2.85546875" style="65" customWidth="1"/>
    <col min="5378" max="5384" width="11.28515625" style="65" customWidth="1"/>
    <col min="5385" max="5385" width="10" style="65" customWidth="1"/>
    <col min="5386" max="5386" width="43.85546875" style="65" customWidth="1"/>
    <col min="5387" max="5387" width="17.42578125" style="65" customWidth="1"/>
    <col min="5388" max="5389" width="15.7109375" style="65" customWidth="1"/>
    <col min="5390" max="5390" width="9.5703125" style="65" customWidth="1"/>
    <col min="5391" max="5391" width="21.140625" style="65" customWidth="1"/>
    <col min="5392" max="5392" width="40.140625" style="65" customWidth="1"/>
    <col min="5393" max="5393" width="9" style="65" customWidth="1"/>
    <col min="5394" max="5394" width="10.42578125" style="65" bestFit="1" customWidth="1"/>
    <col min="5395" max="5395" width="24.42578125" style="65" customWidth="1"/>
    <col min="5396" max="5396" width="9.140625" style="65"/>
    <col min="5397" max="5397" width="12.7109375" style="65" bestFit="1" customWidth="1"/>
    <col min="5398" max="5398" width="64" style="65" bestFit="1" customWidth="1"/>
    <col min="5399" max="5399" width="7" style="65" bestFit="1" customWidth="1"/>
    <col min="5400" max="5400" width="11.28515625" style="65" bestFit="1" customWidth="1"/>
    <col min="5401" max="5632" width="9.140625" style="65"/>
    <col min="5633" max="5633" width="2.85546875" style="65" customWidth="1"/>
    <col min="5634" max="5640" width="11.28515625" style="65" customWidth="1"/>
    <col min="5641" max="5641" width="10" style="65" customWidth="1"/>
    <col min="5642" max="5642" width="43.85546875" style="65" customWidth="1"/>
    <col min="5643" max="5643" width="17.42578125" style="65" customWidth="1"/>
    <col min="5644" max="5645" width="15.7109375" style="65" customWidth="1"/>
    <col min="5646" max="5646" width="9.5703125" style="65" customWidth="1"/>
    <col min="5647" max="5647" width="21.140625" style="65" customWidth="1"/>
    <col min="5648" max="5648" width="40.140625" style="65" customWidth="1"/>
    <col min="5649" max="5649" width="9" style="65" customWidth="1"/>
    <col min="5650" max="5650" width="10.42578125" style="65" bestFit="1" customWidth="1"/>
    <col min="5651" max="5651" width="24.42578125" style="65" customWidth="1"/>
    <col min="5652" max="5652" width="9.140625" style="65"/>
    <col min="5653" max="5653" width="12.7109375" style="65" bestFit="1" customWidth="1"/>
    <col min="5654" max="5654" width="64" style="65" bestFit="1" customWidth="1"/>
    <col min="5655" max="5655" width="7" style="65" bestFit="1" customWidth="1"/>
    <col min="5656" max="5656" width="11.28515625" style="65" bestFit="1" customWidth="1"/>
    <col min="5657" max="5888" width="9.140625" style="65"/>
    <col min="5889" max="5889" width="2.85546875" style="65" customWidth="1"/>
    <col min="5890" max="5896" width="11.28515625" style="65" customWidth="1"/>
    <col min="5897" max="5897" width="10" style="65" customWidth="1"/>
    <col min="5898" max="5898" width="43.85546875" style="65" customWidth="1"/>
    <col min="5899" max="5899" width="17.42578125" style="65" customWidth="1"/>
    <col min="5900" max="5901" width="15.7109375" style="65" customWidth="1"/>
    <col min="5902" max="5902" width="9.5703125" style="65" customWidth="1"/>
    <col min="5903" max="5903" width="21.140625" style="65" customWidth="1"/>
    <col min="5904" max="5904" width="40.140625" style="65" customWidth="1"/>
    <col min="5905" max="5905" width="9" style="65" customWidth="1"/>
    <col min="5906" max="5906" width="10.42578125" style="65" bestFit="1" customWidth="1"/>
    <col min="5907" max="5907" width="24.42578125" style="65" customWidth="1"/>
    <col min="5908" max="5908" width="9.140625" style="65"/>
    <col min="5909" max="5909" width="12.7109375" style="65" bestFit="1" customWidth="1"/>
    <col min="5910" max="5910" width="64" style="65" bestFit="1" customWidth="1"/>
    <col min="5911" max="5911" width="7" style="65" bestFit="1" customWidth="1"/>
    <col min="5912" max="5912" width="11.28515625" style="65" bestFit="1" customWidth="1"/>
    <col min="5913" max="6144" width="9.140625" style="65"/>
    <col min="6145" max="6145" width="2.85546875" style="65" customWidth="1"/>
    <col min="6146" max="6152" width="11.28515625" style="65" customWidth="1"/>
    <col min="6153" max="6153" width="10" style="65" customWidth="1"/>
    <col min="6154" max="6154" width="43.85546875" style="65" customWidth="1"/>
    <col min="6155" max="6155" width="17.42578125" style="65" customWidth="1"/>
    <col min="6156" max="6157" width="15.7109375" style="65" customWidth="1"/>
    <col min="6158" max="6158" width="9.5703125" style="65" customWidth="1"/>
    <col min="6159" max="6159" width="21.140625" style="65" customWidth="1"/>
    <col min="6160" max="6160" width="40.140625" style="65" customWidth="1"/>
    <col min="6161" max="6161" width="9" style="65" customWidth="1"/>
    <col min="6162" max="6162" width="10.42578125" style="65" bestFit="1" customWidth="1"/>
    <col min="6163" max="6163" width="24.42578125" style="65" customWidth="1"/>
    <col min="6164" max="6164" width="9.140625" style="65"/>
    <col min="6165" max="6165" width="12.7109375" style="65" bestFit="1" customWidth="1"/>
    <col min="6166" max="6166" width="64" style="65" bestFit="1" customWidth="1"/>
    <col min="6167" max="6167" width="7" style="65" bestFit="1" customWidth="1"/>
    <col min="6168" max="6168" width="11.28515625" style="65" bestFit="1" customWidth="1"/>
    <col min="6169" max="6400" width="9.140625" style="65"/>
    <col min="6401" max="6401" width="2.85546875" style="65" customWidth="1"/>
    <col min="6402" max="6408" width="11.28515625" style="65" customWidth="1"/>
    <col min="6409" max="6409" width="10" style="65" customWidth="1"/>
    <col min="6410" max="6410" width="43.85546875" style="65" customWidth="1"/>
    <col min="6411" max="6411" width="17.42578125" style="65" customWidth="1"/>
    <col min="6412" max="6413" width="15.7109375" style="65" customWidth="1"/>
    <col min="6414" max="6414" width="9.5703125" style="65" customWidth="1"/>
    <col min="6415" max="6415" width="21.140625" style="65" customWidth="1"/>
    <col min="6416" max="6416" width="40.140625" style="65" customWidth="1"/>
    <col min="6417" max="6417" width="9" style="65" customWidth="1"/>
    <col min="6418" max="6418" width="10.42578125" style="65" bestFit="1" customWidth="1"/>
    <col min="6419" max="6419" width="24.42578125" style="65" customWidth="1"/>
    <col min="6420" max="6420" width="9.140625" style="65"/>
    <col min="6421" max="6421" width="12.7109375" style="65" bestFit="1" customWidth="1"/>
    <col min="6422" max="6422" width="64" style="65" bestFit="1" customWidth="1"/>
    <col min="6423" max="6423" width="7" style="65" bestFit="1" customWidth="1"/>
    <col min="6424" max="6424" width="11.28515625" style="65" bestFit="1" customWidth="1"/>
    <col min="6425" max="6656" width="9.140625" style="65"/>
    <col min="6657" max="6657" width="2.85546875" style="65" customWidth="1"/>
    <col min="6658" max="6664" width="11.28515625" style="65" customWidth="1"/>
    <col min="6665" max="6665" width="10" style="65" customWidth="1"/>
    <col min="6666" max="6666" width="43.85546875" style="65" customWidth="1"/>
    <col min="6667" max="6667" width="17.42578125" style="65" customWidth="1"/>
    <col min="6668" max="6669" width="15.7109375" style="65" customWidth="1"/>
    <col min="6670" max="6670" width="9.5703125" style="65" customWidth="1"/>
    <col min="6671" max="6671" width="21.140625" style="65" customWidth="1"/>
    <col min="6672" max="6672" width="40.140625" style="65" customWidth="1"/>
    <col min="6673" max="6673" width="9" style="65" customWidth="1"/>
    <col min="6674" max="6674" width="10.42578125" style="65" bestFit="1" customWidth="1"/>
    <col min="6675" max="6675" width="24.42578125" style="65" customWidth="1"/>
    <col min="6676" max="6676" width="9.140625" style="65"/>
    <col min="6677" max="6677" width="12.7109375" style="65" bestFit="1" customWidth="1"/>
    <col min="6678" max="6678" width="64" style="65" bestFit="1" customWidth="1"/>
    <col min="6679" max="6679" width="7" style="65" bestFit="1" customWidth="1"/>
    <col min="6680" max="6680" width="11.28515625" style="65" bestFit="1" customWidth="1"/>
    <col min="6681" max="6912" width="9.140625" style="65"/>
    <col min="6913" max="6913" width="2.85546875" style="65" customWidth="1"/>
    <col min="6914" max="6920" width="11.28515625" style="65" customWidth="1"/>
    <col min="6921" max="6921" width="10" style="65" customWidth="1"/>
    <col min="6922" max="6922" width="43.85546875" style="65" customWidth="1"/>
    <col min="6923" max="6923" width="17.42578125" style="65" customWidth="1"/>
    <col min="6924" max="6925" width="15.7109375" style="65" customWidth="1"/>
    <col min="6926" max="6926" width="9.5703125" style="65" customWidth="1"/>
    <col min="6927" max="6927" width="21.140625" style="65" customWidth="1"/>
    <col min="6928" max="6928" width="40.140625" style="65" customWidth="1"/>
    <col min="6929" max="6929" width="9" style="65" customWidth="1"/>
    <col min="6930" max="6930" width="10.42578125" style="65" bestFit="1" customWidth="1"/>
    <col min="6931" max="6931" width="24.42578125" style="65" customWidth="1"/>
    <col min="6932" max="6932" width="9.140625" style="65"/>
    <col min="6933" max="6933" width="12.7109375" style="65" bestFit="1" customWidth="1"/>
    <col min="6934" max="6934" width="64" style="65" bestFit="1" customWidth="1"/>
    <col min="6935" max="6935" width="7" style="65" bestFit="1" customWidth="1"/>
    <col min="6936" max="6936" width="11.28515625" style="65" bestFit="1" customWidth="1"/>
    <col min="6937" max="7168" width="9.140625" style="65"/>
    <col min="7169" max="7169" width="2.85546875" style="65" customWidth="1"/>
    <col min="7170" max="7176" width="11.28515625" style="65" customWidth="1"/>
    <col min="7177" max="7177" width="10" style="65" customWidth="1"/>
    <col min="7178" max="7178" width="43.85546875" style="65" customWidth="1"/>
    <col min="7179" max="7179" width="17.42578125" style="65" customWidth="1"/>
    <col min="7180" max="7181" width="15.7109375" style="65" customWidth="1"/>
    <col min="7182" max="7182" width="9.5703125" style="65" customWidth="1"/>
    <col min="7183" max="7183" width="21.140625" style="65" customWidth="1"/>
    <col min="7184" max="7184" width="40.140625" style="65" customWidth="1"/>
    <col min="7185" max="7185" width="9" style="65" customWidth="1"/>
    <col min="7186" max="7186" width="10.42578125" style="65" bestFit="1" customWidth="1"/>
    <col min="7187" max="7187" width="24.42578125" style="65" customWidth="1"/>
    <col min="7188" max="7188" width="9.140625" style="65"/>
    <col min="7189" max="7189" width="12.7109375" style="65" bestFit="1" customWidth="1"/>
    <col min="7190" max="7190" width="64" style="65" bestFit="1" customWidth="1"/>
    <col min="7191" max="7191" width="7" style="65" bestFit="1" customWidth="1"/>
    <col min="7192" max="7192" width="11.28515625" style="65" bestFit="1" customWidth="1"/>
    <col min="7193" max="7424" width="9.140625" style="65"/>
    <col min="7425" max="7425" width="2.85546875" style="65" customWidth="1"/>
    <col min="7426" max="7432" width="11.28515625" style="65" customWidth="1"/>
    <col min="7433" max="7433" width="10" style="65" customWidth="1"/>
    <col min="7434" max="7434" width="43.85546875" style="65" customWidth="1"/>
    <col min="7435" max="7435" width="17.42578125" style="65" customWidth="1"/>
    <col min="7436" max="7437" width="15.7109375" style="65" customWidth="1"/>
    <col min="7438" max="7438" width="9.5703125" style="65" customWidth="1"/>
    <col min="7439" max="7439" width="21.140625" style="65" customWidth="1"/>
    <col min="7440" max="7440" width="40.140625" style="65" customWidth="1"/>
    <col min="7441" max="7441" width="9" style="65" customWidth="1"/>
    <col min="7442" max="7442" width="10.42578125" style="65" bestFit="1" customWidth="1"/>
    <col min="7443" max="7443" width="24.42578125" style="65" customWidth="1"/>
    <col min="7444" max="7444" width="9.140625" style="65"/>
    <col min="7445" max="7445" width="12.7109375" style="65" bestFit="1" customWidth="1"/>
    <col min="7446" max="7446" width="64" style="65" bestFit="1" customWidth="1"/>
    <col min="7447" max="7447" width="7" style="65" bestFit="1" customWidth="1"/>
    <col min="7448" max="7448" width="11.28515625" style="65" bestFit="1" customWidth="1"/>
    <col min="7449" max="7680" width="9.140625" style="65"/>
    <col min="7681" max="7681" width="2.85546875" style="65" customWidth="1"/>
    <col min="7682" max="7688" width="11.28515625" style="65" customWidth="1"/>
    <col min="7689" max="7689" width="10" style="65" customWidth="1"/>
    <col min="7690" max="7690" width="43.85546875" style="65" customWidth="1"/>
    <col min="7691" max="7691" width="17.42578125" style="65" customWidth="1"/>
    <col min="7692" max="7693" width="15.7109375" style="65" customWidth="1"/>
    <col min="7694" max="7694" width="9.5703125" style="65" customWidth="1"/>
    <col min="7695" max="7695" width="21.140625" style="65" customWidth="1"/>
    <col min="7696" max="7696" width="40.140625" style="65" customWidth="1"/>
    <col min="7697" max="7697" width="9" style="65" customWidth="1"/>
    <col min="7698" max="7698" width="10.42578125" style="65" bestFit="1" customWidth="1"/>
    <col min="7699" max="7699" width="24.42578125" style="65" customWidth="1"/>
    <col min="7700" max="7700" width="9.140625" style="65"/>
    <col min="7701" max="7701" width="12.7109375" style="65" bestFit="1" customWidth="1"/>
    <col min="7702" max="7702" width="64" style="65" bestFit="1" customWidth="1"/>
    <col min="7703" max="7703" width="7" style="65" bestFit="1" customWidth="1"/>
    <col min="7704" max="7704" width="11.28515625" style="65" bestFit="1" customWidth="1"/>
    <col min="7705" max="7936" width="9.140625" style="65"/>
    <col min="7937" max="7937" width="2.85546875" style="65" customWidth="1"/>
    <col min="7938" max="7944" width="11.28515625" style="65" customWidth="1"/>
    <col min="7945" max="7945" width="10" style="65" customWidth="1"/>
    <col min="7946" max="7946" width="43.85546875" style="65" customWidth="1"/>
    <col min="7947" max="7947" width="17.42578125" style="65" customWidth="1"/>
    <col min="7948" max="7949" width="15.7109375" style="65" customWidth="1"/>
    <col min="7950" max="7950" width="9.5703125" style="65" customWidth="1"/>
    <col min="7951" max="7951" width="21.140625" style="65" customWidth="1"/>
    <col min="7952" max="7952" width="40.140625" style="65" customWidth="1"/>
    <col min="7953" max="7953" width="9" style="65" customWidth="1"/>
    <col min="7954" max="7954" width="10.42578125" style="65" bestFit="1" customWidth="1"/>
    <col min="7955" max="7955" width="24.42578125" style="65" customWidth="1"/>
    <col min="7956" max="7956" width="9.140625" style="65"/>
    <col min="7957" max="7957" width="12.7109375" style="65" bestFit="1" customWidth="1"/>
    <col min="7958" max="7958" width="64" style="65" bestFit="1" customWidth="1"/>
    <col min="7959" max="7959" width="7" style="65" bestFit="1" customWidth="1"/>
    <col min="7960" max="7960" width="11.28515625" style="65" bestFit="1" customWidth="1"/>
    <col min="7961" max="8192" width="9.140625" style="65"/>
    <col min="8193" max="8193" width="2.85546875" style="65" customWidth="1"/>
    <col min="8194" max="8200" width="11.28515625" style="65" customWidth="1"/>
    <col min="8201" max="8201" width="10" style="65" customWidth="1"/>
    <col min="8202" max="8202" width="43.85546875" style="65" customWidth="1"/>
    <col min="8203" max="8203" width="17.42578125" style="65" customWidth="1"/>
    <col min="8204" max="8205" width="15.7109375" style="65" customWidth="1"/>
    <col min="8206" max="8206" width="9.5703125" style="65" customWidth="1"/>
    <col min="8207" max="8207" width="21.140625" style="65" customWidth="1"/>
    <col min="8208" max="8208" width="40.140625" style="65" customWidth="1"/>
    <col min="8209" max="8209" width="9" style="65" customWidth="1"/>
    <col min="8210" max="8210" width="10.42578125" style="65" bestFit="1" customWidth="1"/>
    <col min="8211" max="8211" width="24.42578125" style="65" customWidth="1"/>
    <col min="8212" max="8212" width="9.140625" style="65"/>
    <col min="8213" max="8213" width="12.7109375" style="65" bestFit="1" customWidth="1"/>
    <col min="8214" max="8214" width="64" style="65" bestFit="1" customWidth="1"/>
    <col min="8215" max="8215" width="7" style="65" bestFit="1" customWidth="1"/>
    <col min="8216" max="8216" width="11.28515625" style="65" bestFit="1" customWidth="1"/>
    <col min="8217" max="8448" width="9.140625" style="65"/>
    <col min="8449" max="8449" width="2.85546875" style="65" customWidth="1"/>
    <col min="8450" max="8456" width="11.28515625" style="65" customWidth="1"/>
    <col min="8457" max="8457" width="10" style="65" customWidth="1"/>
    <col min="8458" max="8458" width="43.85546875" style="65" customWidth="1"/>
    <col min="8459" max="8459" width="17.42578125" style="65" customWidth="1"/>
    <col min="8460" max="8461" width="15.7109375" style="65" customWidth="1"/>
    <col min="8462" max="8462" width="9.5703125" style="65" customWidth="1"/>
    <col min="8463" max="8463" width="21.140625" style="65" customWidth="1"/>
    <col min="8464" max="8464" width="40.140625" style="65" customWidth="1"/>
    <col min="8465" max="8465" width="9" style="65" customWidth="1"/>
    <col min="8466" max="8466" width="10.42578125" style="65" bestFit="1" customWidth="1"/>
    <col min="8467" max="8467" width="24.42578125" style="65" customWidth="1"/>
    <col min="8468" max="8468" width="9.140625" style="65"/>
    <col min="8469" max="8469" width="12.7109375" style="65" bestFit="1" customWidth="1"/>
    <col min="8470" max="8470" width="64" style="65" bestFit="1" customWidth="1"/>
    <col min="8471" max="8471" width="7" style="65" bestFit="1" customWidth="1"/>
    <col min="8472" max="8472" width="11.28515625" style="65" bestFit="1" customWidth="1"/>
    <col min="8473" max="8704" width="9.140625" style="65"/>
    <col min="8705" max="8705" width="2.85546875" style="65" customWidth="1"/>
    <col min="8706" max="8712" width="11.28515625" style="65" customWidth="1"/>
    <col min="8713" max="8713" width="10" style="65" customWidth="1"/>
    <col min="8714" max="8714" width="43.85546875" style="65" customWidth="1"/>
    <col min="8715" max="8715" width="17.42578125" style="65" customWidth="1"/>
    <col min="8716" max="8717" width="15.7109375" style="65" customWidth="1"/>
    <col min="8718" max="8718" width="9.5703125" style="65" customWidth="1"/>
    <col min="8719" max="8719" width="21.140625" style="65" customWidth="1"/>
    <col min="8720" max="8720" width="40.140625" style="65" customWidth="1"/>
    <col min="8721" max="8721" width="9" style="65" customWidth="1"/>
    <col min="8722" max="8722" width="10.42578125" style="65" bestFit="1" customWidth="1"/>
    <col min="8723" max="8723" width="24.42578125" style="65" customWidth="1"/>
    <col min="8724" max="8724" width="9.140625" style="65"/>
    <col min="8725" max="8725" width="12.7109375" style="65" bestFit="1" customWidth="1"/>
    <col min="8726" max="8726" width="64" style="65" bestFit="1" customWidth="1"/>
    <col min="8727" max="8727" width="7" style="65" bestFit="1" customWidth="1"/>
    <col min="8728" max="8728" width="11.28515625" style="65" bestFit="1" customWidth="1"/>
    <col min="8729" max="8960" width="9.140625" style="65"/>
    <col min="8961" max="8961" width="2.85546875" style="65" customWidth="1"/>
    <col min="8962" max="8968" width="11.28515625" style="65" customWidth="1"/>
    <col min="8969" max="8969" width="10" style="65" customWidth="1"/>
    <col min="8970" max="8970" width="43.85546875" style="65" customWidth="1"/>
    <col min="8971" max="8971" width="17.42578125" style="65" customWidth="1"/>
    <col min="8972" max="8973" width="15.7109375" style="65" customWidth="1"/>
    <col min="8974" max="8974" width="9.5703125" style="65" customWidth="1"/>
    <col min="8975" max="8975" width="21.140625" style="65" customWidth="1"/>
    <col min="8976" max="8976" width="40.140625" style="65" customWidth="1"/>
    <col min="8977" max="8977" width="9" style="65" customWidth="1"/>
    <col min="8978" max="8978" width="10.42578125" style="65" bestFit="1" customWidth="1"/>
    <col min="8979" max="8979" width="24.42578125" style="65" customWidth="1"/>
    <col min="8980" max="8980" width="9.140625" style="65"/>
    <col min="8981" max="8981" width="12.7109375" style="65" bestFit="1" customWidth="1"/>
    <col min="8982" max="8982" width="64" style="65" bestFit="1" customWidth="1"/>
    <col min="8983" max="8983" width="7" style="65" bestFit="1" customWidth="1"/>
    <col min="8984" max="8984" width="11.28515625" style="65" bestFit="1" customWidth="1"/>
    <col min="8985" max="9216" width="9.140625" style="65"/>
    <col min="9217" max="9217" width="2.85546875" style="65" customWidth="1"/>
    <col min="9218" max="9224" width="11.28515625" style="65" customWidth="1"/>
    <col min="9225" max="9225" width="10" style="65" customWidth="1"/>
    <col min="9226" max="9226" width="43.85546875" style="65" customWidth="1"/>
    <col min="9227" max="9227" width="17.42578125" style="65" customWidth="1"/>
    <col min="9228" max="9229" width="15.7109375" style="65" customWidth="1"/>
    <col min="9230" max="9230" width="9.5703125" style="65" customWidth="1"/>
    <col min="9231" max="9231" width="21.140625" style="65" customWidth="1"/>
    <col min="9232" max="9232" width="40.140625" style="65" customWidth="1"/>
    <col min="9233" max="9233" width="9" style="65" customWidth="1"/>
    <col min="9234" max="9234" width="10.42578125" style="65" bestFit="1" customWidth="1"/>
    <col min="9235" max="9235" width="24.42578125" style="65" customWidth="1"/>
    <col min="9236" max="9236" width="9.140625" style="65"/>
    <col min="9237" max="9237" width="12.7109375" style="65" bestFit="1" customWidth="1"/>
    <col min="9238" max="9238" width="64" style="65" bestFit="1" customWidth="1"/>
    <col min="9239" max="9239" width="7" style="65" bestFit="1" customWidth="1"/>
    <col min="9240" max="9240" width="11.28515625" style="65" bestFit="1" customWidth="1"/>
    <col min="9241" max="9472" width="9.140625" style="65"/>
    <col min="9473" max="9473" width="2.85546875" style="65" customWidth="1"/>
    <col min="9474" max="9480" width="11.28515625" style="65" customWidth="1"/>
    <col min="9481" max="9481" width="10" style="65" customWidth="1"/>
    <col min="9482" max="9482" width="43.85546875" style="65" customWidth="1"/>
    <col min="9483" max="9483" width="17.42578125" style="65" customWidth="1"/>
    <col min="9484" max="9485" width="15.7109375" style="65" customWidth="1"/>
    <col min="9486" max="9486" width="9.5703125" style="65" customWidth="1"/>
    <col min="9487" max="9487" width="21.140625" style="65" customWidth="1"/>
    <col min="9488" max="9488" width="40.140625" style="65" customWidth="1"/>
    <col min="9489" max="9489" width="9" style="65" customWidth="1"/>
    <col min="9490" max="9490" width="10.42578125" style="65" bestFit="1" customWidth="1"/>
    <col min="9491" max="9491" width="24.42578125" style="65" customWidth="1"/>
    <col min="9492" max="9492" width="9.140625" style="65"/>
    <col min="9493" max="9493" width="12.7109375" style="65" bestFit="1" customWidth="1"/>
    <col min="9494" max="9494" width="64" style="65" bestFit="1" customWidth="1"/>
    <col min="9495" max="9495" width="7" style="65" bestFit="1" customWidth="1"/>
    <col min="9496" max="9496" width="11.28515625" style="65" bestFit="1" customWidth="1"/>
    <col min="9497" max="9728" width="9.140625" style="65"/>
    <col min="9729" max="9729" width="2.85546875" style="65" customWidth="1"/>
    <col min="9730" max="9736" width="11.28515625" style="65" customWidth="1"/>
    <col min="9737" max="9737" width="10" style="65" customWidth="1"/>
    <col min="9738" max="9738" width="43.85546875" style="65" customWidth="1"/>
    <col min="9739" max="9739" width="17.42578125" style="65" customWidth="1"/>
    <col min="9740" max="9741" width="15.7109375" style="65" customWidth="1"/>
    <col min="9742" max="9742" width="9.5703125" style="65" customWidth="1"/>
    <col min="9743" max="9743" width="21.140625" style="65" customWidth="1"/>
    <col min="9744" max="9744" width="40.140625" style="65" customWidth="1"/>
    <col min="9745" max="9745" width="9" style="65" customWidth="1"/>
    <col min="9746" max="9746" width="10.42578125" style="65" bestFit="1" customWidth="1"/>
    <col min="9747" max="9747" width="24.42578125" style="65" customWidth="1"/>
    <col min="9748" max="9748" width="9.140625" style="65"/>
    <col min="9749" max="9749" width="12.7109375" style="65" bestFit="1" customWidth="1"/>
    <col min="9750" max="9750" width="64" style="65" bestFit="1" customWidth="1"/>
    <col min="9751" max="9751" width="7" style="65" bestFit="1" customWidth="1"/>
    <col min="9752" max="9752" width="11.28515625" style="65" bestFit="1" customWidth="1"/>
    <col min="9753" max="9984" width="9.140625" style="65"/>
    <col min="9985" max="9985" width="2.85546875" style="65" customWidth="1"/>
    <col min="9986" max="9992" width="11.28515625" style="65" customWidth="1"/>
    <col min="9993" max="9993" width="10" style="65" customWidth="1"/>
    <col min="9994" max="9994" width="43.85546875" style="65" customWidth="1"/>
    <col min="9995" max="9995" width="17.42578125" style="65" customWidth="1"/>
    <col min="9996" max="9997" width="15.7109375" style="65" customWidth="1"/>
    <col min="9998" max="9998" width="9.5703125" style="65" customWidth="1"/>
    <col min="9999" max="9999" width="21.140625" style="65" customWidth="1"/>
    <col min="10000" max="10000" width="40.140625" style="65" customWidth="1"/>
    <col min="10001" max="10001" width="9" style="65" customWidth="1"/>
    <col min="10002" max="10002" width="10.42578125" style="65" bestFit="1" customWidth="1"/>
    <col min="10003" max="10003" width="24.42578125" style="65" customWidth="1"/>
    <col min="10004" max="10004" width="9.140625" style="65"/>
    <col min="10005" max="10005" width="12.7109375" style="65" bestFit="1" customWidth="1"/>
    <col min="10006" max="10006" width="64" style="65" bestFit="1" customWidth="1"/>
    <col min="10007" max="10007" width="7" style="65" bestFit="1" customWidth="1"/>
    <col min="10008" max="10008" width="11.28515625" style="65" bestFit="1" customWidth="1"/>
    <col min="10009" max="10240" width="9.140625" style="65"/>
    <col min="10241" max="10241" width="2.85546875" style="65" customWidth="1"/>
    <col min="10242" max="10248" width="11.28515625" style="65" customWidth="1"/>
    <col min="10249" max="10249" width="10" style="65" customWidth="1"/>
    <col min="10250" max="10250" width="43.85546875" style="65" customWidth="1"/>
    <col min="10251" max="10251" width="17.42578125" style="65" customWidth="1"/>
    <col min="10252" max="10253" width="15.7109375" style="65" customWidth="1"/>
    <col min="10254" max="10254" width="9.5703125" style="65" customWidth="1"/>
    <col min="10255" max="10255" width="21.140625" style="65" customWidth="1"/>
    <col min="10256" max="10256" width="40.140625" style="65" customWidth="1"/>
    <col min="10257" max="10257" width="9" style="65" customWidth="1"/>
    <col min="10258" max="10258" width="10.42578125" style="65" bestFit="1" customWidth="1"/>
    <col min="10259" max="10259" width="24.42578125" style="65" customWidth="1"/>
    <col min="10260" max="10260" width="9.140625" style="65"/>
    <col min="10261" max="10261" width="12.7109375" style="65" bestFit="1" customWidth="1"/>
    <col min="10262" max="10262" width="64" style="65" bestFit="1" customWidth="1"/>
    <col min="10263" max="10263" width="7" style="65" bestFit="1" customWidth="1"/>
    <col min="10264" max="10264" width="11.28515625" style="65" bestFit="1" customWidth="1"/>
    <col min="10265" max="10496" width="9.140625" style="65"/>
    <col min="10497" max="10497" width="2.85546875" style="65" customWidth="1"/>
    <col min="10498" max="10504" width="11.28515625" style="65" customWidth="1"/>
    <col min="10505" max="10505" width="10" style="65" customWidth="1"/>
    <col min="10506" max="10506" width="43.85546875" style="65" customWidth="1"/>
    <col min="10507" max="10507" width="17.42578125" style="65" customWidth="1"/>
    <col min="10508" max="10509" width="15.7109375" style="65" customWidth="1"/>
    <col min="10510" max="10510" width="9.5703125" style="65" customWidth="1"/>
    <col min="10511" max="10511" width="21.140625" style="65" customWidth="1"/>
    <col min="10512" max="10512" width="40.140625" style="65" customWidth="1"/>
    <col min="10513" max="10513" width="9" style="65" customWidth="1"/>
    <col min="10514" max="10514" width="10.42578125" style="65" bestFit="1" customWidth="1"/>
    <col min="10515" max="10515" width="24.42578125" style="65" customWidth="1"/>
    <col min="10516" max="10516" width="9.140625" style="65"/>
    <col min="10517" max="10517" width="12.7109375" style="65" bestFit="1" customWidth="1"/>
    <col min="10518" max="10518" width="64" style="65" bestFit="1" customWidth="1"/>
    <col min="10519" max="10519" width="7" style="65" bestFit="1" customWidth="1"/>
    <col min="10520" max="10520" width="11.28515625" style="65" bestFit="1" customWidth="1"/>
    <col min="10521" max="10752" width="9.140625" style="65"/>
    <col min="10753" max="10753" width="2.85546875" style="65" customWidth="1"/>
    <col min="10754" max="10760" width="11.28515625" style="65" customWidth="1"/>
    <col min="10761" max="10761" width="10" style="65" customWidth="1"/>
    <col min="10762" max="10762" width="43.85546875" style="65" customWidth="1"/>
    <col min="10763" max="10763" width="17.42578125" style="65" customWidth="1"/>
    <col min="10764" max="10765" width="15.7109375" style="65" customWidth="1"/>
    <col min="10766" max="10766" width="9.5703125" style="65" customWidth="1"/>
    <col min="10767" max="10767" width="21.140625" style="65" customWidth="1"/>
    <col min="10768" max="10768" width="40.140625" style="65" customWidth="1"/>
    <col min="10769" max="10769" width="9" style="65" customWidth="1"/>
    <col min="10770" max="10770" width="10.42578125" style="65" bestFit="1" customWidth="1"/>
    <col min="10771" max="10771" width="24.42578125" style="65" customWidth="1"/>
    <col min="10772" max="10772" width="9.140625" style="65"/>
    <col min="10773" max="10773" width="12.7109375" style="65" bestFit="1" customWidth="1"/>
    <col min="10774" max="10774" width="64" style="65" bestFit="1" customWidth="1"/>
    <col min="10775" max="10775" width="7" style="65" bestFit="1" customWidth="1"/>
    <col min="10776" max="10776" width="11.28515625" style="65" bestFit="1" customWidth="1"/>
    <col min="10777" max="11008" width="9.140625" style="65"/>
    <col min="11009" max="11009" width="2.85546875" style="65" customWidth="1"/>
    <col min="11010" max="11016" width="11.28515625" style="65" customWidth="1"/>
    <col min="11017" max="11017" width="10" style="65" customWidth="1"/>
    <col min="11018" max="11018" width="43.85546875" style="65" customWidth="1"/>
    <col min="11019" max="11019" width="17.42578125" style="65" customWidth="1"/>
    <col min="11020" max="11021" width="15.7109375" style="65" customWidth="1"/>
    <col min="11022" max="11022" width="9.5703125" style="65" customWidth="1"/>
    <col min="11023" max="11023" width="21.140625" style="65" customWidth="1"/>
    <col min="11024" max="11024" width="40.140625" style="65" customWidth="1"/>
    <col min="11025" max="11025" width="9" style="65" customWidth="1"/>
    <col min="11026" max="11026" width="10.42578125" style="65" bestFit="1" customWidth="1"/>
    <col min="11027" max="11027" width="24.42578125" style="65" customWidth="1"/>
    <col min="11028" max="11028" width="9.140625" style="65"/>
    <col min="11029" max="11029" width="12.7109375" style="65" bestFit="1" customWidth="1"/>
    <col min="11030" max="11030" width="64" style="65" bestFit="1" customWidth="1"/>
    <col min="11031" max="11031" width="7" style="65" bestFit="1" customWidth="1"/>
    <col min="11032" max="11032" width="11.28515625" style="65" bestFit="1" customWidth="1"/>
    <col min="11033" max="11264" width="9.140625" style="65"/>
    <col min="11265" max="11265" width="2.85546875" style="65" customWidth="1"/>
    <col min="11266" max="11272" width="11.28515625" style="65" customWidth="1"/>
    <col min="11273" max="11273" width="10" style="65" customWidth="1"/>
    <col min="11274" max="11274" width="43.85546875" style="65" customWidth="1"/>
    <col min="11275" max="11275" width="17.42578125" style="65" customWidth="1"/>
    <col min="11276" max="11277" width="15.7109375" style="65" customWidth="1"/>
    <col min="11278" max="11278" width="9.5703125" style="65" customWidth="1"/>
    <col min="11279" max="11279" width="21.140625" style="65" customWidth="1"/>
    <col min="11280" max="11280" width="40.140625" style="65" customWidth="1"/>
    <col min="11281" max="11281" width="9" style="65" customWidth="1"/>
    <col min="11282" max="11282" width="10.42578125" style="65" bestFit="1" customWidth="1"/>
    <col min="11283" max="11283" width="24.42578125" style="65" customWidth="1"/>
    <col min="11284" max="11284" width="9.140625" style="65"/>
    <col min="11285" max="11285" width="12.7109375" style="65" bestFit="1" customWidth="1"/>
    <col min="11286" max="11286" width="64" style="65" bestFit="1" customWidth="1"/>
    <col min="11287" max="11287" width="7" style="65" bestFit="1" customWidth="1"/>
    <col min="11288" max="11288" width="11.28515625" style="65" bestFit="1" customWidth="1"/>
    <col min="11289" max="11520" width="9.140625" style="65"/>
    <col min="11521" max="11521" width="2.85546875" style="65" customWidth="1"/>
    <col min="11522" max="11528" width="11.28515625" style="65" customWidth="1"/>
    <col min="11529" max="11529" width="10" style="65" customWidth="1"/>
    <col min="11530" max="11530" width="43.85546875" style="65" customWidth="1"/>
    <col min="11531" max="11531" width="17.42578125" style="65" customWidth="1"/>
    <col min="11532" max="11533" width="15.7109375" style="65" customWidth="1"/>
    <col min="11534" max="11534" width="9.5703125" style="65" customWidth="1"/>
    <col min="11535" max="11535" width="21.140625" style="65" customWidth="1"/>
    <col min="11536" max="11536" width="40.140625" style="65" customWidth="1"/>
    <col min="11537" max="11537" width="9" style="65" customWidth="1"/>
    <col min="11538" max="11538" width="10.42578125" style="65" bestFit="1" customWidth="1"/>
    <col min="11539" max="11539" width="24.42578125" style="65" customWidth="1"/>
    <col min="11540" max="11540" width="9.140625" style="65"/>
    <col min="11541" max="11541" width="12.7109375" style="65" bestFit="1" customWidth="1"/>
    <col min="11542" max="11542" width="64" style="65" bestFit="1" customWidth="1"/>
    <col min="11543" max="11543" width="7" style="65" bestFit="1" customWidth="1"/>
    <col min="11544" max="11544" width="11.28515625" style="65" bestFit="1" customWidth="1"/>
    <col min="11545" max="11776" width="9.140625" style="65"/>
    <col min="11777" max="11777" width="2.85546875" style="65" customWidth="1"/>
    <col min="11778" max="11784" width="11.28515625" style="65" customWidth="1"/>
    <col min="11785" max="11785" width="10" style="65" customWidth="1"/>
    <col min="11786" max="11786" width="43.85546875" style="65" customWidth="1"/>
    <col min="11787" max="11787" width="17.42578125" style="65" customWidth="1"/>
    <col min="11788" max="11789" width="15.7109375" style="65" customWidth="1"/>
    <col min="11790" max="11790" width="9.5703125" style="65" customWidth="1"/>
    <col min="11791" max="11791" width="21.140625" style="65" customWidth="1"/>
    <col min="11792" max="11792" width="40.140625" style="65" customWidth="1"/>
    <col min="11793" max="11793" width="9" style="65" customWidth="1"/>
    <col min="11794" max="11794" width="10.42578125" style="65" bestFit="1" customWidth="1"/>
    <col min="11795" max="11795" width="24.42578125" style="65" customWidth="1"/>
    <col min="11796" max="11796" width="9.140625" style="65"/>
    <col min="11797" max="11797" width="12.7109375" style="65" bestFit="1" customWidth="1"/>
    <col min="11798" max="11798" width="64" style="65" bestFit="1" customWidth="1"/>
    <col min="11799" max="11799" width="7" style="65" bestFit="1" customWidth="1"/>
    <col min="11800" max="11800" width="11.28515625" style="65" bestFit="1" customWidth="1"/>
    <col min="11801" max="12032" width="9.140625" style="65"/>
    <col min="12033" max="12033" width="2.85546875" style="65" customWidth="1"/>
    <col min="12034" max="12040" width="11.28515625" style="65" customWidth="1"/>
    <col min="12041" max="12041" width="10" style="65" customWidth="1"/>
    <col min="12042" max="12042" width="43.85546875" style="65" customWidth="1"/>
    <col min="12043" max="12043" width="17.42578125" style="65" customWidth="1"/>
    <col min="12044" max="12045" width="15.7109375" style="65" customWidth="1"/>
    <col min="12046" max="12046" width="9.5703125" style="65" customWidth="1"/>
    <col min="12047" max="12047" width="21.140625" style="65" customWidth="1"/>
    <col min="12048" max="12048" width="40.140625" style="65" customWidth="1"/>
    <col min="12049" max="12049" width="9" style="65" customWidth="1"/>
    <col min="12050" max="12050" width="10.42578125" style="65" bestFit="1" customWidth="1"/>
    <col min="12051" max="12051" width="24.42578125" style="65" customWidth="1"/>
    <col min="12052" max="12052" width="9.140625" style="65"/>
    <col min="12053" max="12053" width="12.7109375" style="65" bestFit="1" customWidth="1"/>
    <col min="12054" max="12054" width="64" style="65" bestFit="1" customWidth="1"/>
    <col min="12055" max="12055" width="7" style="65" bestFit="1" customWidth="1"/>
    <col min="12056" max="12056" width="11.28515625" style="65" bestFit="1" customWidth="1"/>
    <col min="12057" max="12288" width="9.140625" style="65"/>
    <col min="12289" max="12289" width="2.85546875" style="65" customWidth="1"/>
    <col min="12290" max="12296" width="11.28515625" style="65" customWidth="1"/>
    <col min="12297" max="12297" width="10" style="65" customWidth="1"/>
    <col min="12298" max="12298" width="43.85546875" style="65" customWidth="1"/>
    <col min="12299" max="12299" width="17.42578125" style="65" customWidth="1"/>
    <col min="12300" max="12301" width="15.7109375" style="65" customWidth="1"/>
    <col min="12302" max="12302" width="9.5703125" style="65" customWidth="1"/>
    <col min="12303" max="12303" width="21.140625" style="65" customWidth="1"/>
    <col min="12304" max="12304" width="40.140625" style="65" customWidth="1"/>
    <col min="12305" max="12305" width="9" style="65" customWidth="1"/>
    <col min="12306" max="12306" width="10.42578125" style="65" bestFit="1" customWidth="1"/>
    <col min="12307" max="12307" width="24.42578125" style="65" customWidth="1"/>
    <col min="12308" max="12308" width="9.140625" style="65"/>
    <col min="12309" max="12309" width="12.7109375" style="65" bestFit="1" customWidth="1"/>
    <col min="12310" max="12310" width="64" style="65" bestFit="1" customWidth="1"/>
    <col min="12311" max="12311" width="7" style="65" bestFit="1" customWidth="1"/>
    <col min="12312" max="12312" width="11.28515625" style="65" bestFit="1" customWidth="1"/>
    <col min="12313" max="12544" width="9.140625" style="65"/>
    <col min="12545" max="12545" width="2.85546875" style="65" customWidth="1"/>
    <col min="12546" max="12552" width="11.28515625" style="65" customWidth="1"/>
    <col min="12553" max="12553" width="10" style="65" customWidth="1"/>
    <col min="12554" max="12554" width="43.85546875" style="65" customWidth="1"/>
    <col min="12555" max="12555" width="17.42578125" style="65" customWidth="1"/>
    <col min="12556" max="12557" width="15.7109375" style="65" customWidth="1"/>
    <col min="12558" max="12558" width="9.5703125" style="65" customWidth="1"/>
    <col min="12559" max="12559" width="21.140625" style="65" customWidth="1"/>
    <col min="12560" max="12560" width="40.140625" style="65" customWidth="1"/>
    <col min="12561" max="12561" width="9" style="65" customWidth="1"/>
    <col min="12562" max="12562" width="10.42578125" style="65" bestFit="1" customWidth="1"/>
    <col min="12563" max="12563" width="24.42578125" style="65" customWidth="1"/>
    <col min="12564" max="12564" width="9.140625" style="65"/>
    <col min="12565" max="12565" width="12.7109375" style="65" bestFit="1" customWidth="1"/>
    <col min="12566" max="12566" width="64" style="65" bestFit="1" customWidth="1"/>
    <col min="12567" max="12567" width="7" style="65" bestFit="1" customWidth="1"/>
    <col min="12568" max="12568" width="11.28515625" style="65" bestFit="1" customWidth="1"/>
    <col min="12569" max="12800" width="9.140625" style="65"/>
    <col min="12801" max="12801" width="2.85546875" style="65" customWidth="1"/>
    <col min="12802" max="12808" width="11.28515625" style="65" customWidth="1"/>
    <col min="12809" max="12809" width="10" style="65" customWidth="1"/>
    <col min="12810" max="12810" width="43.85546875" style="65" customWidth="1"/>
    <col min="12811" max="12811" width="17.42578125" style="65" customWidth="1"/>
    <col min="12812" max="12813" width="15.7109375" style="65" customWidth="1"/>
    <col min="12814" max="12814" width="9.5703125" style="65" customWidth="1"/>
    <col min="12815" max="12815" width="21.140625" style="65" customWidth="1"/>
    <col min="12816" max="12816" width="40.140625" style="65" customWidth="1"/>
    <col min="12817" max="12817" width="9" style="65" customWidth="1"/>
    <col min="12818" max="12818" width="10.42578125" style="65" bestFit="1" customWidth="1"/>
    <col min="12819" max="12819" width="24.42578125" style="65" customWidth="1"/>
    <col min="12820" max="12820" width="9.140625" style="65"/>
    <col min="12821" max="12821" width="12.7109375" style="65" bestFit="1" customWidth="1"/>
    <col min="12822" max="12822" width="64" style="65" bestFit="1" customWidth="1"/>
    <col min="12823" max="12823" width="7" style="65" bestFit="1" customWidth="1"/>
    <col min="12824" max="12824" width="11.28515625" style="65" bestFit="1" customWidth="1"/>
    <col min="12825" max="13056" width="9.140625" style="65"/>
    <col min="13057" max="13057" width="2.85546875" style="65" customWidth="1"/>
    <col min="13058" max="13064" width="11.28515625" style="65" customWidth="1"/>
    <col min="13065" max="13065" width="10" style="65" customWidth="1"/>
    <col min="13066" max="13066" width="43.85546875" style="65" customWidth="1"/>
    <col min="13067" max="13067" width="17.42578125" style="65" customWidth="1"/>
    <col min="13068" max="13069" width="15.7109375" style="65" customWidth="1"/>
    <col min="13070" max="13070" width="9.5703125" style="65" customWidth="1"/>
    <col min="13071" max="13071" width="21.140625" style="65" customWidth="1"/>
    <col min="13072" max="13072" width="40.140625" style="65" customWidth="1"/>
    <col min="13073" max="13073" width="9" style="65" customWidth="1"/>
    <col min="13074" max="13074" width="10.42578125" style="65" bestFit="1" customWidth="1"/>
    <col min="13075" max="13075" width="24.42578125" style="65" customWidth="1"/>
    <col min="13076" max="13076" width="9.140625" style="65"/>
    <col min="13077" max="13077" width="12.7109375" style="65" bestFit="1" customWidth="1"/>
    <col min="13078" max="13078" width="64" style="65" bestFit="1" customWidth="1"/>
    <col min="13079" max="13079" width="7" style="65" bestFit="1" customWidth="1"/>
    <col min="13080" max="13080" width="11.28515625" style="65" bestFit="1" customWidth="1"/>
    <col min="13081" max="13312" width="9.140625" style="65"/>
    <col min="13313" max="13313" width="2.85546875" style="65" customWidth="1"/>
    <col min="13314" max="13320" width="11.28515625" style="65" customWidth="1"/>
    <col min="13321" max="13321" width="10" style="65" customWidth="1"/>
    <col min="13322" max="13322" width="43.85546875" style="65" customWidth="1"/>
    <col min="13323" max="13323" width="17.42578125" style="65" customWidth="1"/>
    <col min="13324" max="13325" width="15.7109375" style="65" customWidth="1"/>
    <col min="13326" max="13326" width="9.5703125" style="65" customWidth="1"/>
    <col min="13327" max="13327" width="21.140625" style="65" customWidth="1"/>
    <col min="13328" max="13328" width="40.140625" style="65" customWidth="1"/>
    <col min="13329" max="13329" width="9" style="65" customWidth="1"/>
    <col min="13330" max="13330" width="10.42578125" style="65" bestFit="1" customWidth="1"/>
    <col min="13331" max="13331" width="24.42578125" style="65" customWidth="1"/>
    <col min="13332" max="13332" width="9.140625" style="65"/>
    <col min="13333" max="13333" width="12.7109375" style="65" bestFit="1" customWidth="1"/>
    <col min="13334" max="13334" width="64" style="65" bestFit="1" customWidth="1"/>
    <col min="13335" max="13335" width="7" style="65" bestFit="1" customWidth="1"/>
    <col min="13336" max="13336" width="11.28515625" style="65" bestFit="1" customWidth="1"/>
    <col min="13337" max="13568" width="9.140625" style="65"/>
    <col min="13569" max="13569" width="2.85546875" style="65" customWidth="1"/>
    <col min="13570" max="13576" width="11.28515625" style="65" customWidth="1"/>
    <col min="13577" max="13577" width="10" style="65" customWidth="1"/>
    <col min="13578" max="13578" width="43.85546875" style="65" customWidth="1"/>
    <col min="13579" max="13579" width="17.42578125" style="65" customWidth="1"/>
    <col min="13580" max="13581" width="15.7109375" style="65" customWidth="1"/>
    <col min="13582" max="13582" width="9.5703125" style="65" customWidth="1"/>
    <col min="13583" max="13583" width="21.140625" style="65" customWidth="1"/>
    <col min="13584" max="13584" width="40.140625" style="65" customWidth="1"/>
    <col min="13585" max="13585" width="9" style="65" customWidth="1"/>
    <col min="13586" max="13586" width="10.42578125" style="65" bestFit="1" customWidth="1"/>
    <col min="13587" max="13587" width="24.42578125" style="65" customWidth="1"/>
    <col min="13588" max="13588" width="9.140625" style="65"/>
    <col min="13589" max="13589" width="12.7109375" style="65" bestFit="1" customWidth="1"/>
    <col min="13590" max="13590" width="64" style="65" bestFit="1" customWidth="1"/>
    <col min="13591" max="13591" width="7" style="65" bestFit="1" customWidth="1"/>
    <col min="13592" max="13592" width="11.28515625" style="65" bestFit="1" customWidth="1"/>
    <col min="13593" max="13824" width="9.140625" style="65"/>
    <col min="13825" max="13825" width="2.85546875" style="65" customWidth="1"/>
    <col min="13826" max="13832" width="11.28515625" style="65" customWidth="1"/>
    <col min="13833" max="13833" width="10" style="65" customWidth="1"/>
    <col min="13834" max="13834" width="43.85546875" style="65" customWidth="1"/>
    <col min="13835" max="13835" width="17.42578125" style="65" customWidth="1"/>
    <col min="13836" max="13837" width="15.7109375" style="65" customWidth="1"/>
    <col min="13838" max="13838" width="9.5703125" style="65" customWidth="1"/>
    <col min="13839" max="13839" width="21.140625" style="65" customWidth="1"/>
    <col min="13840" max="13840" width="40.140625" style="65" customWidth="1"/>
    <col min="13841" max="13841" width="9" style="65" customWidth="1"/>
    <col min="13842" max="13842" width="10.42578125" style="65" bestFit="1" customWidth="1"/>
    <col min="13843" max="13843" width="24.42578125" style="65" customWidth="1"/>
    <col min="13844" max="13844" width="9.140625" style="65"/>
    <col min="13845" max="13845" width="12.7109375" style="65" bestFit="1" customWidth="1"/>
    <col min="13846" max="13846" width="64" style="65" bestFit="1" customWidth="1"/>
    <col min="13847" max="13847" width="7" style="65" bestFit="1" customWidth="1"/>
    <col min="13848" max="13848" width="11.28515625" style="65" bestFit="1" customWidth="1"/>
    <col min="13849" max="14080" width="9.140625" style="65"/>
    <col min="14081" max="14081" width="2.85546875" style="65" customWidth="1"/>
    <col min="14082" max="14088" width="11.28515625" style="65" customWidth="1"/>
    <col min="14089" max="14089" width="10" style="65" customWidth="1"/>
    <col min="14090" max="14090" width="43.85546875" style="65" customWidth="1"/>
    <col min="14091" max="14091" width="17.42578125" style="65" customWidth="1"/>
    <col min="14092" max="14093" width="15.7109375" style="65" customWidth="1"/>
    <col min="14094" max="14094" width="9.5703125" style="65" customWidth="1"/>
    <col min="14095" max="14095" width="21.140625" style="65" customWidth="1"/>
    <col min="14096" max="14096" width="40.140625" style="65" customWidth="1"/>
    <col min="14097" max="14097" width="9" style="65" customWidth="1"/>
    <col min="14098" max="14098" width="10.42578125" style="65" bestFit="1" customWidth="1"/>
    <col min="14099" max="14099" width="24.42578125" style="65" customWidth="1"/>
    <col min="14100" max="14100" width="9.140625" style="65"/>
    <col min="14101" max="14101" width="12.7109375" style="65" bestFit="1" customWidth="1"/>
    <col min="14102" max="14102" width="64" style="65" bestFit="1" customWidth="1"/>
    <col min="14103" max="14103" width="7" style="65" bestFit="1" customWidth="1"/>
    <col min="14104" max="14104" width="11.28515625" style="65" bestFit="1" customWidth="1"/>
    <col min="14105" max="14336" width="9.140625" style="65"/>
    <col min="14337" max="14337" width="2.85546875" style="65" customWidth="1"/>
    <col min="14338" max="14344" width="11.28515625" style="65" customWidth="1"/>
    <col min="14345" max="14345" width="10" style="65" customWidth="1"/>
    <col min="14346" max="14346" width="43.85546875" style="65" customWidth="1"/>
    <col min="14347" max="14347" width="17.42578125" style="65" customWidth="1"/>
    <col min="14348" max="14349" width="15.7109375" style="65" customWidth="1"/>
    <col min="14350" max="14350" width="9.5703125" style="65" customWidth="1"/>
    <col min="14351" max="14351" width="21.140625" style="65" customWidth="1"/>
    <col min="14352" max="14352" width="40.140625" style="65" customWidth="1"/>
    <col min="14353" max="14353" width="9" style="65" customWidth="1"/>
    <col min="14354" max="14354" width="10.42578125" style="65" bestFit="1" customWidth="1"/>
    <col min="14355" max="14355" width="24.42578125" style="65" customWidth="1"/>
    <col min="14356" max="14356" width="9.140625" style="65"/>
    <col min="14357" max="14357" width="12.7109375" style="65" bestFit="1" customWidth="1"/>
    <col min="14358" max="14358" width="64" style="65" bestFit="1" customWidth="1"/>
    <col min="14359" max="14359" width="7" style="65" bestFit="1" customWidth="1"/>
    <col min="14360" max="14360" width="11.28515625" style="65" bestFit="1" customWidth="1"/>
    <col min="14361" max="14592" width="9.140625" style="65"/>
    <col min="14593" max="14593" width="2.85546875" style="65" customWidth="1"/>
    <col min="14594" max="14600" width="11.28515625" style="65" customWidth="1"/>
    <col min="14601" max="14601" width="10" style="65" customWidth="1"/>
    <col min="14602" max="14602" width="43.85546875" style="65" customWidth="1"/>
    <col min="14603" max="14603" width="17.42578125" style="65" customWidth="1"/>
    <col min="14604" max="14605" width="15.7109375" style="65" customWidth="1"/>
    <col min="14606" max="14606" width="9.5703125" style="65" customWidth="1"/>
    <col min="14607" max="14607" width="21.140625" style="65" customWidth="1"/>
    <col min="14608" max="14608" width="40.140625" style="65" customWidth="1"/>
    <col min="14609" max="14609" width="9" style="65" customWidth="1"/>
    <col min="14610" max="14610" width="10.42578125" style="65" bestFit="1" customWidth="1"/>
    <col min="14611" max="14611" width="24.42578125" style="65" customWidth="1"/>
    <col min="14612" max="14612" width="9.140625" style="65"/>
    <col min="14613" max="14613" width="12.7109375" style="65" bestFit="1" customWidth="1"/>
    <col min="14614" max="14614" width="64" style="65" bestFit="1" customWidth="1"/>
    <col min="14615" max="14615" width="7" style="65" bestFit="1" customWidth="1"/>
    <col min="14616" max="14616" width="11.28515625" style="65" bestFit="1" customWidth="1"/>
    <col min="14617" max="14848" width="9.140625" style="65"/>
    <col min="14849" max="14849" width="2.85546875" style="65" customWidth="1"/>
    <col min="14850" max="14856" width="11.28515625" style="65" customWidth="1"/>
    <col min="14857" max="14857" width="10" style="65" customWidth="1"/>
    <col min="14858" max="14858" width="43.85546875" style="65" customWidth="1"/>
    <col min="14859" max="14859" width="17.42578125" style="65" customWidth="1"/>
    <col min="14860" max="14861" width="15.7109375" style="65" customWidth="1"/>
    <col min="14862" max="14862" width="9.5703125" style="65" customWidth="1"/>
    <col min="14863" max="14863" width="21.140625" style="65" customWidth="1"/>
    <col min="14864" max="14864" width="40.140625" style="65" customWidth="1"/>
    <col min="14865" max="14865" width="9" style="65" customWidth="1"/>
    <col min="14866" max="14866" width="10.42578125" style="65" bestFit="1" customWidth="1"/>
    <col min="14867" max="14867" width="24.42578125" style="65" customWidth="1"/>
    <col min="14868" max="14868" width="9.140625" style="65"/>
    <col min="14869" max="14869" width="12.7109375" style="65" bestFit="1" customWidth="1"/>
    <col min="14870" max="14870" width="64" style="65" bestFit="1" customWidth="1"/>
    <col min="14871" max="14871" width="7" style="65" bestFit="1" customWidth="1"/>
    <col min="14872" max="14872" width="11.28515625" style="65" bestFit="1" customWidth="1"/>
    <col min="14873" max="15104" width="9.140625" style="65"/>
    <col min="15105" max="15105" width="2.85546875" style="65" customWidth="1"/>
    <col min="15106" max="15112" width="11.28515625" style="65" customWidth="1"/>
    <col min="15113" max="15113" width="10" style="65" customWidth="1"/>
    <col min="15114" max="15114" width="43.85546875" style="65" customWidth="1"/>
    <col min="15115" max="15115" width="17.42578125" style="65" customWidth="1"/>
    <col min="15116" max="15117" width="15.7109375" style="65" customWidth="1"/>
    <col min="15118" max="15118" width="9.5703125" style="65" customWidth="1"/>
    <col min="15119" max="15119" width="21.140625" style="65" customWidth="1"/>
    <col min="15120" max="15120" width="40.140625" style="65" customWidth="1"/>
    <col min="15121" max="15121" width="9" style="65" customWidth="1"/>
    <col min="15122" max="15122" width="10.42578125" style="65" bestFit="1" customWidth="1"/>
    <col min="15123" max="15123" width="24.42578125" style="65" customWidth="1"/>
    <col min="15124" max="15124" width="9.140625" style="65"/>
    <col min="15125" max="15125" width="12.7109375" style="65" bestFit="1" customWidth="1"/>
    <col min="15126" max="15126" width="64" style="65" bestFit="1" customWidth="1"/>
    <col min="15127" max="15127" width="7" style="65" bestFit="1" customWidth="1"/>
    <col min="15128" max="15128" width="11.28515625" style="65" bestFit="1" customWidth="1"/>
    <col min="15129" max="15360" width="9.140625" style="65"/>
    <col min="15361" max="15361" width="2.85546875" style="65" customWidth="1"/>
    <col min="15362" max="15368" width="11.28515625" style="65" customWidth="1"/>
    <col min="15369" max="15369" width="10" style="65" customWidth="1"/>
    <col min="15370" max="15370" width="43.85546875" style="65" customWidth="1"/>
    <col min="15371" max="15371" width="17.42578125" style="65" customWidth="1"/>
    <col min="15372" max="15373" width="15.7109375" style="65" customWidth="1"/>
    <col min="15374" max="15374" width="9.5703125" style="65" customWidth="1"/>
    <col min="15375" max="15375" width="21.140625" style="65" customWidth="1"/>
    <col min="15376" max="15376" width="40.140625" style="65" customWidth="1"/>
    <col min="15377" max="15377" width="9" style="65" customWidth="1"/>
    <col min="15378" max="15378" width="10.42578125" style="65" bestFit="1" customWidth="1"/>
    <col min="15379" max="15379" width="24.42578125" style="65" customWidth="1"/>
    <col min="15380" max="15380" width="9.140625" style="65"/>
    <col min="15381" max="15381" width="12.7109375" style="65" bestFit="1" customWidth="1"/>
    <col min="15382" max="15382" width="64" style="65" bestFit="1" customWidth="1"/>
    <col min="15383" max="15383" width="7" style="65" bestFit="1" customWidth="1"/>
    <col min="15384" max="15384" width="11.28515625" style="65" bestFit="1" customWidth="1"/>
    <col min="15385" max="15616" width="9.140625" style="65"/>
    <col min="15617" max="15617" width="2.85546875" style="65" customWidth="1"/>
    <col min="15618" max="15624" width="11.28515625" style="65" customWidth="1"/>
    <col min="15625" max="15625" width="10" style="65" customWidth="1"/>
    <col min="15626" max="15626" width="43.85546875" style="65" customWidth="1"/>
    <col min="15627" max="15627" width="17.42578125" style="65" customWidth="1"/>
    <col min="15628" max="15629" width="15.7109375" style="65" customWidth="1"/>
    <col min="15630" max="15630" width="9.5703125" style="65" customWidth="1"/>
    <col min="15631" max="15631" width="21.140625" style="65" customWidth="1"/>
    <col min="15632" max="15632" width="40.140625" style="65" customWidth="1"/>
    <col min="15633" max="15633" width="9" style="65" customWidth="1"/>
    <col min="15634" max="15634" width="10.42578125" style="65" bestFit="1" customWidth="1"/>
    <col min="15635" max="15635" width="24.42578125" style="65" customWidth="1"/>
    <col min="15636" max="15636" width="9.140625" style="65"/>
    <col min="15637" max="15637" width="12.7109375" style="65" bestFit="1" customWidth="1"/>
    <col min="15638" max="15638" width="64" style="65" bestFit="1" customWidth="1"/>
    <col min="15639" max="15639" width="7" style="65" bestFit="1" customWidth="1"/>
    <col min="15640" max="15640" width="11.28515625" style="65" bestFit="1" customWidth="1"/>
    <col min="15641" max="15872" width="9.140625" style="65"/>
    <col min="15873" max="15873" width="2.85546875" style="65" customWidth="1"/>
    <col min="15874" max="15880" width="11.28515625" style="65" customWidth="1"/>
    <col min="15881" max="15881" width="10" style="65" customWidth="1"/>
    <col min="15882" max="15882" width="43.85546875" style="65" customWidth="1"/>
    <col min="15883" max="15883" width="17.42578125" style="65" customWidth="1"/>
    <col min="15884" max="15885" width="15.7109375" style="65" customWidth="1"/>
    <col min="15886" max="15886" width="9.5703125" style="65" customWidth="1"/>
    <col min="15887" max="15887" width="21.140625" style="65" customWidth="1"/>
    <col min="15888" max="15888" width="40.140625" style="65" customWidth="1"/>
    <col min="15889" max="15889" width="9" style="65" customWidth="1"/>
    <col min="15890" max="15890" width="10.42578125" style="65" bestFit="1" customWidth="1"/>
    <col min="15891" max="15891" width="24.42578125" style="65" customWidth="1"/>
    <col min="15892" max="15892" width="9.140625" style="65"/>
    <col min="15893" max="15893" width="12.7109375" style="65" bestFit="1" customWidth="1"/>
    <col min="15894" max="15894" width="64" style="65" bestFit="1" customWidth="1"/>
    <col min="15895" max="15895" width="7" style="65" bestFit="1" customWidth="1"/>
    <col min="15896" max="15896" width="11.28515625" style="65" bestFit="1" customWidth="1"/>
    <col min="15897" max="16128" width="9.140625" style="65"/>
    <col min="16129" max="16129" width="2.85546875" style="65" customWidth="1"/>
    <col min="16130" max="16136" width="11.28515625" style="65" customWidth="1"/>
    <col min="16137" max="16137" width="10" style="65" customWidth="1"/>
    <col min="16138" max="16138" width="43.85546875" style="65" customWidth="1"/>
    <col min="16139" max="16139" width="17.42578125" style="65" customWidth="1"/>
    <col min="16140" max="16141" width="15.7109375" style="65" customWidth="1"/>
    <col min="16142" max="16142" width="9.5703125" style="65" customWidth="1"/>
    <col min="16143" max="16143" width="21.140625" style="65" customWidth="1"/>
    <col min="16144" max="16144" width="40.140625" style="65" customWidth="1"/>
    <col min="16145" max="16145" width="9" style="65" customWidth="1"/>
    <col min="16146" max="16146" width="10.42578125" style="65" bestFit="1" customWidth="1"/>
    <col min="16147" max="16147" width="24.42578125" style="65" customWidth="1"/>
    <col min="16148" max="16148" width="9.140625" style="65"/>
    <col min="16149" max="16149" width="12.7109375" style="65" bestFit="1" customWidth="1"/>
    <col min="16150" max="16150" width="64" style="65" bestFit="1" customWidth="1"/>
    <col min="16151" max="16151" width="7" style="65" bestFit="1" customWidth="1"/>
    <col min="16152" max="16152" width="11.28515625" style="65" bestFit="1" customWidth="1"/>
    <col min="16153" max="16384" width="9.140625" style="65"/>
  </cols>
  <sheetData>
    <row r="2" spans="1:24" ht="28.5" customHeight="1" x14ac:dyDescent="0.25">
      <c r="B2" s="170" t="s">
        <v>123</v>
      </c>
      <c r="C2" s="170"/>
      <c r="D2" s="170"/>
      <c r="E2" s="170"/>
      <c r="F2" s="170"/>
      <c r="G2" s="170"/>
      <c r="H2" s="170"/>
      <c r="J2" s="156" t="s">
        <v>124</v>
      </c>
      <c r="K2" s="156"/>
      <c r="L2" s="156"/>
      <c r="M2" s="156"/>
      <c r="O2" s="170" t="s">
        <v>125</v>
      </c>
      <c r="P2" s="170"/>
      <c r="Q2" s="170"/>
      <c r="R2" s="170"/>
      <c r="S2" s="170"/>
      <c r="U2" s="170" t="s">
        <v>126</v>
      </c>
      <c r="V2" s="170"/>
      <c r="W2" s="170"/>
      <c r="X2" s="170"/>
    </row>
    <row r="3" spans="1:24" ht="30.75" customHeight="1" x14ac:dyDescent="0.25">
      <c r="B3" s="172"/>
      <c r="C3" s="172"/>
      <c r="D3" s="172"/>
      <c r="E3" s="172"/>
      <c r="F3" s="172"/>
      <c r="G3" s="172"/>
      <c r="H3" s="172"/>
      <c r="J3" s="170" t="s">
        <v>127</v>
      </c>
      <c r="K3" s="170" t="s">
        <v>128</v>
      </c>
      <c r="L3" s="170" t="s">
        <v>129</v>
      </c>
      <c r="M3" s="170"/>
      <c r="O3" s="148" t="s">
        <v>130</v>
      </c>
      <c r="P3" s="148"/>
      <c r="Q3" s="148"/>
      <c r="R3" s="148"/>
      <c r="S3" s="148"/>
      <c r="U3" s="148" t="s">
        <v>131</v>
      </c>
      <c r="V3" s="148"/>
      <c r="W3" s="21" t="s">
        <v>68</v>
      </c>
      <c r="X3" s="21" t="s">
        <v>69</v>
      </c>
    </row>
    <row r="4" spans="1:24" ht="28.5" x14ac:dyDescent="0.25">
      <c r="B4" s="51"/>
      <c r="C4" s="51"/>
      <c r="D4" s="51"/>
      <c r="E4" s="51"/>
      <c r="F4" s="51"/>
      <c r="G4" s="51"/>
      <c r="H4" s="51"/>
      <c r="J4" s="170"/>
      <c r="K4" s="170"/>
      <c r="L4" s="26" t="s">
        <v>15</v>
      </c>
      <c r="M4" s="26" t="s">
        <v>68</v>
      </c>
      <c r="O4" s="173" t="s">
        <v>132</v>
      </c>
      <c r="P4" s="173"/>
      <c r="Q4" s="173"/>
      <c r="R4" s="19" t="s">
        <v>133</v>
      </c>
      <c r="S4" s="19" t="s">
        <v>81</v>
      </c>
      <c r="U4" s="19" t="s">
        <v>134</v>
      </c>
      <c r="V4" s="29" t="s">
        <v>135</v>
      </c>
      <c r="W4" s="19">
        <v>0</v>
      </c>
      <c r="X4" s="19" t="s">
        <v>60</v>
      </c>
    </row>
    <row r="5" spans="1:24" ht="28.5" x14ac:dyDescent="0.25">
      <c r="B5" s="148" t="s">
        <v>136</v>
      </c>
      <c r="C5" s="148"/>
      <c r="D5" s="148"/>
      <c r="E5" s="148"/>
      <c r="F5" s="148"/>
      <c r="G5" s="148"/>
      <c r="H5" s="148"/>
      <c r="J5" s="154" t="s">
        <v>137</v>
      </c>
      <c r="K5" s="154">
        <v>10.297000000000001</v>
      </c>
      <c r="L5" s="45">
        <v>2019</v>
      </c>
      <c r="M5" s="37">
        <f>'OT pump_UMAC - Ramella'!I643*'BE - Ramella'!Q52</f>
        <v>576.66666666666663</v>
      </c>
      <c r="N5" s="75"/>
      <c r="O5" s="148" t="s">
        <v>131</v>
      </c>
      <c r="P5" s="148"/>
      <c r="Q5" s="21" t="s">
        <v>15</v>
      </c>
      <c r="R5" s="21" t="s">
        <v>68</v>
      </c>
      <c r="S5" s="21" t="s">
        <v>69</v>
      </c>
      <c r="U5" s="19" t="s">
        <v>138</v>
      </c>
      <c r="V5" s="29" t="s">
        <v>139</v>
      </c>
      <c r="W5" s="19">
        <v>0</v>
      </c>
      <c r="X5" s="19" t="s">
        <v>60</v>
      </c>
    </row>
    <row r="6" spans="1:24" ht="18.75" customHeight="1" x14ac:dyDescent="0.25">
      <c r="B6" s="21" t="s">
        <v>15</v>
      </c>
      <c r="C6" s="21" t="s">
        <v>140</v>
      </c>
      <c r="D6" s="21" t="s">
        <v>141</v>
      </c>
      <c r="E6" s="21" t="s">
        <v>142</v>
      </c>
      <c r="F6" s="21" t="s">
        <v>143</v>
      </c>
      <c r="G6" s="21" t="s">
        <v>144</v>
      </c>
      <c r="H6" s="21" t="s">
        <v>145</v>
      </c>
      <c r="J6" s="155"/>
      <c r="K6" s="155"/>
      <c r="L6" s="76">
        <v>2020</v>
      </c>
      <c r="M6" s="37">
        <f>'OT pump_UMAC - Ramella'!I643*'BE - Ramella'!R52</f>
        <v>1080</v>
      </c>
      <c r="N6" s="75"/>
      <c r="O6" s="19" t="s">
        <v>146</v>
      </c>
      <c r="P6" s="29" t="s">
        <v>147</v>
      </c>
      <c r="Q6" s="29">
        <v>2019</v>
      </c>
      <c r="R6" s="14">
        <f>'OT pump_UMAC - Ramella'!L643*'BE - Ramella'!Q52</f>
        <v>806.55123904109587</v>
      </c>
      <c r="S6" s="19" t="s">
        <v>148</v>
      </c>
      <c r="U6" s="19" t="s">
        <v>149</v>
      </c>
      <c r="V6" s="29" t="s">
        <v>150</v>
      </c>
      <c r="W6" s="19">
        <v>0</v>
      </c>
      <c r="X6" s="19" t="s">
        <v>60</v>
      </c>
    </row>
    <row r="7" spans="1:24" ht="15.75" x14ac:dyDescent="0.25">
      <c r="B7" s="19">
        <v>2019</v>
      </c>
      <c r="C7" s="38">
        <f>K22</f>
        <v>2.2624456173362848</v>
      </c>
      <c r="D7" s="38">
        <f>R13</f>
        <v>90.333738772602743</v>
      </c>
      <c r="E7" s="38">
        <f>W6</f>
        <v>0</v>
      </c>
      <c r="F7" s="38">
        <f>W4</f>
        <v>0</v>
      </c>
      <c r="G7" s="38">
        <f>W5</f>
        <v>0</v>
      </c>
      <c r="H7" s="77">
        <f>SUM(C7:G7)</f>
        <v>92.596184389939026</v>
      </c>
      <c r="J7" s="154" t="s">
        <v>151</v>
      </c>
      <c r="K7" s="154">
        <v>5.516</v>
      </c>
      <c r="L7" s="19">
        <v>2019</v>
      </c>
      <c r="M7" s="37">
        <f>'OT pump_UMAC - Ramella'!F643*'BE - Ramella'!Q52</f>
        <v>126.14583333333334</v>
      </c>
      <c r="N7" s="78"/>
      <c r="O7" s="19" t="s">
        <v>152</v>
      </c>
      <c r="P7" s="29" t="s">
        <v>147</v>
      </c>
      <c r="Q7" s="29">
        <v>2020</v>
      </c>
      <c r="R7" s="14">
        <f>'OT pump_UMAC - Ramella'!L643*'BE - Ramella'!R52</f>
        <v>1510.5352684931506</v>
      </c>
      <c r="S7" s="19" t="s">
        <v>148</v>
      </c>
    </row>
    <row r="8" spans="1:24" ht="30" x14ac:dyDescent="0.25">
      <c r="A8" s="70"/>
      <c r="B8" s="19">
        <v>2020</v>
      </c>
      <c r="C8" s="38">
        <f>K23</f>
        <v>3.7705339633500006</v>
      </c>
      <c r="D8" s="38">
        <f>R14</f>
        <v>169.17995007123287</v>
      </c>
      <c r="E8" s="38">
        <f>W7</f>
        <v>0</v>
      </c>
      <c r="F8" s="38">
        <f>SUM(F7:F7)</f>
        <v>0</v>
      </c>
      <c r="G8" s="38">
        <f>SUM(G7:G7)</f>
        <v>0</v>
      </c>
      <c r="H8" s="77">
        <f>SUM(C8:G8)</f>
        <v>172.95048403458287</v>
      </c>
      <c r="J8" s="155"/>
      <c r="K8" s="155"/>
      <c r="L8" s="19">
        <v>2020</v>
      </c>
      <c r="M8" s="37">
        <f>'OT pump_UMAC - Ramella'!F643*'BE - Ramella'!R52</f>
        <v>236.25000000000003</v>
      </c>
      <c r="N8" s="78"/>
      <c r="O8" s="19" t="s">
        <v>153</v>
      </c>
      <c r="P8" s="29" t="s">
        <v>154</v>
      </c>
      <c r="Q8" s="19" t="s">
        <v>155</v>
      </c>
      <c r="R8" s="19">
        <f>IF('PE - Ramella'!R4="wet",4/1000,10/1000)</f>
        <v>4.0000000000000001E-3</v>
      </c>
      <c r="S8" s="29" t="s">
        <v>156</v>
      </c>
      <c r="U8" s="70"/>
      <c r="V8" s="70"/>
    </row>
    <row r="9" spans="1:24" ht="15.75" x14ac:dyDescent="0.25">
      <c r="A9" s="70"/>
      <c r="B9" s="43" t="s">
        <v>16</v>
      </c>
      <c r="C9" s="77">
        <f t="shared" ref="C9:H9" si="0">SUM(C7:C8)</f>
        <v>6.0329795806862858</v>
      </c>
      <c r="D9" s="77">
        <f t="shared" si="0"/>
        <v>259.51368884383561</v>
      </c>
      <c r="E9" s="77">
        <f t="shared" si="0"/>
        <v>0</v>
      </c>
      <c r="F9" s="77">
        <f t="shared" si="0"/>
        <v>0</v>
      </c>
      <c r="G9" s="77">
        <f t="shared" si="0"/>
        <v>0</v>
      </c>
      <c r="H9" s="77">
        <f t="shared" si="0"/>
        <v>265.5466684245219</v>
      </c>
      <c r="N9" s="78"/>
      <c r="O9" s="19" t="s">
        <v>80</v>
      </c>
      <c r="P9" s="29" t="s">
        <v>157</v>
      </c>
      <c r="Q9" s="19" t="s">
        <v>155</v>
      </c>
      <c r="R9" s="19">
        <f>'BE - Ramella'!M7</f>
        <v>28</v>
      </c>
      <c r="S9" s="19" t="s">
        <v>158</v>
      </c>
      <c r="U9" s="70"/>
      <c r="V9" s="70"/>
    </row>
    <row r="10" spans="1:24" x14ac:dyDescent="0.25">
      <c r="A10" s="70"/>
      <c r="B10" s="79"/>
      <c r="C10" s="80"/>
      <c r="D10" s="80"/>
      <c r="E10" s="80"/>
      <c r="F10" s="80"/>
      <c r="G10" s="80"/>
      <c r="H10" s="80"/>
      <c r="J10" s="148" t="s">
        <v>159</v>
      </c>
      <c r="K10" s="148"/>
      <c r="L10" s="148"/>
      <c r="M10" s="70"/>
      <c r="O10" s="19"/>
      <c r="P10" s="19"/>
      <c r="Q10" s="19"/>
      <c r="R10" s="19"/>
      <c r="S10" s="19"/>
      <c r="U10" s="70"/>
      <c r="V10" s="70"/>
    </row>
    <row r="11" spans="1:24" x14ac:dyDescent="0.25">
      <c r="B11" s="79"/>
      <c r="C11" s="80"/>
      <c r="D11" s="80"/>
      <c r="E11" s="80"/>
      <c r="F11" s="80"/>
      <c r="G11" s="80"/>
      <c r="H11" s="80"/>
      <c r="J11" s="52" t="s">
        <v>67</v>
      </c>
      <c r="K11" s="26" t="s">
        <v>68</v>
      </c>
      <c r="L11" s="26" t="s">
        <v>69</v>
      </c>
      <c r="M11" s="81"/>
      <c r="O11" s="19"/>
      <c r="P11" s="19"/>
      <c r="Q11" s="19"/>
      <c r="R11" s="19"/>
      <c r="S11" s="19"/>
    </row>
    <row r="12" spans="1:24" x14ac:dyDescent="0.25">
      <c r="B12" s="79"/>
      <c r="C12" s="80"/>
      <c r="D12" s="80"/>
      <c r="E12" s="80"/>
      <c r="F12" s="80"/>
      <c r="G12" s="80"/>
      <c r="H12" s="80"/>
      <c r="J12" s="174" t="s">
        <v>160</v>
      </c>
      <c r="K12" s="68">
        <f>($K$5*$M$5)+($K$7*$M$7)</f>
        <v>6633.757083333333</v>
      </c>
      <c r="L12" s="9" t="s">
        <v>161</v>
      </c>
      <c r="M12" s="78"/>
      <c r="O12" s="19"/>
      <c r="P12" s="19"/>
      <c r="Q12" s="19"/>
      <c r="R12" s="19"/>
      <c r="S12" s="19"/>
    </row>
    <row r="13" spans="1:24" ht="15.75" x14ac:dyDescent="0.25">
      <c r="J13" s="174"/>
      <c r="K13" s="68">
        <f>K12/1000</f>
        <v>6.6337570833333332</v>
      </c>
      <c r="L13" s="9" t="s">
        <v>162</v>
      </c>
      <c r="M13" s="78"/>
      <c r="O13" s="19" t="s">
        <v>163</v>
      </c>
      <c r="P13" s="29" t="s">
        <v>164</v>
      </c>
      <c r="Q13" s="29">
        <v>2019</v>
      </c>
      <c r="R13" s="38">
        <f>R6*$R$8*$R$9</f>
        <v>90.333738772602743</v>
      </c>
      <c r="S13" s="19" t="s">
        <v>60</v>
      </c>
    </row>
    <row r="14" spans="1:24" ht="15.75" x14ac:dyDescent="0.25">
      <c r="J14" s="174" t="s">
        <v>165</v>
      </c>
      <c r="K14" s="68">
        <f>($K$5*$M$6)+($K$7*$M$8)</f>
        <v>12423.915000000001</v>
      </c>
      <c r="L14" s="9" t="s">
        <v>161</v>
      </c>
      <c r="M14" s="78"/>
      <c r="O14" s="19" t="s">
        <v>166</v>
      </c>
      <c r="P14" s="29" t="s">
        <v>164</v>
      </c>
      <c r="Q14" s="19">
        <v>2020</v>
      </c>
      <c r="R14" s="38">
        <f>R7*$R$8*$R$9</f>
        <v>169.17995007123287</v>
      </c>
      <c r="S14" s="19" t="s">
        <v>60</v>
      </c>
    </row>
    <row r="15" spans="1:24" ht="15.75" x14ac:dyDescent="0.25">
      <c r="J15" s="174"/>
      <c r="K15" s="68">
        <f>K14/1000</f>
        <v>12.423915000000001</v>
      </c>
      <c r="L15" s="9" t="s">
        <v>162</v>
      </c>
      <c r="M15" s="78"/>
      <c r="O15" s="43" t="s">
        <v>167</v>
      </c>
      <c r="P15" s="43" t="s">
        <v>168</v>
      </c>
      <c r="Q15" s="43" t="s">
        <v>155</v>
      </c>
      <c r="R15" s="77">
        <f>SUM(R13:R14)</f>
        <v>259.51368884383561</v>
      </c>
      <c r="S15" s="43" t="s">
        <v>61</v>
      </c>
    </row>
    <row r="16" spans="1:24" ht="30" x14ac:dyDescent="0.25">
      <c r="J16" s="29" t="s">
        <v>169</v>
      </c>
      <c r="K16" s="82">
        <f>'EF - Ramella'!L17</f>
        <v>0.31004583333333335</v>
      </c>
      <c r="L16" s="19" t="s">
        <v>170</v>
      </c>
      <c r="M16" s="78"/>
    </row>
    <row r="17" spans="10:13" ht="30" x14ac:dyDescent="0.25">
      <c r="J17" s="29" t="s">
        <v>171</v>
      </c>
      <c r="K17" s="82">
        <f>'EF - Ramella'!L35</f>
        <v>0.27589999999999998</v>
      </c>
      <c r="L17" s="19" t="s">
        <v>170</v>
      </c>
      <c r="M17" s="78"/>
    </row>
    <row r="18" spans="10:13" ht="15.75" x14ac:dyDescent="0.25">
      <c r="J18" s="9" t="s">
        <v>172</v>
      </c>
      <c r="K18" s="83">
        <v>0.1</v>
      </c>
      <c r="L18" s="9" t="s">
        <v>173</v>
      </c>
      <c r="M18" s="78"/>
    </row>
    <row r="19" spans="10:13" x14ac:dyDescent="0.25">
      <c r="M19" s="78"/>
    </row>
    <row r="20" spans="10:13" ht="15.75" x14ac:dyDescent="0.25">
      <c r="J20" s="148" t="s">
        <v>174</v>
      </c>
      <c r="K20" s="148"/>
      <c r="L20" s="148"/>
      <c r="M20" s="78"/>
    </row>
    <row r="21" spans="10:13" ht="34.5" customHeight="1" x14ac:dyDescent="0.25">
      <c r="J21" s="175"/>
      <c r="K21" s="176"/>
      <c r="L21" s="177"/>
      <c r="M21" s="78"/>
    </row>
    <row r="22" spans="10:13" ht="15.75" x14ac:dyDescent="0.25">
      <c r="J22" s="19" t="s">
        <v>175</v>
      </c>
      <c r="K22" s="68">
        <f>$K$13*K16*(1+$K$18)</f>
        <v>2.2624456173362848</v>
      </c>
      <c r="L22" s="19" t="s">
        <v>60</v>
      </c>
    </row>
    <row r="23" spans="10:13" ht="15.75" x14ac:dyDescent="0.25">
      <c r="J23" s="19" t="s">
        <v>176</v>
      </c>
      <c r="K23" s="68">
        <f>$K$15*K17*(1+$K$18)</f>
        <v>3.7705339633500006</v>
      </c>
      <c r="L23" s="19" t="s">
        <v>60</v>
      </c>
    </row>
    <row r="24" spans="10:13" ht="15.75" x14ac:dyDescent="0.25">
      <c r="J24" s="43" t="s">
        <v>177</v>
      </c>
      <c r="K24" s="68">
        <f>SUM(K22:K23)</f>
        <v>6.0329795806862858</v>
      </c>
      <c r="L24" s="19" t="s">
        <v>60</v>
      </c>
    </row>
    <row r="27" spans="10:13" x14ac:dyDescent="0.25">
      <c r="M27" s="78"/>
    </row>
    <row r="29" spans="10:13" x14ac:dyDescent="0.25">
      <c r="M29" s="70"/>
    </row>
    <row r="32" spans="10:13" x14ac:dyDescent="0.25">
      <c r="J32" s="84"/>
    </row>
    <row r="35" spans="13:13" x14ac:dyDescent="0.25">
      <c r="M35" s="79"/>
    </row>
  </sheetData>
  <mergeCells count="22">
    <mergeCell ref="J10:L10"/>
    <mergeCell ref="J12:J13"/>
    <mergeCell ref="J14:J15"/>
    <mergeCell ref="J20:L20"/>
    <mergeCell ref="J21:L21"/>
    <mergeCell ref="J7:J8"/>
    <mergeCell ref="K7:K8"/>
    <mergeCell ref="B2:H2"/>
    <mergeCell ref="J2:M2"/>
    <mergeCell ref="O2:S2"/>
    <mergeCell ref="O4:Q4"/>
    <mergeCell ref="B5:H5"/>
    <mergeCell ref="J5:J6"/>
    <mergeCell ref="K5:K6"/>
    <mergeCell ref="O5:P5"/>
    <mergeCell ref="U2:X2"/>
    <mergeCell ref="B3:H3"/>
    <mergeCell ref="J3:J4"/>
    <mergeCell ref="K3:K4"/>
    <mergeCell ref="L3:M3"/>
    <mergeCell ref="O3:S3"/>
    <mergeCell ref="U3:V3"/>
  </mergeCells>
  <dataValidations count="1">
    <dataValidation type="list" allowBlank="1" showInputMessage="1" showErrorMessage="1" sqref="R4 JN4 TJ4 ADF4 ANB4 AWX4 BGT4 BQP4 CAL4 CKH4 CUD4 DDZ4 DNV4 DXR4 EHN4 ERJ4 FBF4 FLB4 FUX4 GET4 GOP4 GYL4 HIH4 HSD4 IBZ4 ILV4 IVR4 JFN4 JPJ4 JZF4 KJB4 KSX4 LCT4 LMP4 LWL4 MGH4 MQD4 MZZ4 NJV4 NTR4 ODN4 ONJ4 OXF4 PHB4 PQX4 QAT4 QKP4 QUL4 REH4 ROD4 RXZ4 SHV4 SRR4 TBN4 TLJ4 TVF4 UFB4 UOX4 UYT4 VIP4 VSL4 WCH4 WMD4 WVZ4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xr:uid="{EF31A468-AB20-4143-AEF6-74B217DE82CB}">
      <formula1>"wet,dry"</formula1>
    </dataValidation>
  </dataValidations>
  <pageMargins left="0.511811024" right="0.511811024" top="0.78740157499999996" bottom="0.78740157499999996" header="0.31496062000000002" footer="0.31496062000000002"/>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1E8F-2754-4139-982E-FDC627B8440A}">
  <sheetPr>
    <tabColor theme="0" tint="-0.249977111117893"/>
  </sheetPr>
  <dimension ref="B1:R1399"/>
  <sheetViews>
    <sheetView showGridLines="0" zoomScale="80" zoomScaleNormal="80" workbookViewId="0">
      <selection activeCell="B1" sqref="B1:O1"/>
    </sheetView>
  </sheetViews>
  <sheetFormatPr defaultRowHeight="14.25" x14ac:dyDescent="0.25"/>
  <cols>
    <col min="1" max="1" width="2.28515625" style="85" customWidth="1"/>
    <col min="2" max="2" width="22.28515625" style="85" customWidth="1"/>
    <col min="3" max="3" width="10.5703125" style="85" customWidth="1"/>
    <col min="4" max="4" width="22.140625" style="85" customWidth="1"/>
    <col min="5" max="5" width="22.28515625" style="85" customWidth="1"/>
    <col min="6" max="6" width="21.5703125" style="85" customWidth="1"/>
    <col min="7" max="7" width="21.28515625" style="85" customWidth="1"/>
    <col min="8" max="8" width="15.140625" style="85" customWidth="1"/>
    <col min="9" max="9" width="22.5703125" style="85" customWidth="1"/>
    <col min="10" max="10" width="21" style="85" customWidth="1"/>
    <col min="11" max="11" width="20" style="85" bestFit="1" customWidth="1"/>
    <col min="12" max="12" width="27.5703125" style="85" customWidth="1"/>
    <col min="13" max="13" width="26" style="85" customWidth="1"/>
    <col min="14" max="14" width="27.140625" style="85" customWidth="1"/>
    <col min="15" max="15" width="13" style="85" customWidth="1"/>
    <col min="16" max="17" width="20" style="85" customWidth="1"/>
    <col min="18" max="18" width="23" style="85" customWidth="1"/>
    <col min="19" max="256" width="9.140625" style="85"/>
    <col min="257" max="257" width="2.28515625" style="85" customWidth="1"/>
    <col min="258" max="258" width="22.28515625" style="85" customWidth="1"/>
    <col min="259" max="259" width="10.5703125" style="85" customWidth="1"/>
    <col min="260" max="260" width="22.140625" style="85" customWidth="1"/>
    <col min="261" max="261" width="22.28515625" style="85" customWidth="1"/>
    <col min="262" max="262" width="21.5703125" style="85" customWidth="1"/>
    <col min="263" max="263" width="21.28515625" style="85" customWidth="1"/>
    <col min="264" max="264" width="15.140625" style="85" customWidth="1"/>
    <col min="265" max="265" width="22.5703125" style="85" customWidth="1"/>
    <col min="266" max="266" width="21" style="85" customWidth="1"/>
    <col min="267" max="267" width="20" style="85" bestFit="1" customWidth="1"/>
    <col min="268" max="268" width="27.5703125" style="85" customWidth="1"/>
    <col min="269" max="269" width="26" style="85" customWidth="1"/>
    <col min="270" max="270" width="27.140625" style="85" customWidth="1"/>
    <col min="271" max="271" width="13" style="85" customWidth="1"/>
    <col min="272" max="273" width="20" style="85" customWidth="1"/>
    <col min="274" max="274" width="23" style="85" customWidth="1"/>
    <col min="275" max="512" width="9.140625" style="85"/>
    <col min="513" max="513" width="2.28515625" style="85" customWidth="1"/>
    <col min="514" max="514" width="22.28515625" style="85" customWidth="1"/>
    <col min="515" max="515" width="10.5703125" style="85" customWidth="1"/>
    <col min="516" max="516" width="22.140625" style="85" customWidth="1"/>
    <col min="517" max="517" width="22.28515625" style="85" customWidth="1"/>
    <col min="518" max="518" width="21.5703125" style="85" customWidth="1"/>
    <col min="519" max="519" width="21.28515625" style="85" customWidth="1"/>
    <col min="520" max="520" width="15.140625" style="85" customWidth="1"/>
    <col min="521" max="521" width="22.5703125" style="85" customWidth="1"/>
    <col min="522" max="522" width="21" style="85" customWidth="1"/>
    <col min="523" max="523" width="20" style="85" bestFit="1" customWidth="1"/>
    <col min="524" max="524" width="27.5703125" style="85" customWidth="1"/>
    <col min="525" max="525" width="26" style="85" customWidth="1"/>
    <col min="526" max="526" width="27.140625" style="85" customWidth="1"/>
    <col min="527" max="527" width="13" style="85" customWidth="1"/>
    <col min="528" max="529" width="20" style="85" customWidth="1"/>
    <col min="530" max="530" width="23" style="85" customWidth="1"/>
    <col min="531" max="768" width="9.140625" style="85"/>
    <col min="769" max="769" width="2.28515625" style="85" customWidth="1"/>
    <col min="770" max="770" width="22.28515625" style="85" customWidth="1"/>
    <col min="771" max="771" width="10.5703125" style="85" customWidth="1"/>
    <col min="772" max="772" width="22.140625" style="85" customWidth="1"/>
    <col min="773" max="773" width="22.28515625" style="85" customWidth="1"/>
    <col min="774" max="774" width="21.5703125" style="85" customWidth="1"/>
    <col min="775" max="775" width="21.28515625" style="85" customWidth="1"/>
    <col min="776" max="776" width="15.140625" style="85" customWidth="1"/>
    <col min="777" max="777" width="22.5703125" style="85" customWidth="1"/>
    <col min="778" max="778" width="21" style="85" customWidth="1"/>
    <col min="779" max="779" width="20" style="85" bestFit="1" customWidth="1"/>
    <col min="780" max="780" width="27.5703125" style="85" customWidth="1"/>
    <col min="781" max="781" width="26" style="85" customWidth="1"/>
    <col min="782" max="782" width="27.140625" style="85" customWidth="1"/>
    <col min="783" max="783" width="13" style="85" customWidth="1"/>
    <col min="784" max="785" width="20" style="85" customWidth="1"/>
    <col min="786" max="786" width="23" style="85" customWidth="1"/>
    <col min="787" max="1024" width="9.140625" style="85"/>
    <col min="1025" max="1025" width="2.28515625" style="85" customWidth="1"/>
    <col min="1026" max="1026" width="22.28515625" style="85" customWidth="1"/>
    <col min="1027" max="1027" width="10.5703125" style="85" customWidth="1"/>
    <col min="1028" max="1028" width="22.140625" style="85" customWidth="1"/>
    <col min="1029" max="1029" width="22.28515625" style="85" customWidth="1"/>
    <col min="1030" max="1030" width="21.5703125" style="85" customWidth="1"/>
    <col min="1031" max="1031" width="21.28515625" style="85" customWidth="1"/>
    <col min="1032" max="1032" width="15.140625" style="85" customWidth="1"/>
    <col min="1033" max="1033" width="22.5703125" style="85" customWidth="1"/>
    <col min="1034" max="1034" width="21" style="85" customWidth="1"/>
    <col min="1035" max="1035" width="20" style="85" bestFit="1" customWidth="1"/>
    <col min="1036" max="1036" width="27.5703125" style="85" customWidth="1"/>
    <col min="1037" max="1037" width="26" style="85" customWidth="1"/>
    <col min="1038" max="1038" width="27.140625" style="85" customWidth="1"/>
    <col min="1039" max="1039" width="13" style="85" customWidth="1"/>
    <col min="1040" max="1041" width="20" style="85" customWidth="1"/>
    <col min="1042" max="1042" width="23" style="85" customWidth="1"/>
    <col min="1043" max="1280" width="9.140625" style="85"/>
    <col min="1281" max="1281" width="2.28515625" style="85" customWidth="1"/>
    <col min="1282" max="1282" width="22.28515625" style="85" customWidth="1"/>
    <col min="1283" max="1283" width="10.5703125" style="85" customWidth="1"/>
    <col min="1284" max="1284" width="22.140625" style="85" customWidth="1"/>
    <col min="1285" max="1285" width="22.28515625" style="85" customWidth="1"/>
    <col min="1286" max="1286" width="21.5703125" style="85" customWidth="1"/>
    <col min="1287" max="1287" width="21.28515625" style="85" customWidth="1"/>
    <col min="1288" max="1288" width="15.140625" style="85" customWidth="1"/>
    <col min="1289" max="1289" width="22.5703125" style="85" customWidth="1"/>
    <col min="1290" max="1290" width="21" style="85" customWidth="1"/>
    <col min="1291" max="1291" width="20" style="85" bestFit="1" customWidth="1"/>
    <col min="1292" max="1292" width="27.5703125" style="85" customWidth="1"/>
    <col min="1293" max="1293" width="26" style="85" customWidth="1"/>
    <col min="1294" max="1294" width="27.140625" style="85" customWidth="1"/>
    <col min="1295" max="1295" width="13" style="85" customWidth="1"/>
    <col min="1296" max="1297" width="20" style="85" customWidth="1"/>
    <col min="1298" max="1298" width="23" style="85" customWidth="1"/>
    <col min="1299" max="1536" width="9.140625" style="85"/>
    <col min="1537" max="1537" width="2.28515625" style="85" customWidth="1"/>
    <col min="1538" max="1538" width="22.28515625" style="85" customWidth="1"/>
    <col min="1539" max="1539" width="10.5703125" style="85" customWidth="1"/>
    <col min="1540" max="1540" width="22.140625" style="85" customWidth="1"/>
    <col min="1541" max="1541" width="22.28515625" style="85" customWidth="1"/>
    <col min="1542" max="1542" width="21.5703125" style="85" customWidth="1"/>
    <col min="1543" max="1543" width="21.28515625" style="85" customWidth="1"/>
    <col min="1544" max="1544" width="15.140625" style="85" customWidth="1"/>
    <col min="1545" max="1545" width="22.5703125" style="85" customWidth="1"/>
    <col min="1546" max="1546" width="21" style="85" customWidth="1"/>
    <col min="1547" max="1547" width="20" style="85" bestFit="1" customWidth="1"/>
    <col min="1548" max="1548" width="27.5703125" style="85" customWidth="1"/>
    <col min="1549" max="1549" width="26" style="85" customWidth="1"/>
    <col min="1550" max="1550" width="27.140625" style="85" customWidth="1"/>
    <col min="1551" max="1551" width="13" style="85" customWidth="1"/>
    <col min="1552" max="1553" width="20" style="85" customWidth="1"/>
    <col min="1554" max="1554" width="23" style="85" customWidth="1"/>
    <col min="1555" max="1792" width="9.140625" style="85"/>
    <col min="1793" max="1793" width="2.28515625" style="85" customWidth="1"/>
    <col min="1794" max="1794" width="22.28515625" style="85" customWidth="1"/>
    <col min="1795" max="1795" width="10.5703125" style="85" customWidth="1"/>
    <col min="1796" max="1796" width="22.140625" style="85" customWidth="1"/>
    <col min="1797" max="1797" width="22.28515625" style="85" customWidth="1"/>
    <col min="1798" max="1798" width="21.5703125" style="85" customWidth="1"/>
    <col min="1799" max="1799" width="21.28515625" style="85" customWidth="1"/>
    <col min="1800" max="1800" width="15.140625" style="85" customWidth="1"/>
    <col min="1801" max="1801" width="22.5703125" style="85" customWidth="1"/>
    <col min="1802" max="1802" width="21" style="85" customWidth="1"/>
    <col min="1803" max="1803" width="20" style="85" bestFit="1" customWidth="1"/>
    <col min="1804" max="1804" width="27.5703125" style="85" customWidth="1"/>
    <col min="1805" max="1805" width="26" style="85" customWidth="1"/>
    <col min="1806" max="1806" width="27.140625" style="85" customWidth="1"/>
    <col min="1807" max="1807" width="13" style="85" customWidth="1"/>
    <col min="1808" max="1809" width="20" style="85" customWidth="1"/>
    <col min="1810" max="1810" width="23" style="85" customWidth="1"/>
    <col min="1811" max="2048" width="9.140625" style="85"/>
    <col min="2049" max="2049" width="2.28515625" style="85" customWidth="1"/>
    <col min="2050" max="2050" width="22.28515625" style="85" customWidth="1"/>
    <col min="2051" max="2051" width="10.5703125" style="85" customWidth="1"/>
    <col min="2052" max="2052" width="22.140625" style="85" customWidth="1"/>
    <col min="2053" max="2053" width="22.28515625" style="85" customWidth="1"/>
    <col min="2054" max="2054" width="21.5703125" style="85" customWidth="1"/>
    <col min="2055" max="2055" width="21.28515625" style="85" customWidth="1"/>
    <col min="2056" max="2056" width="15.140625" style="85" customWidth="1"/>
    <col min="2057" max="2057" width="22.5703125" style="85" customWidth="1"/>
    <col min="2058" max="2058" width="21" style="85" customWidth="1"/>
    <col min="2059" max="2059" width="20" style="85" bestFit="1" customWidth="1"/>
    <col min="2060" max="2060" width="27.5703125" style="85" customWidth="1"/>
    <col min="2061" max="2061" width="26" style="85" customWidth="1"/>
    <col min="2062" max="2062" width="27.140625" style="85" customWidth="1"/>
    <col min="2063" max="2063" width="13" style="85" customWidth="1"/>
    <col min="2064" max="2065" width="20" style="85" customWidth="1"/>
    <col min="2066" max="2066" width="23" style="85" customWidth="1"/>
    <col min="2067" max="2304" width="9.140625" style="85"/>
    <col min="2305" max="2305" width="2.28515625" style="85" customWidth="1"/>
    <col min="2306" max="2306" width="22.28515625" style="85" customWidth="1"/>
    <col min="2307" max="2307" width="10.5703125" style="85" customWidth="1"/>
    <col min="2308" max="2308" width="22.140625" style="85" customWidth="1"/>
    <col min="2309" max="2309" width="22.28515625" style="85" customWidth="1"/>
    <col min="2310" max="2310" width="21.5703125" style="85" customWidth="1"/>
    <col min="2311" max="2311" width="21.28515625" style="85" customWidth="1"/>
    <col min="2312" max="2312" width="15.140625" style="85" customWidth="1"/>
    <col min="2313" max="2313" width="22.5703125" style="85" customWidth="1"/>
    <col min="2314" max="2314" width="21" style="85" customWidth="1"/>
    <col min="2315" max="2315" width="20" style="85" bestFit="1" customWidth="1"/>
    <col min="2316" max="2316" width="27.5703125" style="85" customWidth="1"/>
    <col min="2317" max="2317" width="26" style="85" customWidth="1"/>
    <col min="2318" max="2318" width="27.140625" style="85" customWidth="1"/>
    <col min="2319" max="2319" width="13" style="85" customWidth="1"/>
    <col min="2320" max="2321" width="20" style="85" customWidth="1"/>
    <col min="2322" max="2322" width="23" style="85" customWidth="1"/>
    <col min="2323" max="2560" width="9.140625" style="85"/>
    <col min="2561" max="2561" width="2.28515625" style="85" customWidth="1"/>
    <col min="2562" max="2562" width="22.28515625" style="85" customWidth="1"/>
    <col min="2563" max="2563" width="10.5703125" style="85" customWidth="1"/>
    <col min="2564" max="2564" width="22.140625" style="85" customWidth="1"/>
    <col min="2565" max="2565" width="22.28515625" style="85" customWidth="1"/>
    <col min="2566" max="2566" width="21.5703125" style="85" customWidth="1"/>
    <col min="2567" max="2567" width="21.28515625" style="85" customWidth="1"/>
    <col min="2568" max="2568" width="15.140625" style="85" customWidth="1"/>
    <col min="2569" max="2569" width="22.5703125" style="85" customWidth="1"/>
    <col min="2570" max="2570" width="21" style="85" customWidth="1"/>
    <col min="2571" max="2571" width="20" style="85" bestFit="1" customWidth="1"/>
    <col min="2572" max="2572" width="27.5703125" style="85" customWidth="1"/>
    <col min="2573" max="2573" width="26" style="85" customWidth="1"/>
    <col min="2574" max="2574" width="27.140625" style="85" customWidth="1"/>
    <col min="2575" max="2575" width="13" style="85" customWidth="1"/>
    <col min="2576" max="2577" width="20" style="85" customWidth="1"/>
    <col min="2578" max="2578" width="23" style="85" customWidth="1"/>
    <col min="2579" max="2816" width="9.140625" style="85"/>
    <col min="2817" max="2817" width="2.28515625" style="85" customWidth="1"/>
    <col min="2818" max="2818" width="22.28515625" style="85" customWidth="1"/>
    <col min="2819" max="2819" width="10.5703125" style="85" customWidth="1"/>
    <col min="2820" max="2820" width="22.140625" style="85" customWidth="1"/>
    <col min="2821" max="2821" width="22.28515625" style="85" customWidth="1"/>
    <col min="2822" max="2822" width="21.5703125" style="85" customWidth="1"/>
    <col min="2823" max="2823" width="21.28515625" style="85" customWidth="1"/>
    <col min="2824" max="2824" width="15.140625" style="85" customWidth="1"/>
    <col min="2825" max="2825" width="22.5703125" style="85" customWidth="1"/>
    <col min="2826" max="2826" width="21" style="85" customWidth="1"/>
    <col min="2827" max="2827" width="20" style="85" bestFit="1" customWidth="1"/>
    <col min="2828" max="2828" width="27.5703125" style="85" customWidth="1"/>
    <col min="2829" max="2829" width="26" style="85" customWidth="1"/>
    <col min="2830" max="2830" width="27.140625" style="85" customWidth="1"/>
    <col min="2831" max="2831" width="13" style="85" customWidth="1"/>
    <col min="2832" max="2833" width="20" style="85" customWidth="1"/>
    <col min="2834" max="2834" width="23" style="85" customWidth="1"/>
    <col min="2835" max="3072" width="9.140625" style="85"/>
    <col min="3073" max="3073" width="2.28515625" style="85" customWidth="1"/>
    <col min="3074" max="3074" width="22.28515625" style="85" customWidth="1"/>
    <col min="3075" max="3075" width="10.5703125" style="85" customWidth="1"/>
    <col min="3076" max="3076" width="22.140625" style="85" customWidth="1"/>
    <col min="3077" max="3077" width="22.28515625" style="85" customWidth="1"/>
    <col min="3078" max="3078" width="21.5703125" style="85" customWidth="1"/>
    <col min="3079" max="3079" width="21.28515625" style="85" customWidth="1"/>
    <col min="3080" max="3080" width="15.140625" style="85" customWidth="1"/>
    <col min="3081" max="3081" width="22.5703125" style="85" customWidth="1"/>
    <col min="3082" max="3082" width="21" style="85" customWidth="1"/>
    <col min="3083" max="3083" width="20" style="85" bestFit="1" customWidth="1"/>
    <col min="3084" max="3084" width="27.5703125" style="85" customWidth="1"/>
    <col min="3085" max="3085" width="26" style="85" customWidth="1"/>
    <col min="3086" max="3086" width="27.140625" style="85" customWidth="1"/>
    <col min="3087" max="3087" width="13" style="85" customWidth="1"/>
    <col min="3088" max="3089" width="20" style="85" customWidth="1"/>
    <col min="3090" max="3090" width="23" style="85" customWidth="1"/>
    <col min="3091" max="3328" width="9.140625" style="85"/>
    <col min="3329" max="3329" width="2.28515625" style="85" customWidth="1"/>
    <col min="3330" max="3330" width="22.28515625" style="85" customWidth="1"/>
    <col min="3331" max="3331" width="10.5703125" style="85" customWidth="1"/>
    <col min="3332" max="3332" width="22.140625" style="85" customWidth="1"/>
    <col min="3333" max="3333" width="22.28515625" style="85" customWidth="1"/>
    <col min="3334" max="3334" width="21.5703125" style="85" customWidth="1"/>
    <col min="3335" max="3335" width="21.28515625" style="85" customWidth="1"/>
    <col min="3336" max="3336" width="15.140625" style="85" customWidth="1"/>
    <col min="3337" max="3337" width="22.5703125" style="85" customWidth="1"/>
    <col min="3338" max="3338" width="21" style="85" customWidth="1"/>
    <col min="3339" max="3339" width="20" style="85" bestFit="1" customWidth="1"/>
    <col min="3340" max="3340" width="27.5703125" style="85" customWidth="1"/>
    <col min="3341" max="3341" width="26" style="85" customWidth="1"/>
    <col min="3342" max="3342" width="27.140625" style="85" customWidth="1"/>
    <col min="3343" max="3343" width="13" style="85" customWidth="1"/>
    <col min="3344" max="3345" width="20" style="85" customWidth="1"/>
    <col min="3346" max="3346" width="23" style="85" customWidth="1"/>
    <col min="3347" max="3584" width="9.140625" style="85"/>
    <col min="3585" max="3585" width="2.28515625" style="85" customWidth="1"/>
    <col min="3586" max="3586" width="22.28515625" style="85" customWidth="1"/>
    <col min="3587" max="3587" width="10.5703125" style="85" customWidth="1"/>
    <col min="3588" max="3588" width="22.140625" style="85" customWidth="1"/>
    <col min="3589" max="3589" width="22.28515625" style="85" customWidth="1"/>
    <col min="3590" max="3590" width="21.5703125" style="85" customWidth="1"/>
    <col min="3591" max="3591" width="21.28515625" style="85" customWidth="1"/>
    <col min="3592" max="3592" width="15.140625" style="85" customWidth="1"/>
    <col min="3593" max="3593" width="22.5703125" style="85" customWidth="1"/>
    <col min="3594" max="3594" width="21" style="85" customWidth="1"/>
    <col min="3595" max="3595" width="20" style="85" bestFit="1" customWidth="1"/>
    <col min="3596" max="3596" width="27.5703125" style="85" customWidth="1"/>
    <col min="3597" max="3597" width="26" style="85" customWidth="1"/>
    <col min="3598" max="3598" width="27.140625" style="85" customWidth="1"/>
    <col min="3599" max="3599" width="13" style="85" customWidth="1"/>
    <col min="3600" max="3601" width="20" style="85" customWidth="1"/>
    <col min="3602" max="3602" width="23" style="85" customWidth="1"/>
    <col min="3603" max="3840" width="9.140625" style="85"/>
    <col min="3841" max="3841" width="2.28515625" style="85" customWidth="1"/>
    <col min="3842" max="3842" width="22.28515625" style="85" customWidth="1"/>
    <col min="3843" max="3843" width="10.5703125" style="85" customWidth="1"/>
    <col min="3844" max="3844" width="22.140625" style="85" customWidth="1"/>
    <col min="3845" max="3845" width="22.28515625" style="85" customWidth="1"/>
    <col min="3846" max="3846" width="21.5703125" style="85" customWidth="1"/>
    <col min="3847" max="3847" width="21.28515625" style="85" customWidth="1"/>
    <col min="3848" max="3848" width="15.140625" style="85" customWidth="1"/>
    <col min="3849" max="3849" width="22.5703125" style="85" customWidth="1"/>
    <col min="3850" max="3850" width="21" style="85" customWidth="1"/>
    <col min="3851" max="3851" width="20" style="85" bestFit="1" customWidth="1"/>
    <col min="3852" max="3852" width="27.5703125" style="85" customWidth="1"/>
    <col min="3853" max="3853" width="26" style="85" customWidth="1"/>
    <col min="3854" max="3854" width="27.140625" style="85" customWidth="1"/>
    <col min="3855" max="3855" width="13" style="85" customWidth="1"/>
    <col min="3856" max="3857" width="20" style="85" customWidth="1"/>
    <col min="3858" max="3858" width="23" style="85" customWidth="1"/>
    <col min="3859" max="4096" width="9.140625" style="85"/>
    <col min="4097" max="4097" width="2.28515625" style="85" customWidth="1"/>
    <col min="4098" max="4098" width="22.28515625" style="85" customWidth="1"/>
    <col min="4099" max="4099" width="10.5703125" style="85" customWidth="1"/>
    <col min="4100" max="4100" width="22.140625" style="85" customWidth="1"/>
    <col min="4101" max="4101" width="22.28515625" style="85" customWidth="1"/>
    <col min="4102" max="4102" width="21.5703125" style="85" customWidth="1"/>
    <col min="4103" max="4103" width="21.28515625" style="85" customWidth="1"/>
    <col min="4104" max="4104" width="15.140625" style="85" customWidth="1"/>
    <col min="4105" max="4105" width="22.5703125" style="85" customWidth="1"/>
    <col min="4106" max="4106" width="21" style="85" customWidth="1"/>
    <col min="4107" max="4107" width="20" style="85" bestFit="1" customWidth="1"/>
    <col min="4108" max="4108" width="27.5703125" style="85" customWidth="1"/>
    <col min="4109" max="4109" width="26" style="85" customWidth="1"/>
    <col min="4110" max="4110" width="27.140625" style="85" customWidth="1"/>
    <col min="4111" max="4111" width="13" style="85" customWidth="1"/>
    <col min="4112" max="4113" width="20" style="85" customWidth="1"/>
    <col min="4114" max="4114" width="23" style="85" customWidth="1"/>
    <col min="4115" max="4352" width="9.140625" style="85"/>
    <col min="4353" max="4353" width="2.28515625" style="85" customWidth="1"/>
    <col min="4354" max="4354" width="22.28515625" style="85" customWidth="1"/>
    <col min="4355" max="4355" width="10.5703125" style="85" customWidth="1"/>
    <col min="4356" max="4356" width="22.140625" style="85" customWidth="1"/>
    <col min="4357" max="4357" width="22.28515625" style="85" customWidth="1"/>
    <col min="4358" max="4358" width="21.5703125" style="85" customWidth="1"/>
    <col min="4359" max="4359" width="21.28515625" style="85" customWidth="1"/>
    <col min="4360" max="4360" width="15.140625" style="85" customWidth="1"/>
    <col min="4361" max="4361" width="22.5703125" style="85" customWidth="1"/>
    <col min="4362" max="4362" width="21" style="85" customWidth="1"/>
    <col min="4363" max="4363" width="20" style="85" bestFit="1" customWidth="1"/>
    <col min="4364" max="4364" width="27.5703125" style="85" customWidth="1"/>
    <col min="4365" max="4365" width="26" style="85" customWidth="1"/>
    <col min="4366" max="4366" width="27.140625" style="85" customWidth="1"/>
    <col min="4367" max="4367" width="13" style="85" customWidth="1"/>
    <col min="4368" max="4369" width="20" style="85" customWidth="1"/>
    <col min="4370" max="4370" width="23" style="85" customWidth="1"/>
    <col min="4371" max="4608" width="9.140625" style="85"/>
    <col min="4609" max="4609" width="2.28515625" style="85" customWidth="1"/>
    <col min="4610" max="4610" width="22.28515625" style="85" customWidth="1"/>
    <col min="4611" max="4611" width="10.5703125" style="85" customWidth="1"/>
    <col min="4612" max="4612" width="22.140625" style="85" customWidth="1"/>
    <col min="4613" max="4613" width="22.28515625" style="85" customWidth="1"/>
    <col min="4614" max="4614" width="21.5703125" style="85" customWidth="1"/>
    <col min="4615" max="4615" width="21.28515625" style="85" customWidth="1"/>
    <col min="4616" max="4616" width="15.140625" style="85" customWidth="1"/>
    <col min="4617" max="4617" width="22.5703125" style="85" customWidth="1"/>
    <col min="4618" max="4618" width="21" style="85" customWidth="1"/>
    <col min="4619" max="4619" width="20" style="85" bestFit="1" customWidth="1"/>
    <col min="4620" max="4620" width="27.5703125" style="85" customWidth="1"/>
    <col min="4621" max="4621" width="26" style="85" customWidth="1"/>
    <col min="4622" max="4622" width="27.140625" style="85" customWidth="1"/>
    <col min="4623" max="4623" width="13" style="85" customWidth="1"/>
    <col min="4624" max="4625" width="20" style="85" customWidth="1"/>
    <col min="4626" max="4626" width="23" style="85" customWidth="1"/>
    <col min="4627" max="4864" width="9.140625" style="85"/>
    <col min="4865" max="4865" width="2.28515625" style="85" customWidth="1"/>
    <col min="4866" max="4866" width="22.28515625" style="85" customWidth="1"/>
    <col min="4867" max="4867" width="10.5703125" style="85" customWidth="1"/>
    <col min="4868" max="4868" width="22.140625" style="85" customWidth="1"/>
    <col min="4869" max="4869" width="22.28515625" style="85" customWidth="1"/>
    <col min="4870" max="4870" width="21.5703125" style="85" customWidth="1"/>
    <col min="4871" max="4871" width="21.28515625" style="85" customWidth="1"/>
    <col min="4872" max="4872" width="15.140625" style="85" customWidth="1"/>
    <col min="4873" max="4873" width="22.5703125" style="85" customWidth="1"/>
    <col min="4874" max="4874" width="21" style="85" customWidth="1"/>
    <col min="4875" max="4875" width="20" style="85" bestFit="1" customWidth="1"/>
    <col min="4876" max="4876" width="27.5703125" style="85" customWidth="1"/>
    <col min="4877" max="4877" width="26" style="85" customWidth="1"/>
    <col min="4878" max="4878" width="27.140625" style="85" customWidth="1"/>
    <col min="4879" max="4879" width="13" style="85" customWidth="1"/>
    <col min="4880" max="4881" width="20" style="85" customWidth="1"/>
    <col min="4882" max="4882" width="23" style="85" customWidth="1"/>
    <col min="4883" max="5120" width="9.140625" style="85"/>
    <col min="5121" max="5121" width="2.28515625" style="85" customWidth="1"/>
    <col min="5122" max="5122" width="22.28515625" style="85" customWidth="1"/>
    <col min="5123" max="5123" width="10.5703125" style="85" customWidth="1"/>
    <col min="5124" max="5124" width="22.140625" style="85" customWidth="1"/>
    <col min="5125" max="5125" width="22.28515625" style="85" customWidth="1"/>
    <col min="5126" max="5126" width="21.5703125" style="85" customWidth="1"/>
    <col min="5127" max="5127" width="21.28515625" style="85" customWidth="1"/>
    <col min="5128" max="5128" width="15.140625" style="85" customWidth="1"/>
    <col min="5129" max="5129" width="22.5703125" style="85" customWidth="1"/>
    <col min="5130" max="5130" width="21" style="85" customWidth="1"/>
    <col min="5131" max="5131" width="20" style="85" bestFit="1" customWidth="1"/>
    <col min="5132" max="5132" width="27.5703125" style="85" customWidth="1"/>
    <col min="5133" max="5133" width="26" style="85" customWidth="1"/>
    <col min="5134" max="5134" width="27.140625" style="85" customWidth="1"/>
    <col min="5135" max="5135" width="13" style="85" customWidth="1"/>
    <col min="5136" max="5137" width="20" style="85" customWidth="1"/>
    <col min="5138" max="5138" width="23" style="85" customWidth="1"/>
    <col min="5139" max="5376" width="9.140625" style="85"/>
    <col min="5377" max="5377" width="2.28515625" style="85" customWidth="1"/>
    <col min="5378" max="5378" width="22.28515625" style="85" customWidth="1"/>
    <col min="5379" max="5379" width="10.5703125" style="85" customWidth="1"/>
    <col min="5380" max="5380" width="22.140625" style="85" customWidth="1"/>
    <col min="5381" max="5381" width="22.28515625" style="85" customWidth="1"/>
    <col min="5382" max="5382" width="21.5703125" style="85" customWidth="1"/>
    <col min="5383" max="5383" width="21.28515625" style="85" customWidth="1"/>
    <col min="5384" max="5384" width="15.140625" style="85" customWidth="1"/>
    <col min="5385" max="5385" width="22.5703125" style="85" customWidth="1"/>
    <col min="5386" max="5386" width="21" style="85" customWidth="1"/>
    <col min="5387" max="5387" width="20" style="85" bestFit="1" customWidth="1"/>
    <col min="5388" max="5388" width="27.5703125" style="85" customWidth="1"/>
    <col min="5389" max="5389" width="26" style="85" customWidth="1"/>
    <col min="5390" max="5390" width="27.140625" style="85" customWidth="1"/>
    <col min="5391" max="5391" width="13" style="85" customWidth="1"/>
    <col min="5392" max="5393" width="20" style="85" customWidth="1"/>
    <col min="5394" max="5394" width="23" style="85" customWidth="1"/>
    <col min="5395" max="5632" width="9.140625" style="85"/>
    <col min="5633" max="5633" width="2.28515625" style="85" customWidth="1"/>
    <col min="5634" max="5634" width="22.28515625" style="85" customWidth="1"/>
    <col min="5635" max="5635" width="10.5703125" style="85" customWidth="1"/>
    <col min="5636" max="5636" width="22.140625" style="85" customWidth="1"/>
    <col min="5637" max="5637" width="22.28515625" style="85" customWidth="1"/>
    <col min="5638" max="5638" width="21.5703125" style="85" customWidth="1"/>
    <col min="5639" max="5639" width="21.28515625" style="85" customWidth="1"/>
    <col min="5640" max="5640" width="15.140625" style="85" customWidth="1"/>
    <col min="5641" max="5641" width="22.5703125" style="85" customWidth="1"/>
    <col min="5642" max="5642" width="21" style="85" customWidth="1"/>
    <col min="5643" max="5643" width="20" style="85" bestFit="1" customWidth="1"/>
    <col min="5644" max="5644" width="27.5703125" style="85" customWidth="1"/>
    <col min="5645" max="5645" width="26" style="85" customWidth="1"/>
    <col min="5646" max="5646" width="27.140625" style="85" customWidth="1"/>
    <col min="5647" max="5647" width="13" style="85" customWidth="1"/>
    <col min="5648" max="5649" width="20" style="85" customWidth="1"/>
    <col min="5650" max="5650" width="23" style="85" customWidth="1"/>
    <col min="5651" max="5888" width="9.140625" style="85"/>
    <col min="5889" max="5889" width="2.28515625" style="85" customWidth="1"/>
    <col min="5890" max="5890" width="22.28515625" style="85" customWidth="1"/>
    <col min="5891" max="5891" width="10.5703125" style="85" customWidth="1"/>
    <col min="5892" max="5892" width="22.140625" style="85" customWidth="1"/>
    <col min="5893" max="5893" width="22.28515625" style="85" customWidth="1"/>
    <col min="5894" max="5894" width="21.5703125" style="85" customWidth="1"/>
    <col min="5895" max="5895" width="21.28515625" style="85" customWidth="1"/>
    <col min="5896" max="5896" width="15.140625" style="85" customWidth="1"/>
    <col min="5897" max="5897" width="22.5703125" style="85" customWidth="1"/>
    <col min="5898" max="5898" width="21" style="85" customWidth="1"/>
    <col min="5899" max="5899" width="20" style="85" bestFit="1" customWidth="1"/>
    <col min="5900" max="5900" width="27.5703125" style="85" customWidth="1"/>
    <col min="5901" max="5901" width="26" style="85" customWidth="1"/>
    <col min="5902" max="5902" width="27.140625" style="85" customWidth="1"/>
    <col min="5903" max="5903" width="13" style="85" customWidth="1"/>
    <col min="5904" max="5905" width="20" style="85" customWidth="1"/>
    <col min="5906" max="5906" width="23" style="85" customWidth="1"/>
    <col min="5907" max="6144" width="9.140625" style="85"/>
    <col min="6145" max="6145" width="2.28515625" style="85" customWidth="1"/>
    <col min="6146" max="6146" width="22.28515625" style="85" customWidth="1"/>
    <col min="6147" max="6147" width="10.5703125" style="85" customWidth="1"/>
    <col min="6148" max="6148" width="22.140625" style="85" customWidth="1"/>
    <col min="6149" max="6149" width="22.28515625" style="85" customWidth="1"/>
    <col min="6150" max="6150" width="21.5703125" style="85" customWidth="1"/>
    <col min="6151" max="6151" width="21.28515625" style="85" customWidth="1"/>
    <col min="6152" max="6152" width="15.140625" style="85" customWidth="1"/>
    <col min="6153" max="6153" width="22.5703125" style="85" customWidth="1"/>
    <col min="6154" max="6154" width="21" style="85" customWidth="1"/>
    <col min="6155" max="6155" width="20" style="85" bestFit="1" customWidth="1"/>
    <col min="6156" max="6156" width="27.5703125" style="85" customWidth="1"/>
    <col min="6157" max="6157" width="26" style="85" customWidth="1"/>
    <col min="6158" max="6158" width="27.140625" style="85" customWidth="1"/>
    <col min="6159" max="6159" width="13" style="85" customWidth="1"/>
    <col min="6160" max="6161" width="20" style="85" customWidth="1"/>
    <col min="6162" max="6162" width="23" style="85" customWidth="1"/>
    <col min="6163" max="6400" width="9.140625" style="85"/>
    <col min="6401" max="6401" width="2.28515625" style="85" customWidth="1"/>
    <col min="6402" max="6402" width="22.28515625" style="85" customWidth="1"/>
    <col min="6403" max="6403" width="10.5703125" style="85" customWidth="1"/>
    <col min="6404" max="6404" width="22.140625" style="85" customWidth="1"/>
    <col min="6405" max="6405" width="22.28515625" style="85" customWidth="1"/>
    <col min="6406" max="6406" width="21.5703125" style="85" customWidth="1"/>
    <col min="6407" max="6407" width="21.28515625" style="85" customWidth="1"/>
    <col min="6408" max="6408" width="15.140625" style="85" customWidth="1"/>
    <col min="6409" max="6409" width="22.5703125" style="85" customWidth="1"/>
    <col min="6410" max="6410" width="21" style="85" customWidth="1"/>
    <col min="6411" max="6411" width="20" style="85" bestFit="1" customWidth="1"/>
    <col min="6412" max="6412" width="27.5703125" style="85" customWidth="1"/>
    <col min="6413" max="6413" width="26" style="85" customWidth="1"/>
    <col min="6414" max="6414" width="27.140625" style="85" customWidth="1"/>
    <col min="6415" max="6415" width="13" style="85" customWidth="1"/>
    <col min="6416" max="6417" width="20" style="85" customWidth="1"/>
    <col min="6418" max="6418" width="23" style="85" customWidth="1"/>
    <col min="6419" max="6656" width="9.140625" style="85"/>
    <col min="6657" max="6657" width="2.28515625" style="85" customWidth="1"/>
    <col min="6658" max="6658" width="22.28515625" style="85" customWidth="1"/>
    <col min="6659" max="6659" width="10.5703125" style="85" customWidth="1"/>
    <col min="6660" max="6660" width="22.140625" style="85" customWidth="1"/>
    <col min="6661" max="6661" width="22.28515625" style="85" customWidth="1"/>
    <col min="6662" max="6662" width="21.5703125" style="85" customWidth="1"/>
    <col min="6663" max="6663" width="21.28515625" style="85" customWidth="1"/>
    <col min="6664" max="6664" width="15.140625" style="85" customWidth="1"/>
    <col min="6665" max="6665" width="22.5703125" style="85" customWidth="1"/>
    <col min="6666" max="6666" width="21" style="85" customWidth="1"/>
    <col min="6667" max="6667" width="20" style="85" bestFit="1" customWidth="1"/>
    <col min="6668" max="6668" width="27.5703125" style="85" customWidth="1"/>
    <col min="6669" max="6669" width="26" style="85" customWidth="1"/>
    <col min="6670" max="6670" width="27.140625" style="85" customWidth="1"/>
    <col min="6671" max="6671" width="13" style="85" customWidth="1"/>
    <col min="6672" max="6673" width="20" style="85" customWidth="1"/>
    <col min="6674" max="6674" width="23" style="85" customWidth="1"/>
    <col min="6675" max="6912" width="9.140625" style="85"/>
    <col min="6913" max="6913" width="2.28515625" style="85" customWidth="1"/>
    <col min="6914" max="6914" width="22.28515625" style="85" customWidth="1"/>
    <col min="6915" max="6915" width="10.5703125" style="85" customWidth="1"/>
    <col min="6916" max="6916" width="22.140625" style="85" customWidth="1"/>
    <col min="6917" max="6917" width="22.28515625" style="85" customWidth="1"/>
    <col min="6918" max="6918" width="21.5703125" style="85" customWidth="1"/>
    <col min="6919" max="6919" width="21.28515625" style="85" customWidth="1"/>
    <col min="6920" max="6920" width="15.140625" style="85" customWidth="1"/>
    <col min="6921" max="6921" width="22.5703125" style="85" customWidth="1"/>
    <col min="6922" max="6922" width="21" style="85" customWidth="1"/>
    <col min="6923" max="6923" width="20" style="85" bestFit="1" customWidth="1"/>
    <col min="6924" max="6924" width="27.5703125" style="85" customWidth="1"/>
    <col min="6925" max="6925" width="26" style="85" customWidth="1"/>
    <col min="6926" max="6926" width="27.140625" style="85" customWidth="1"/>
    <col min="6927" max="6927" width="13" style="85" customWidth="1"/>
    <col min="6928" max="6929" width="20" style="85" customWidth="1"/>
    <col min="6930" max="6930" width="23" style="85" customWidth="1"/>
    <col min="6931" max="7168" width="9.140625" style="85"/>
    <col min="7169" max="7169" width="2.28515625" style="85" customWidth="1"/>
    <col min="7170" max="7170" width="22.28515625" style="85" customWidth="1"/>
    <col min="7171" max="7171" width="10.5703125" style="85" customWidth="1"/>
    <col min="7172" max="7172" width="22.140625" style="85" customWidth="1"/>
    <col min="7173" max="7173" width="22.28515625" style="85" customWidth="1"/>
    <col min="7174" max="7174" width="21.5703125" style="85" customWidth="1"/>
    <col min="7175" max="7175" width="21.28515625" style="85" customWidth="1"/>
    <col min="7176" max="7176" width="15.140625" style="85" customWidth="1"/>
    <col min="7177" max="7177" width="22.5703125" style="85" customWidth="1"/>
    <col min="7178" max="7178" width="21" style="85" customWidth="1"/>
    <col min="7179" max="7179" width="20" style="85" bestFit="1" customWidth="1"/>
    <col min="7180" max="7180" width="27.5703125" style="85" customWidth="1"/>
    <col min="7181" max="7181" width="26" style="85" customWidth="1"/>
    <col min="7182" max="7182" width="27.140625" style="85" customWidth="1"/>
    <col min="7183" max="7183" width="13" style="85" customWidth="1"/>
    <col min="7184" max="7185" width="20" style="85" customWidth="1"/>
    <col min="7186" max="7186" width="23" style="85" customWidth="1"/>
    <col min="7187" max="7424" width="9.140625" style="85"/>
    <col min="7425" max="7425" width="2.28515625" style="85" customWidth="1"/>
    <col min="7426" max="7426" width="22.28515625" style="85" customWidth="1"/>
    <col min="7427" max="7427" width="10.5703125" style="85" customWidth="1"/>
    <col min="7428" max="7428" width="22.140625" style="85" customWidth="1"/>
    <col min="7429" max="7429" width="22.28515625" style="85" customWidth="1"/>
    <col min="7430" max="7430" width="21.5703125" style="85" customWidth="1"/>
    <col min="7431" max="7431" width="21.28515625" style="85" customWidth="1"/>
    <col min="7432" max="7432" width="15.140625" style="85" customWidth="1"/>
    <col min="7433" max="7433" width="22.5703125" style="85" customWidth="1"/>
    <col min="7434" max="7434" width="21" style="85" customWidth="1"/>
    <col min="7435" max="7435" width="20" style="85" bestFit="1" customWidth="1"/>
    <col min="7436" max="7436" width="27.5703125" style="85" customWidth="1"/>
    <col min="7437" max="7437" width="26" style="85" customWidth="1"/>
    <col min="7438" max="7438" width="27.140625" style="85" customWidth="1"/>
    <col min="7439" max="7439" width="13" style="85" customWidth="1"/>
    <col min="7440" max="7441" width="20" style="85" customWidth="1"/>
    <col min="7442" max="7442" width="23" style="85" customWidth="1"/>
    <col min="7443" max="7680" width="9.140625" style="85"/>
    <col min="7681" max="7681" width="2.28515625" style="85" customWidth="1"/>
    <col min="7682" max="7682" width="22.28515625" style="85" customWidth="1"/>
    <col min="7683" max="7683" width="10.5703125" style="85" customWidth="1"/>
    <col min="7684" max="7684" width="22.140625" style="85" customWidth="1"/>
    <col min="7685" max="7685" width="22.28515625" style="85" customWidth="1"/>
    <col min="7686" max="7686" width="21.5703125" style="85" customWidth="1"/>
    <col min="7687" max="7687" width="21.28515625" style="85" customWidth="1"/>
    <col min="7688" max="7688" width="15.140625" style="85" customWidth="1"/>
    <col min="7689" max="7689" width="22.5703125" style="85" customWidth="1"/>
    <col min="7690" max="7690" width="21" style="85" customWidth="1"/>
    <col min="7691" max="7691" width="20" style="85" bestFit="1" customWidth="1"/>
    <col min="7692" max="7692" width="27.5703125" style="85" customWidth="1"/>
    <col min="7693" max="7693" width="26" style="85" customWidth="1"/>
    <col min="7694" max="7694" width="27.140625" style="85" customWidth="1"/>
    <col min="7695" max="7695" width="13" style="85" customWidth="1"/>
    <col min="7696" max="7697" width="20" style="85" customWidth="1"/>
    <col min="7698" max="7698" width="23" style="85" customWidth="1"/>
    <col min="7699" max="7936" width="9.140625" style="85"/>
    <col min="7937" max="7937" width="2.28515625" style="85" customWidth="1"/>
    <col min="7938" max="7938" width="22.28515625" style="85" customWidth="1"/>
    <col min="7939" max="7939" width="10.5703125" style="85" customWidth="1"/>
    <col min="7940" max="7940" width="22.140625" style="85" customWidth="1"/>
    <col min="7941" max="7941" width="22.28515625" style="85" customWidth="1"/>
    <col min="7942" max="7942" width="21.5703125" style="85" customWidth="1"/>
    <col min="7943" max="7943" width="21.28515625" style="85" customWidth="1"/>
    <col min="7944" max="7944" width="15.140625" style="85" customWidth="1"/>
    <col min="7945" max="7945" width="22.5703125" style="85" customWidth="1"/>
    <col min="7946" max="7946" width="21" style="85" customWidth="1"/>
    <col min="7947" max="7947" width="20" style="85" bestFit="1" customWidth="1"/>
    <col min="7948" max="7948" width="27.5703125" style="85" customWidth="1"/>
    <col min="7949" max="7949" width="26" style="85" customWidth="1"/>
    <col min="7950" max="7950" width="27.140625" style="85" customWidth="1"/>
    <col min="7951" max="7951" width="13" style="85" customWidth="1"/>
    <col min="7952" max="7953" width="20" style="85" customWidth="1"/>
    <col min="7954" max="7954" width="23" style="85" customWidth="1"/>
    <col min="7955" max="8192" width="9.140625" style="85"/>
    <col min="8193" max="8193" width="2.28515625" style="85" customWidth="1"/>
    <col min="8194" max="8194" width="22.28515625" style="85" customWidth="1"/>
    <col min="8195" max="8195" width="10.5703125" style="85" customWidth="1"/>
    <col min="8196" max="8196" width="22.140625" style="85" customWidth="1"/>
    <col min="8197" max="8197" width="22.28515625" style="85" customWidth="1"/>
    <col min="8198" max="8198" width="21.5703125" style="85" customWidth="1"/>
    <col min="8199" max="8199" width="21.28515625" style="85" customWidth="1"/>
    <col min="8200" max="8200" width="15.140625" style="85" customWidth="1"/>
    <col min="8201" max="8201" width="22.5703125" style="85" customWidth="1"/>
    <col min="8202" max="8202" width="21" style="85" customWidth="1"/>
    <col min="8203" max="8203" width="20" style="85" bestFit="1" customWidth="1"/>
    <col min="8204" max="8204" width="27.5703125" style="85" customWidth="1"/>
    <col min="8205" max="8205" width="26" style="85" customWidth="1"/>
    <col min="8206" max="8206" width="27.140625" style="85" customWidth="1"/>
    <col min="8207" max="8207" width="13" style="85" customWidth="1"/>
    <col min="8208" max="8209" width="20" style="85" customWidth="1"/>
    <col min="8210" max="8210" width="23" style="85" customWidth="1"/>
    <col min="8211" max="8448" width="9.140625" style="85"/>
    <col min="8449" max="8449" width="2.28515625" style="85" customWidth="1"/>
    <col min="8450" max="8450" width="22.28515625" style="85" customWidth="1"/>
    <col min="8451" max="8451" width="10.5703125" style="85" customWidth="1"/>
    <col min="8452" max="8452" width="22.140625" style="85" customWidth="1"/>
    <col min="8453" max="8453" width="22.28515625" style="85" customWidth="1"/>
    <col min="8454" max="8454" width="21.5703125" style="85" customWidth="1"/>
    <col min="8455" max="8455" width="21.28515625" style="85" customWidth="1"/>
    <col min="8456" max="8456" width="15.140625" style="85" customWidth="1"/>
    <col min="8457" max="8457" width="22.5703125" style="85" customWidth="1"/>
    <col min="8458" max="8458" width="21" style="85" customWidth="1"/>
    <col min="8459" max="8459" width="20" style="85" bestFit="1" customWidth="1"/>
    <col min="8460" max="8460" width="27.5703125" style="85" customWidth="1"/>
    <col min="8461" max="8461" width="26" style="85" customWidth="1"/>
    <col min="8462" max="8462" width="27.140625" style="85" customWidth="1"/>
    <col min="8463" max="8463" width="13" style="85" customWidth="1"/>
    <col min="8464" max="8465" width="20" style="85" customWidth="1"/>
    <col min="8466" max="8466" width="23" style="85" customWidth="1"/>
    <col min="8467" max="8704" width="9.140625" style="85"/>
    <col min="8705" max="8705" width="2.28515625" style="85" customWidth="1"/>
    <col min="8706" max="8706" width="22.28515625" style="85" customWidth="1"/>
    <col min="8707" max="8707" width="10.5703125" style="85" customWidth="1"/>
    <col min="8708" max="8708" width="22.140625" style="85" customWidth="1"/>
    <col min="8709" max="8709" width="22.28515625" style="85" customWidth="1"/>
    <col min="8710" max="8710" width="21.5703125" style="85" customWidth="1"/>
    <col min="8711" max="8711" width="21.28515625" style="85" customWidth="1"/>
    <col min="8712" max="8712" width="15.140625" style="85" customWidth="1"/>
    <col min="8713" max="8713" width="22.5703125" style="85" customWidth="1"/>
    <col min="8714" max="8714" width="21" style="85" customWidth="1"/>
    <col min="8715" max="8715" width="20" style="85" bestFit="1" customWidth="1"/>
    <col min="8716" max="8716" width="27.5703125" style="85" customWidth="1"/>
    <col min="8717" max="8717" width="26" style="85" customWidth="1"/>
    <col min="8718" max="8718" width="27.140625" style="85" customWidth="1"/>
    <col min="8719" max="8719" width="13" style="85" customWidth="1"/>
    <col min="8720" max="8721" width="20" style="85" customWidth="1"/>
    <col min="8722" max="8722" width="23" style="85" customWidth="1"/>
    <col min="8723" max="8960" width="9.140625" style="85"/>
    <col min="8961" max="8961" width="2.28515625" style="85" customWidth="1"/>
    <col min="8962" max="8962" width="22.28515625" style="85" customWidth="1"/>
    <col min="8963" max="8963" width="10.5703125" style="85" customWidth="1"/>
    <col min="8964" max="8964" width="22.140625" style="85" customWidth="1"/>
    <col min="8965" max="8965" width="22.28515625" style="85" customWidth="1"/>
    <col min="8966" max="8966" width="21.5703125" style="85" customWidth="1"/>
    <col min="8967" max="8967" width="21.28515625" style="85" customWidth="1"/>
    <col min="8968" max="8968" width="15.140625" style="85" customWidth="1"/>
    <col min="8969" max="8969" width="22.5703125" style="85" customWidth="1"/>
    <col min="8970" max="8970" width="21" style="85" customWidth="1"/>
    <col min="8971" max="8971" width="20" style="85" bestFit="1" customWidth="1"/>
    <col min="8972" max="8972" width="27.5703125" style="85" customWidth="1"/>
    <col min="8973" max="8973" width="26" style="85" customWidth="1"/>
    <col min="8974" max="8974" width="27.140625" style="85" customWidth="1"/>
    <col min="8975" max="8975" width="13" style="85" customWidth="1"/>
    <col min="8976" max="8977" width="20" style="85" customWidth="1"/>
    <col min="8978" max="8978" width="23" style="85" customWidth="1"/>
    <col min="8979" max="9216" width="9.140625" style="85"/>
    <col min="9217" max="9217" width="2.28515625" style="85" customWidth="1"/>
    <col min="9218" max="9218" width="22.28515625" style="85" customWidth="1"/>
    <col min="9219" max="9219" width="10.5703125" style="85" customWidth="1"/>
    <col min="9220" max="9220" width="22.140625" style="85" customWidth="1"/>
    <col min="9221" max="9221" width="22.28515625" style="85" customWidth="1"/>
    <col min="9222" max="9222" width="21.5703125" style="85" customWidth="1"/>
    <col min="9223" max="9223" width="21.28515625" style="85" customWidth="1"/>
    <col min="9224" max="9224" width="15.140625" style="85" customWidth="1"/>
    <col min="9225" max="9225" width="22.5703125" style="85" customWidth="1"/>
    <col min="9226" max="9226" width="21" style="85" customWidth="1"/>
    <col min="9227" max="9227" width="20" style="85" bestFit="1" customWidth="1"/>
    <col min="9228" max="9228" width="27.5703125" style="85" customWidth="1"/>
    <col min="9229" max="9229" width="26" style="85" customWidth="1"/>
    <col min="9230" max="9230" width="27.140625" style="85" customWidth="1"/>
    <col min="9231" max="9231" width="13" style="85" customWidth="1"/>
    <col min="9232" max="9233" width="20" style="85" customWidth="1"/>
    <col min="9234" max="9234" width="23" style="85" customWidth="1"/>
    <col min="9235" max="9472" width="9.140625" style="85"/>
    <col min="9473" max="9473" width="2.28515625" style="85" customWidth="1"/>
    <col min="9474" max="9474" width="22.28515625" style="85" customWidth="1"/>
    <col min="9475" max="9475" width="10.5703125" style="85" customWidth="1"/>
    <col min="9476" max="9476" width="22.140625" style="85" customWidth="1"/>
    <col min="9477" max="9477" width="22.28515625" style="85" customWidth="1"/>
    <col min="9478" max="9478" width="21.5703125" style="85" customWidth="1"/>
    <col min="9479" max="9479" width="21.28515625" style="85" customWidth="1"/>
    <col min="9480" max="9480" width="15.140625" style="85" customWidth="1"/>
    <col min="9481" max="9481" width="22.5703125" style="85" customWidth="1"/>
    <col min="9482" max="9482" width="21" style="85" customWidth="1"/>
    <col min="9483" max="9483" width="20" style="85" bestFit="1" customWidth="1"/>
    <col min="9484" max="9484" width="27.5703125" style="85" customWidth="1"/>
    <col min="9485" max="9485" width="26" style="85" customWidth="1"/>
    <col min="9486" max="9486" width="27.140625" style="85" customWidth="1"/>
    <col min="9487" max="9487" width="13" style="85" customWidth="1"/>
    <col min="9488" max="9489" width="20" style="85" customWidth="1"/>
    <col min="9490" max="9490" width="23" style="85" customWidth="1"/>
    <col min="9491" max="9728" width="9.140625" style="85"/>
    <col min="9729" max="9729" width="2.28515625" style="85" customWidth="1"/>
    <col min="9730" max="9730" width="22.28515625" style="85" customWidth="1"/>
    <col min="9731" max="9731" width="10.5703125" style="85" customWidth="1"/>
    <col min="9732" max="9732" width="22.140625" style="85" customWidth="1"/>
    <col min="9733" max="9733" width="22.28515625" style="85" customWidth="1"/>
    <col min="9734" max="9734" width="21.5703125" style="85" customWidth="1"/>
    <col min="9735" max="9735" width="21.28515625" style="85" customWidth="1"/>
    <col min="9736" max="9736" width="15.140625" style="85" customWidth="1"/>
    <col min="9737" max="9737" width="22.5703125" style="85" customWidth="1"/>
    <col min="9738" max="9738" width="21" style="85" customWidth="1"/>
    <col min="9739" max="9739" width="20" style="85" bestFit="1" customWidth="1"/>
    <col min="9740" max="9740" width="27.5703125" style="85" customWidth="1"/>
    <col min="9741" max="9741" width="26" style="85" customWidth="1"/>
    <col min="9742" max="9742" width="27.140625" style="85" customWidth="1"/>
    <col min="9743" max="9743" width="13" style="85" customWidth="1"/>
    <col min="9744" max="9745" width="20" style="85" customWidth="1"/>
    <col min="9746" max="9746" width="23" style="85" customWidth="1"/>
    <col min="9747" max="9984" width="9.140625" style="85"/>
    <col min="9985" max="9985" width="2.28515625" style="85" customWidth="1"/>
    <col min="9986" max="9986" width="22.28515625" style="85" customWidth="1"/>
    <col min="9987" max="9987" width="10.5703125" style="85" customWidth="1"/>
    <col min="9988" max="9988" width="22.140625" style="85" customWidth="1"/>
    <col min="9989" max="9989" width="22.28515625" style="85" customWidth="1"/>
    <col min="9990" max="9990" width="21.5703125" style="85" customWidth="1"/>
    <col min="9991" max="9991" width="21.28515625" style="85" customWidth="1"/>
    <col min="9992" max="9992" width="15.140625" style="85" customWidth="1"/>
    <col min="9993" max="9993" width="22.5703125" style="85" customWidth="1"/>
    <col min="9994" max="9994" width="21" style="85" customWidth="1"/>
    <col min="9995" max="9995" width="20" style="85" bestFit="1" customWidth="1"/>
    <col min="9996" max="9996" width="27.5703125" style="85" customWidth="1"/>
    <col min="9997" max="9997" width="26" style="85" customWidth="1"/>
    <col min="9998" max="9998" width="27.140625" style="85" customWidth="1"/>
    <col min="9999" max="9999" width="13" style="85" customWidth="1"/>
    <col min="10000" max="10001" width="20" style="85" customWidth="1"/>
    <col min="10002" max="10002" width="23" style="85" customWidth="1"/>
    <col min="10003" max="10240" width="9.140625" style="85"/>
    <col min="10241" max="10241" width="2.28515625" style="85" customWidth="1"/>
    <col min="10242" max="10242" width="22.28515625" style="85" customWidth="1"/>
    <col min="10243" max="10243" width="10.5703125" style="85" customWidth="1"/>
    <col min="10244" max="10244" width="22.140625" style="85" customWidth="1"/>
    <col min="10245" max="10245" width="22.28515625" style="85" customWidth="1"/>
    <col min="10246" max="10246" width="21.5703125" style="85" customWidth="1"/>
    <col min="10247" max="10247" width="21.28515625" style="85" customWidth="1"/>
    <col min="10248" max="10248" width="15.140625" style="85" customWidth="1"/>
    <col min="10249" max="10249" width="22.5703125" style="85" customWidth="1"/>
    <col min="10250" max="10250" width="21" style="85" customWidth="1"/>
    <col min="10251" max="10251" width="20" style="85" bestFit="1" customWidth="1"/>
    <col min="10252" max="10252" width="27.5703125" style="85" customWidth="1"/>
    <col min="10253" max="10253" width="26" style="85" customWidth="1"/>
    <col min="10254" max="10254" width="27.140625" style="85" customWidth="1"/>
    <col min="10255" max="10255" width="13" style="85" customWidth="1"/>
    <col min="10256" max="10257" width="20" style="85" customWidth="1"/>
    <col min="10258" max="10258" width="23" style="85" customWidth="1"/>
    <col min="10259" max="10496" width="9.140625" style="85"/>
    <col min="10497" max="10497" width="2.28515625" style="85" customWidth="1"/>
    <col min="10498" max="10498" width="22.28515625" style="85" customWidth="1"/>
    <col min="10499" max="10499" width="10.5703125" style="85" customWidth="1"/>
    <col min="10500" max="10500" width="22.140625" style="85" customWidth="1"/>
    <col min="10501" max="10501" width="22.28515625" style="85" customWidth="1"/>
    <col min="10502" max="10502" width="21.5703125" style="85" customWidth="1"/>
    <col min="10503" max="10503" width="21.28515625" style="85" customWidth="1"/>
    <col min="10504" max="10504" width="15.140625" style="85" customWidth="1"/>
    <col min="10505" max="10505" width="22.5703125" style="85" customWidth="1"/>
    <col min="10506" max="10506" width="21" style="85" customWidth="1"/>
    <col min="10507" max="10507" width="20" style="85" bestFit="1" customWidth="1"/>
    <col min="10508" max="10508" width="27.5703125" style="85" customWidth="1"/>
    <col min="10509" max="10509" width="26" style="85" customWidth="1"/>
    <col min="10510" max="10510" width="27.140625" style="85" customWidth="1"/>
    <col min="10511" max="10511" width="13" style="85" customWidth="1"/>
    <col min="10512" max="10513" width="20" style="85" customWidth="1"/>
    <col min="10514" max="10514" width="23" style="85" customWidth="1"/>
    <col min="10515" max="10752" width="9.140625" style="85"/>
    <col min="10753" max="10753" width="2.28515625" style="85" customWidth="1"/>
    <col min="10754" max="10754" width="22.28515625" style="85" customWidth="1"/>
    <col min="10755" max="10755" width="10.5703125" style="85" customWidth="1"/>
    <col min="10756" max="10756" width="22.140625" style="85" customWidth="1"/>
    <col min="10757" max="10757" width="22.28515625" style="85" customWidth="1"/>
    <col min="10758" max="10758" width="21.5703125" style="85" customWidth="1"/>
    <col min="10759" max="10759" width="21.28515625" style="85" customWidth="1"/>
    <col min="10760" max="10760" width="15.140625" style="85" customWidth="1"/>
    <col min="10761" max="10761" width="22.5703125" style="85" customWidth="1"/>
    <col min="10762" max="10762" width="21" style="85" customWidth="1"/>
    <col min="10763" max="10763" width="20" style="85" bestFit="1" customWidth="1"/>
    <col min="10764" max="10764" width="27.5703125" style="85" customWidth="1"/>
    <col min="10765" max="10765" width="26" style="85" customWidth="1"/>
    <col min="10766" max="10766" width="27.140625" style="85" customWidth="1"/>
    <col min="10767" max="10767" width="13" style="85" customWidth="1"/>
    <col min="10768" max="10769" width="20" style="85" customWidth="1"/>
    <col min="10770" max="10770" width="23" style="85" customWidth="1"/>
    <col min="10771" max="11008" width="9.140625" style="85"/>
    <col min="11009" max="11009" width="2.28515625" style="85" customWidth="1"/>
    <col min="11010" max="11010" width="22.28515625" style="85" customWidth="1"/>
    <col min="11011" max="11011" width="10.5703125" style="85" customWidth="1"/>
    <col min="11012" max="11012" width="22.140625" style="85" customWidth="1"/>
    <col min="11013" max="11013" width="22.28515625" style="85" customWidth="1"/>
    <col min="11014" max="11014" width="21.5703125" style="85" customWidth="1"/>
    <col min="11015" max="11015" width="21.28515625" style="85" customWidth="1"/>
    <col min="11016" max="11016" width="15.140625" style="85" customWidth="1"/>
    <col min="11017" max="11017" width="22.5703125" style="85" customWidth="1"/>
    <col min="11018" max="11018" width="21" style="85" customWidth="1"/>
    <col min="11019" max="11019" width="20" style="85" bestFit="1" customWidth="1"/>
    <col min="11020" max="11020" width="27.5703125" style="85" customWidth="1"/>
    <col min="11021" max="11021" width="26" style="85" customWidth="1"/>
    <col min="11022" max="11022" width="27.140625" style="85" customWidth="1"/>
    <col min="11023" max="11023" width="13" style="85" customWidth="1"/>
    <col min="11024" max="11025" width="20" style="85" customWidth="1"/>
    <col min="11026" max="11026" width="23" style="85" customWidth="1"/>
    <col min="11027" max="11264" width="9.140625" style="85"/>
    <col min="11265" max="11265" width="2.28515625" style="85" customWidth="1"/>
    <col min="11266" max="11266" width="22.28515625" style="85" customWidth="1"/>
    <col min="11267" max="11267" width="10.5703125" style="85" customWidth="1"/>
    <col min="11268" max="11268" width="22.140625" style="85" customWidth="1"/>
    <col min="11269" max="11269" width="22.28515625" style="85" customWidth="1"/>
    <col min="11270" max="11270" width="21.5703125" style="85" customWidth="1"/>
    <col min="11271" max="11271" width="21.28515625" style="85" customWidth="1"/>
    <col min="11272" max="11272" width="15.140625" style="85" customWidth="1"/>
    <col min="11273" max="11273" width="22.5703125" style="85" customWidth="1"/>
    <col min="11274" max="11274" width="21" style="85" customWidth="1"/>
    <col min="11275" max="11275" width="20" style="85" bestFit="1" customWidth="1"/>
    <col min="11276" max="11276" width="27.5703125" style="85" customWidth="1"/>
    <col min="11277" max="11277" width="26" style="85" customWidth="1"/>
    <col min="11278" max="11278" width="27.140625" style="85" customWidth="1"/>
    <col min="11279" max="11279" width="13" style="85" customWidth="1"/>
    <col min="11280" max="11281" width="20" style="85" customWidth="1"/>
    <col min="11282" max="11282" width="23" style="85" customWidth="1"/>
    <col min="11283" max="11520" width="9.140625" style="85"/>
    <col min="11521" max="11521" width="2.28515625" style="85" customWidth="1"/>
    <col min="11522" max="11522" width="22.28515625" style="85" customWidth="1"/>
    <col min="11523" max="11523" width="10.5703125" style="85" customWidth="1"/>
    <col min="11524" max="11524" width="22.140625" style="85" customWidth="1"/>
    <col min="11525" max="11525" width="22.28515625" style="85" customWidth="1"/>
    <col min="11526" max="11526" width="21.5703125" style="85" customWidth="1"/>
    <col min="11527" max="11527" width="21.28515625" style="85" customWidth="1"/>
    <col min="11528" max="11528" width="15.140625" style="85" customWidth="1"/>
    <col min="11529" max="11529" width="22.5703125" style="85" customWidth="1"/>
    <col min="11530" max="11530" width="21" style="85" customWidth="1"/>
    <col min="11531" max="11531" width="20" style="85" bestFit="1" customWidth="1"/>
    <col min="11532" max="11532" width="27.5703125" style="85" customWidth="1"/>
    <col min="11533" max="11533" width="26" style="85" customWidth="1"/>
    <col min="11534" max="11534" width="27.140625" style="85" customWidth="1"/>
    <col min="11535" max="11535" width="13" style="85" customWidth="1"/>
    <col min="11536" max="11537" width="20" style="85" customWidth="1"/>
    <col min="11538" max="11538" width="23" style="85" customWidth="1"/>
    <col min="11539" max="11776" width="9.140625" style="85"/>
    <col min="11777" max="11777" width="2.28515625" style="85" customWidth="1"/>
    <col min="11778" max="11778" width="22.28515625" style="85" customWidth="1"/>
    <col min="11779" max="11779" width="10.5703125" style="85" customWidth="1"/>
    <col min="11780" max="11780" width="22.140625" style="85" customWidth="1"/>
    <col min="11781" max="11781" width="22.28515625" style="85" customWidth="1"/>
    <col min="11782" max="11782" width="21.5703125" style="85" customWidth="1"/>
    <col min="11783" max="11783" width="21.28515625" style="85" customWidth="1"/>
    <col min="11784" max="11784" width="15.140625" style="85" customWidth="1"/>
    <col min="11785" max="11785" width="22.5703125" style="85" customWidth="1"/>
    <col min="11786" max="11786" width="21" style="85" customWidth="1"/>
    <col min="11787" max="11787" width="20" style="85" bestFit="1" customWidth="1"/>
    <col min="11788" max="11788" width="27.5703125" style="85" customWidth="1"/>
    <col min="11789" max="11789" width="26" style="85" customWidth="1"/>
    <col min="11790" max="11790" width="27.140625" style="85" customWidth="1"/>
    <col min="11791" max="11791" width="13" style="85" customWidth="1"/>
    <col min="11792" max="11793" width="20" style="85" customWidth="1"/>
    <col min="11794" max="11794" width="23" style="85" customWidth="1"/>
    <col min="11795" max="12032" width="9.140625" style="85"/>
    <col min="12033" max="12033" width="2.28515625" style="85" customWidth="1"/>
    <col min="12034" max="12034" width="22.28515625" style="85" customWidth="1"/>
    <col min="12035" max="12035" width="10.5703125" style="85" customWidth="1"/>
    <col min="12036" max="12036" width="22.140625" style="85" customWidth="1"/>
    <col min="12037" max="12037" width="22.28515625" style="85" customWidth="1"/>
    <col min="12038" max="12038" width="21.5703125" style="85" customWidth="1"/>
    <col min="12039" max="12039" width="21.28515625" style="85" customWidth="1"/>
    <col min="12040" max="12040" width="15.140625" style="85" customWidth="1"/>
    <col min="12041" max="12041" width="22.5703125" style="85" customWidth="1"/>
    <col min="12042" max="12042" width="21" style="85" customWidth="1"/>
    <col min="12043" max="12043" width="20" style="85" bestFit="1" customWidth="1"/>
    <col min="12044" max="12044" width="27.5703125" style="85" customWidth="1"/>
    <col min="12045" max="12045" width="26" style="85" customWidth="1"/>
    <col min="12046" max="12046" width="27.140625" style="85" customWidth="1"/>
    <col min="12047" max="12047" width="13" style="85" customWidth="1"/>
    <col min="12048" max="12049" width="20" style="85" customWidth="1"/>
    <col min="12050" max="12050" width="23" style="85" customWidth="1"/>
    <col min="12051" max="12288" width="9.140625" style="85"/>
    <col min="12289" max="12289" width="2.28515625" style="85" customWidth="1"/>
    <col min="12290" max="12290" width="22.28515625" style="85" customWidth="1"/>
    <col min="12291" max="12291" width="10.5703125" style="85" customWidth="1"/>
    <col min="12292" max="12292" width="22.140625" style="85" customWidth="1"/>
    <col min="12293" max="12293" width="22.28515625" style="85" customWidth="1"/>
    <col min="12294" max="12294" width="21.5703125" style="85" customWidth="1"/>
    <col min="12295" max="12295" width="21.28515625" style="85" customWidth="1"/>
    <col min="12296" max="12296" width="15.140625" style="85" customWidth="1"/>
    <col min="12297" max="12297" width="22.5703125" style="85" customWidth="1"/>
    <col min="12298" max="12298" width="21" style="85" customWidth="1"/>
    <col min="12299" max="12299" width="20" style="85" bestFit="1" customWidth="1"/>
    <col min="12300" max="12300" width="27.5703125" style="85" customWidth="1"/>
    <col min="12301" max="12301" width="26" style="85" customWidth="1"/>
    <col min="12302" max="12302" width="27.140625" style="85" customWidth="1"/>
    <col min="12303" max="12303" width="13" style="85" customWidth="1"/>
    <col min="12304" max="12305" width="20" style="85" customWidth="1"/>
    <col min="12306" max="12306" width="23" style="85" customWidth="1"/>
    <col min="12307" max="12544" width="9.140625" style="85"/>
    <col min="12545" max="12545" width="2.28515625" style="85" customWidth="1"/>
    <col min="12546" max="12546" width="22.28515625" style="85" customWidth="1"/>
    <col min="12547" max="12547" width="10.5703125" style="85" customWidth="1"/>
    <col min="12548" max="12548" width="22.140625" style="85" customWidth="1"/>
    <col min="12549" max="12549" width="22.28515625" style="85" customWidth="1"/>
    <col min="12550" max="12550" width="21.5703125" style="85" customWidth="1"/>
    <col min="12551" max="12551" width="21.28515625" style="85" customWidth="1"/>
    <col min="12552" max="12552" width="15.140625" style="85" customWidth="1"/>
    <col min="12553" max="12553" width="22.5703125" style="85" customWidth="1"/>
    <col min="12554" max="12554" width="21" style="85" customWidth="1"/>
    <col min="12555" max="12555" width="20" style="85" bestFit="1" customWidth="1"/>
    <col min="12556" max="12556" width="27.5703125" style="85" customWidth="1"/>
    <col min="12557" max="12557" width="26" style="85" customWidth="1"/>
    <col min="12558" max="12558" width="27.140625" style="85" customWidth="1"/>
    <col min="12559" max="12559" width="13" style="85" customWidth="1"/>
    <col min="12560" max="12561" width="20" style="85" customWidth="1"/>
    <col min="12562" max="12562" width="23" style="85" customWidth="1"/>
    <col min="12563" max="12800" width="9.140625" style="85"/>
    <col min="12801" max="12801" width="2.28515625" style="85" customWidth="1"/>
    <col min="12802" max="12802" width="22.28515625" style="85" customWidth="1"/>
    <col min="12803" max="12803" width="10.5703125" style="85" customWidth="1"/>
    <col min="12804" max="12804" width="22.140625" style="85" customWidth="1"/>
    <col min="12805" max="12805" width="22.28515625" style="85" customWidth="1"/>
    <col min="12806" max="12806" width="21.5703125" style="85" customWidth="1"/>
    <col min="12807" max="12807" width="21.28515625" style="85" customWidth="1"/>
    <col min="12808" max="12808" width="15.140625" style="85" customWidth="1"/>
    <col min="12809" max="12809" width="22.5703125" style="85" customWidth="1"/>
    <col min="12810" max="12810" width="21" style="85" customWidth="1"/>
    <col min="12811" max="12811" width="20" style="85" bestFit="1" customWidth="1"/>
    <col min="12812" max="12812" width="27.5703125" style="85" customWidth="1"/>
    <col min="12813" max="12813" width="26" style="85" customWidth="1"/>
    <col min="12814" max="12814" width="27.140625" style="85" customWidth="1"/>
    <col min="12815" max="12815" width="13" style="85" customWidth="1"/>
    <col min="12816" max="12817" width="20" style="85" customWidth="1"/>
    <col min="12818" max="12818" width="23" style="85" customWidth="1"/>
    <col min="12819" max="13056" width="9.140625" style="85"/>
    <col min="13057" max="13057" width="2.28515625" style="85" customWidth="1"/>
    <col min="13058" max="13058" width="22.28515625" style="85" customWidth="1"/>
    <col min="13059" max="13059" width="10.5703125" style="85" customWidth="1"/>
    <col min="13060" max="13060" width="22.140625" style="85" customWidth="1"/>
    <col min="13061" max="13061" width="22.28515625" style="85" customWidth="1"/>
    <col min="13062" max="13062" width="21.5703125" style="85" customWidth="1"/>
    <col min="13063" max="13063" width="21.28515625" style="85" customWidth="1"/>
    <col min="13064" max="13064" width="15.140625" style="85" customWidth="1"/>
    <col min="13065" max="13065" width="22.5703125" style="85" customWidth="1"/>
    <col min="13066" max="13066" width="21" style="85" customWidth="1"/>
    <col min="13067" max="13067" width="20" style="85" bestFit="1" customWidth="1"/>
    <col min="13068" max="13068" width="27.5703125" style="85" customWidth="1"/>
    <col min="13069" max="13069" width="26" style="85" customWidth="1"/>
    <col min="13070" max="13070" width="27.140625" style="85" customWidth="1"/>
    <col min="13071" max="13071" width="13" style="85" customWidth="1"/>
    <col min="13072" max="13073" width="20" style="85" customWidth="1"/>
    <col min="13074" max="13074" width="23" style="85" customWidth="1"/>
    <col min="13075" max="13312" width="9.140625" style="85"/>
    <col min="13313" max="13313" width="2.28515625" style="85" customWidth="1"/>
    <col min="13314" max="13314" width="22.28515625" style="85" customWidth="1"/>
    <col min="13315" max="13315" width="10.5703125" style="85" customWidth="1"/>
    <col min="13316" max="13316" width="22.140625" style="85" customWidth="1"/>
    <col min="13317" max="13317" width="22.28515625" style="85" customWidth="1"/>
    <col min="13318" max="13318" width="21.5703125" style="85" customWidth="1"/>
    <col min="13319" max="13319" width="21.28515625" style="85" customWidth="1"/>
    <col min="13320" max="13320" width="15.140625" style="85" customWidth="1"/>
    <col min="13321" max="13321" width="22.5703125" style="85" customWidth="1"/>
    <col min="13322" max="13322" width="21" style="85" customWidth="1"/>
    <col min="13323" max="13323" width="20" style="85" bestFit="1" customWidth="1"/>
    <col min="13324" max="13324" width="27.5703125" style="85" customWidth="1"/>
    <col min="13325" max="13325" width="26" style="85" customWidth="1"/>
    <col min="13326" max="13326" width="27.140625" style="85" customWidth="1"/>
    <col min="13327" max="13327" width="13" style="85" customWidth="1"/>
    <col min="13328" max="13329" width="20" style="85" customWidth="1"/>
    <col min="13330" max="13330" width="23" style="85" customWidth="1"/>
    <col min="13331" max="13568" width="9.140625" style="85"/>
    <col min="13569" max="13569" width="2.28515625" style="85" customWidth="1"/>
    <col min="13570" max="13570" width="22.28515625" style="85" customWidth="1"/>
    <col min="13571" max="13571" width="10.5703125" style="85" customWidth="1"/>
    <col min="13572" max="13572" width="22.140625" style="85" customWidth="1"/>
    <col min="13573" max="13573" width="22.28515625" style="85" customWidth="1"/>
    <col min="13574" max="13574" width="21.5703125" style="85" customWidth="1"/>
    <col min="13575" max="13575" width="21.28515625" style="85" customWidth="1"/>
    <col min="13576" max="13576" width="15.140625" style="85" customWidth="1"/>
    <col min="13577" max="13577" width="22.5703125" style="85" customWidth="1"/>
    <col min="13578" max="13578" width="21" style="85" customWidth="1"/>
    <col min="13579" max="13579" width="20" style="85" bestFit="1" customWidth="1"/>
    <col min="13580" max="13580" width="27.5703125" style="85" customWidth="1"/>
    <col min="13581" max="13581" width="26" style="85" customWidth="1"/>
    <col min="13582" max="13582" width="27.140625" style="85" customWidth="1"/>
    <col min="13583" max="13583" width="13" style="85" customWidth="1"/>
    <col min="13584" max="13585" width="20" style="85" customWidth="1"/>
    <col min="13586" max="13586" width="23" style="85" customWidth="1"/>
    <col min="13587" max="13824" width="9.140625" style="85"/>
    <col min="13825" max="13825" width="2.28515625" style="85" customWidth="1"/>
    <col min="13826" max="13826" width="22.28515625" style="85" customWidth="1"/>
    <col min="13827" max="13827" width="10.5703125" style="85" customWidth="1"/>
    <col min="13828" max="13828" width="22.140625" style="85" customWidth="1"/>
    <col min="13829" max="13829" width="22.28515625" style="85" customWidth="1"/>
    <col min="13830" max="13830" width="21.5703125" style="85" customWidth="1"/>
    <col min="13831" max="13831" width="21.28515625" style="85" customWidth="1"/>
    <col min="13832" max="13832" width="15.140625" style="85" customWidth="1"/>
    <col min="13833" max="13833" width="22.5703125" style="85" customWidth="1"/>
    <col min="13834" max="13834" width="21" style="85" customWidth="1"/>
    <col min="13835" max="13835" width="20" style="85" bestFit="1" customWidth="1"/>
    <col min="13836" max="13836" width="27.5703125" style="85" customWidth="1"/>
    <col min="13837" max="13837" width="26" style="85" customWidth="1"/>
    <col min="13838" max="13838" width="27.140625" style="85" customWidth="1"/>
    <col min="13839" max="13839" width="13" style="85" customWidth="1"/>
    <col min="13840" max="13841" width="20" style="85" customWidth="1"/>
    <col min="13842" max="13842" width="23" style="85" customWidth="1"/>
    <col min="13843" max="14080" width="9.140625" style="85"/>
    <col min="14081" max="14081" width="2.28515625" style="85" customWidth="1"/>
    <col min="14082" max="14082" width="22.28515625" style="85" customWidth="1"/>
    <col min="14083" max="14083" width="10.5703125" style="85" customWidth="1"/>
    <col min="14084" max="14084" width="22.140625" style="85" customWidth="1"/>
    <col min="14085" max="14085" width="22.28515625" style="85" customWidth="1"/>
    <col min="14086" max="14086" width="21.5703125" style="85" customWidth="1"/>
    <col min="14087" max="14087" width="21.28515625" style="85" customWidth="1"/>
    <col min="14088" max="14088" width="15.140625" style="85" customWidth="1"/>
    <col min="14089" max="14089" width="22.5703125" style="85" customWidth="1"/>
    <col min="14090" max="14090" width="21" style="85" customWidth="1"/>
    <col min="14091" max="14091" width="20" style="85" bestFit="1" customWidth="1"/>
    <col min="14092" max="14092" width="27.5703125" style="85" customWidth="1"/>
    <col min="14093" max="14093" width="26" style="85" customWidth="1"/>
    <col min="14094" max="14094" width="27.140625" style="85" customWidth="1"/>
    <col min="14095" max="14095" width="13" style="85" customWidth="1"/>
    <col min="14096" max="14097" width="20" style="85" customWidth="1"/>
    <col min="14098" max="14098" width="23" style="85" customWidth="1"/>
    <col min="14099" max="14336" width="9.140625" style="85"/>
    <col min="14337" max="14337" width="2.28515625" style="85" customWidth="1"/>
    <col min="14338" max="14338" width="22.28515625" style="85" customWidth="1"/>
    <col min="14339" max="14339" width="10.5703125" style="85" customWidth="1"/>
    <col min="14340" max="14340" width="22.140625" style="85" customWidth="1"/>
    <col min="14341" max="14341" width="22.28515625" style="85" customWidth="1"/>
    <col min="14342" max="14342" width="21.5703125" style="85" customWidth="1"/>
    <col min="14343" max="14343" width="21.28515625" style="85" customWidth="1"/>
    <col min="14344" max="14344" width="15.140625" style="85" customWidth="1"/>
    <col min="14345" max="14345" width="22.5703125" style="85" customWidth="1"/>
    <col min="14346" max="14346" width="21" style="85" customWidth="1"/>
    <col min="14347" max="14347" width="20" style="85" bestFit="1" customWidth="1"/>
    <col min="14348" max="14348" width="27.5703125" style="85" customWidth="1"/>
    <col min="14349" max="14349" width="26" style="85" customWidth="1"/>
    <col min="14350" max="14350" width="27.140625" style="85" customWidth="1"/>
    <col min="14351" max="14351" width="13" style="85" customWidth="1"/>
    <col min="14352" max="14353" width="20" style="85" customWidth="1"/>
    <col min="14354" max="14354" width="23" style="85" customWidth="1"/>
    <col min="14355" max="14592" width="9.140625" style="85"/>
    <col min="14593" max="14593" width="2.28515625" style="85" customWidth="1"/>
    <col min="14594" max="14594" width="22.28515625" style="85" customWidth="1"/>
    <col min="14595" max="14595" width="10.5703125" style="85" customWidth="1"/>
    <col min="14596" max="14596" width="22.140625" style="85" customWidth="1"/>
    <col min="14597" max="14597" width="22.28515625" style="85" customWidth="1"/>
    <col min="14598" max="14598" width="21.5703125" style="85" customWidth="1"/>
    <col min="14599" max="14599" width="21.28515625" style="85" customWidth="1"/>
    <col min="14600" max="14600" width="15.140625" style="85" customWidth="1"/>
    <col min="14601" max="14601" width="22.5703125" style="85" customWidth="1"/>
    <col min="14602" max="14602" width="21" style="85" customWidth="1"/>
    <col min="14603" max="14603" width="20" style="85" bestFit="1" customWidth="1"/>
    <col min="14604" max="14604" width="27.5703125" style="85" customWidth="1"/>
    <col min="14605" max="14605" width="26" style="85" customWidth="1"/>
    <col min="14606" max="14606" width="27.140625" style="85" customWidth="1"/>
    <col min="14607" max="14607" width="13" style="85" customWidth="1"/>
    <col min="14608" max="14609" width="20" style="85" customWidth="1"/>
    <col min="14610" max="14610" width="23" style="85" customWidth="1"/>
    <col min="14611" max="14848" width="9.140625" style="85"/>
    <col min="14849" max="14849" width="2.28515625" style="85" customWidth="1"/>
    <col min="14850" max="14850" width="22.28515625" style="85" customWidth="1"/>
    <col min="14851" max="14851" width="10.5703125" style="85" customWidth="1"/>
    <col min="14852" max="14852" width="22.140625" style="85" customWidth="1"/>
    <col min="14853" max="14853" width="22.28515625" style="85" customWidth="1"/>
    <col min="14854" max="14854" width="21.5703125" style="85" customWidth="1"/>
    <col min="14855" max="14855" width="21.28515625" style="85" customWidth="1"/>
    <col min="14856" max="14856" width="15.140625" style="85" customWidth="1"/>
    <col min="14857" max="14857" width="22.5703125" style="85" customWidth="1"/>
    <col min="14858" max="14858" width="21" style="85" customWidth="1"/>
    <col min="14859" max="14859" width="20" style="85" bestFit="1" customWidth="1"/>
    <col min="14860" max="14860" width="27.5703125" style="85" customWidth="1"/>
    <col min="14861" max="14861" width="26" style="85" customWidth="1"/>
    <col min="14862" max="14862" width="27.140625" style="85" customWidth="1"/>
    <col min="14863" max="14863" width="13" style="85" customWidth="1"/>
    <col min="14864" max="14865" width="20" style="85" customWidth="1"/>
    <col min="14866" max="14866" width="23" style="85" customWidth="1"/>
    <col min="14867" max="15104" width="9.140625" style="85"/>
    <col min="15105" max="15105" width="2.28515625" style="85" customWidth="1"/>
    <col min="15106" max="15106" width="22.28515625" style="85" customWidth="1"/>
    <col min="15107" max="15107" width="10.5703125" style="85" customWidth="1"/>
    <col min="15108" max="15108" width="22.140625" style="85" customWidth="1"/>
    <col min="15109" max="15109" width="22.28515625" style="85" customWidth="1"/>
    <col min="15110" max="15110" width="21.5703125" style="85" customWidth="1"/>
    <col min="15111" max="15111" width="21.28515625" style="85" customWidth="1"/>
    <col min="15112" max="15112" width="15.140625" style="85" customWidth="1"/>
    <col min="15113" max="15113" width="22.5703125" style="85" customWidth="1"/>
    <col min="15114" max="15114" width="21" style="85" customWidth="1"/>
    <col min="15115" max="15115" width="20" style="85" bestFit="1" customWidth="1"/>
    <col min="15116" max="15116" width="27.5703125" style="85" customWidth="1"/>
    <col min="15117" max="15117" width="26" style="85" customWidth="1"/>
    <col min="15118" max="15118" width="27.140625" style="85" customWidth="1"/>
    <col min="15119" max="15119" width="13" style="85" customWidth="1"/>
    <col min="15120" max="15121" width="20" style="85" customWidth="1"/>
    <col min="15122" max="15122" width="23" style="85" customWidth="1"/>
    <col min="15123" max="15360" width="9.140625" style="85"/>
    <col min="15361" max="15361" width="2.28515625" style="85" customWidth="1"/>
    <col min="15362" max="15362" width="22.28515625" style="85" customWidth="1"/>
    <col min="15363" max="15363" width="10.5703125" style="85" customWidth="1"/>
    <col min="15364" max="15364" width="22.140625" style="85" customWidth="1"/>
    <col min="15365" max="15365" width="22.28515625" style="85" customWidth="1"/>
    <col min="15366" max="15366" width="21.5703125" style="85" customWidth="1"/>
    <col min="15367" max="15367" width="21.28515625" style="85" customWidth="1"/>
    <col min="15368" max="15368" width="15.140625" style="85" customWidth="1"/>
    <col min="15369" max="15369" width="22.5703125" style="85" customWidth="1"/>
    <col min="15370" max="15370" width="21" style="85" customWidth="1"/>
    <col min="15371" max="15371" width="20" style="85" bestFit="1" customWidth="1"/>
    <col min="15372" max="15372" width="27.5703125" style="85" customWidth="1"/>
    <col min="15373" max="15373" width="26" style="85" customWidth="1"/>
    <col min="15374" max="15374" width="27.140625" style="85" customWidth="1"/>
    <col min="15375" max="15375" width="13" style="85" customWidth="1"/>
    <col min="15376" max="15377" width="20" style="85" customWidth="1"/>
    <col min="15378" max="15378" width="23" style="85" customWidth="1"/>
    <col min="15379" max="15616" width="9.140625" style="85"/>
    <col min="15617" max="15617" width="2.28515625" style="85" customWidth="1"/>
    <col min="15618" max="15618" width="22.28515625" style="85" customWidth="1"/>
    <col min="15619" max="15619" width="10.5703125" style="85" customWidth="1"/>
    <col min="15620" max="15620" width="22.140625" style="85" customWidth="1"/>
    <col min="15621" max="15621" width="22.28515625" style="85" customWidth="1"/>
    <col min="15622" max="15622" width="21.5703125" style="85" customWidth="1"/>
    <col min="15623" max="15623" width="21.28515625" style="85" customWidth="1"/>
    <col min="15624" max="15624" width="15.140625" style="85" customWidth="1"/>
    <col min="15625" max="15625" width="22.5703125" style="85" customWidth="1"/>
    <col min="15626" max="15626" width="21" style="85" customWidth="1"/>
    <col min="15627" max="15627" width="20" style="85" bestFit="1" customWidth="1"/>
    <col min="15628" max="15628" width="27.5703125" style="85" customWidth="1"/>
    <col min="15629" max="15629" width="26" style="85" customWidth="1"/>
    <col min="15630" max="15630" width="27.140625" style="85" customWidth="1"/>
    <col min="15631" max="15631" width="13" style="85" customWidth="1"/>
    <col min="15632" max="15633" width="20" style="85" customWidth="1"/>
    <col min="15634" max="15634" width="23" style="85" customWidth="1"/>
    <col min="15635" max="15872" width="9.140625" style="85"/>
    <col min="15873" max="15873" width="2.28515625" style="85" customWidth="1"/>
    <col min="15874" max="15874" width="22.28515625" style="85" customWidth="1"/>
    <col min="15875" max="15875" width="10.5703125" style="85" customWidth="1"/>
    <col min="15876" max="15876" width="22.140625" style="85" customWidth="1"/>
    <col min="15877" max="15877" width="22.28515625" style="85" customWidth="1"/>
    <col min="15878" max="15878" width="21.5703125" style="85" customWidth="1"/>
    <col min="15879" max="15879" width="21.28515625" style="85" customWidth="1"/>
    <col min="15880" max="15880" width="15.140625" style="85" customWidth="1"/>
    <col min="15881" max="15881" width="22.5703125" style="85" customWidth="1"/>
    <col min="15882" max="15882" width="21" style="85" customWidth="1"/>
    <col min="15883" max="15883" width="20" style="85" bestFit="1" customWidth="1"/>
    <col min="15884" max="15884" width="27.5703125" style="85" customWidth="1"/>
    <col min="15885" max="15885" width="26" style="85" customWidth="1"/>
    <col min="15886" max="15886" width="27.140625" style="85" customWidth="1"/>
    <col min="15887" max="15887" width="13" style="85" customWidth="1"/>
    <col min="15888" max="15889" width="20" style="85" customWidth="1"/>
    <col min="15890" max="15890" width="23" style="85" customWidth="1"/>
    <col min="15891" max="16128" width="9.140625" style="85"/>
    <col min="16129" max="16129" width="2.28515625" style="85" customWidth="1"/>
    <col min="16130" max="16130" width="22.28515625" style="85" customWidth="1"/>
    <col min="16131" max="16131" width="10.5703125" style="85" customWidth="1"/>
    <col min="16132" max="16132" width="22.140625" style="85" customWidth="1"/>
    <col min="16133" max="16133" width="22.28515625" style="85" customWidth="1"/>
    <col min="16134" max="16134" width="21.5703125" style="85" customWidth="1"/>
    <col min="16135" max="16135" width="21.28515625" style="85" customWidth="1"/>
    <col min="16136" max="16136" width="15.140625" style="85" customWidth="1"/>
    <col min="16137" max="16137" width="22.5703125" style="85" customWidth="1"/>
    <col min="16138" max="16138" width="21" style="85" customWidth="1"/>
    <col min="16139" max="16139" width="20" style="85" bestFit="1" customWidth="1"/>
    <col min="16140" max="16140" width="27.5703125" style="85" customWidth="1"/>
    <col min="16141" max="16141" width="26" style="85" customWidth="1"/>
    <col min="16142" max="16142" width="27.140625" style="85" customWidth="1"/>
    <col min="16143" max="16143" width="13" style="85" customWidth="1"/>
    <col min="16144" max="16145" width="20" style="85" customWidth="1"/>
    <col min="16146" max="16146" width="23" style="85" customWidth="1"/>
    <col min="16147" max="16384" width="9.140625" style="85"/>
  </cols>
  <sheetData>
    <row r="1" spans="2:15" ht="21" customHeight="1" x14ac:dyDescent="0.25">
      <c r="B1" s="178" t="s">
        <v>178</v>
      </c>
      <c r="C1" s="178"/>
      <c r="D1" s="178"/>
      <c r="E1" s="178"/>
      <c r="F1" s="178"/>
      <c r="G1" s="178"/>
      <c r="H1" s="178"/>
      <c r="I1" s="178"/>
      <c r="J1" s="178"/>
      <c r="K1" s="178"/>
      <c r="L1" s="178"/>
      <c r="M1" s="178"/>
      <c r="N1" s="178"/>
      <c r="O1" s="178"/>
    </row>
    <row r="2" spans="2:15" ht="24.75" customHeight="1" x14ac:dyDescent="0.25">
      <c r="B2" s="178" t="s">
        <v>179</v>
      </c>
      <c r="C2" s="178"/>
      <c r="D2" s="178"/>
      <c r="E2" s="178"/>
      <c r="F2" s="178"/>
      <c r="G2" s="178"/>
      <c r="H2" s="86"/>
      <c r="I2" s="178" t="s">
        <v>180</v>
      </c>
      <c r="J2" s="178"/>
      <c r="K2" s="86"/>
      <c r="L2" s="178" t="s">
        <v>181</v>
      </c>
      <c r="M2" s="178"/>
      <c r="N2" s="178"/>
      <c r="O2" s="178"/>
    </row>
    <row r="3" spans="2:15" ht="18" customHeight="1" x14ac:dyDescent="0.25">
      <c r="B3" s="179" t="s">
        <v>17</v>
      </c>
      <c r="C3" s="179"/>
      <c r="D3" s="179" t="s">
        <v>182</v>
      </c>
      <c r="E3" s="179"/>
      <c r="F3" s="179" t="s">
        <v>183</v>
      </c>
      <c r="G3" s="179"/>
      <c r="H3" s="86"/>
      <c r="I3" s="178"/>
      <c r="J3" s="178"/>
      <c r="K3" s="86"/>
      <c r="L3" s="178"/>
      <c r="M3" s="178"/>
      <c r="N3" s="178"/>
      <c r="O3" s="178"/>
    </row>
    <row r="4" spans="2:15" ht="71.25" x14ac:dyDescent="0.25">
      <c r="B4" s="179"/>
      <c r="C4" s="179"/>
      <c r="D4" s="87" t="s">
        <v>184</v>
      </c>
      <c r="E4" s="87" t="s">
        <v>185</v>
      </c>
      <c r="F4" s="87" t="s">
        <v>184</v>
      </c>
      <c r="G4" s="87" t="s">
        <v>185</v>
      </c>
      <c r="H4" s="86"/>
      <c r="I4" s="87" t="s">
        <v>17</v>
      </c>
      <c r="J4" s="26" t="s">
        <v>186</v>
      </c>
      <c r="K4" s="86"/>
      <c r="L4" s="26" t="s">
        <v>187</v>
      </c>
      <c r="M4" s="26" t="s">
        <v>188</v>
      </c>
      <c r="N4" s="26" t="s">
        <v>96</v>
      </c>
      <c r="O4" s="26" t="s">
        <v>189</v>
      </c>
    </row>
    <row r="5" spans="2:15" ht="42.75" x14ac:dyDescent="0.25">
      <c r="B5" s="180" t="s">
        <v>12</v>
      </c>
      <c r="C5" s="180"/>
      <c r="D5" s="89">
        <v>2.2222222222222223E-2</v>
      </c>
      <c r="E5" s="89">
        <v>0.14583333333333334</v>
      </c>
      <c r="F5" s="90">
        <f t="shared" ref="F5:G17" si="0">(D5-INT($D$20))*24*$D$19</f>
        <v>0.66666666666666663</v>
      </c>
      <c r="G5" s="90">
        <f t="shared" si="0"/>
        <v>4.375</v>
      </c>
      <c r="H5" s="86"/>
      <c r="I5" s="88" t="s">
        <v>12</v>
      </c>
      <c r="J5" s="91">
        <v>20</v>
      </c>
      <c r="K5" s="86"/>
      <c r="L5" s="29" t="s">
        <v>190</v>
      </c>
      <c r="M5" s="92">
        <v>4.9000000000000004</v>
      </c>
      <c r="N5" s="93">
        <f>SUM('BE - Ramella'!S24,'BE - Ramella'!S30)</f>
        <v>932.7739726027396</v>
      </c>
      <c r="O5" s="68">
        <f>(M5/1000)*N5</f>
        <v>4.5705924657534247</v>
      </c>
    </row>
    <row r="6" spans="2:15" x14ac:dyDescent="0.25">
      <c r="B6" s="180" t="s">
        <v>191</v>
      </c>
      <c r="C6" s="180"/>
      <c r="D6" s="89">
        <v>3.125E-2</v>
      </c>
      <c r="E6" s="89">
        <v>0.13541666666666666</v>
      </c>
      <c r="F6" s="90">
        <f t="shared" si="0"/>
        <v>0.9375</v>
      </c>
      <c r="G6" s="90">
        <f t="shared" si="0"/>
        <v>4.0625</v>
      </c>
      <c r="H6" s="86"/>
      <c r="I6" s="88" t="s">
        <v>191</v>
      </c>
      <c r="J6" s="91">
        <v>20</v>
      </c>
      <c r="K6" s="86"/>
      <c r="L6" s="29" t="s">
        <v>27</v>
      </c>
      <c r="M6" s="92">
        <v>11</v>
      </c>
      <c r="N6" s="93">
        <f>'BE - Ramella'!S25</f>
        <v>0</v>
      </c>
      <c r="O6" s="68">
        <f>(M6/1000)*N6</f>
        <v>0</v>
      </c>
    </row>
    <row r="7" spans="2:15" x14ac:dyDescent="0.25">
      <c r="B7" s="180" t="s">
        <v>192</v>
      </c>
      <c r="C7" s="180"/>
      <c r="D7" s="89">
        <v>3.1944444444444449E-2</v>
      </c>
      <c r="E7" s="89">
        <v>0.21180555555555555</v>
      </c>
      <c r="F7" s="90">
        <f t="shared" si="0"/>
        <v>0.95833333333333348</v>
      </c>
      <c r="G7" s="90">
        <f t="shared" si="0"/>
        <v>6.3541666666666661</v>
      </c>
      <c r="H7" s="86"/>
      <c r="I7" s="88" t="s">
        <v>192</v>
      </c>
      <c r="J7" s="91">
        <v>20</v>
      </c>
      <c r="K7" s="86"/>
      <c r="L7" s="29" t="s">
        <v>56</v>
      </c>
      <c r="M7" s="92">
        <v>18</v>
      </c>
      <c r="N7" s="93">
        <f>'BE - Ramella'!S26</f>
        <v>5.0863013698630137</v>
      </c>
      <c r="O7" s="68">
        <f>(M7/1000)*N7</f>
        <v>9.1553424657534244E-2</v>
      </c>
    </row>
    <row r="8" spans="2:15" x14ac:dyDescent="0.25">
      <c r="B8" s="180" t="s">
        <v>259</v>
      </c>
      <c r="C8" s="180"/>
      <c r="D8" s="89">
        <v>4.8611111111111112E-2</v>
      </c>
      <c r="E8" s="89">
        <v>0.21944444444444444</v>
      </c>
      <c r="F8" s="90">
        <f t="shared" si="0"/>
        <v>1.4583333333333335</v>
      </c>
      <c r="G8" s="90">
        <f t="shared" si="0"/>
        <v>6.583333333333333</v>
      </c>
      <c r="H8" s="86"/>
      <c r="I8" s="88" t="s">
        <v>193</v>
      </c>
      <c r="J8" s="91">
        <f>30*(60/40)</f>
        <v>45</v>
      </c>
      <c r="K8" s="86"/>
      <c r="L8" s="29" t="s">
        <v>93</v>
      </c>
      <c r="M8" s="92">
        <v>6</v>
      </c>
      <c r="N8" s="93">
        <f>'BE - Ramella'!S27</f>
        <v>0</v>
      </c>
      <c r="O8" s="68">
        <f>(M8/1000)*N8</f>
        <v>0</v>
      </c>
    </row>
    <row r="9" spans="2:15" ht="28.5" x14ac:dyDescent="0.25">
      <c r="B9" s="180" t="s">
        <v>194</v>
      </c>
      <c r="C9" s="180"/>
      <c r="D9" s="89">
        <v>1.7361111111111112E-2</v>
      </c>
      <c r="E9" s="89">
        <v>9.0277777777777776E-2</v>
      </c>
      <c r="F9" s="90">
        <f t="shared" si="0"/>
        <v>0.52083333333333337</v>
      </c>
      <c r="G9" s="90">
        <f t="shared" si="0"/>
        <v>2.708333333333333</v>
      </c>
      <c r="H9" s="86"/>
      <c r="I9" s="88" t="s">
        <v>194</v>
      </c>
      <c r="J9" s="91">
        <v>15</v>
      </c>
      <c r="K9" s="86"/>
      <c r="L9" s="29" t="s">
        <v>195</v>
      </c>
      <c r="M9" s="92">
        <v>0.95</v>
      </c>
      <c r="N9" s="93">
        <f>'BE - Ramella'!S28+'BE - Ramella'!S29</f>
        <v>0</v>
      </c>
      <c r="O9" s="68">
        <f>(M9/1000)*N9</f>
        <v>0</v>
      </c>
    </row>
    <row r="10" spans="2:15" x14ac:dyDescent="0.25">
      <c r="B10" s="180" t="s">
        <v>196</v>
      </c>
      <c r="C10" s="180"/>
      <c r="D10" s="89">
        <v>3.1944444444444449E-2</v>
      </c>
      <c r="E10" s="89">
        <v>0.13194444444444445</v>
      </c>
      <c r="F10" s="90">
        <f t="shared" si="0"/>
        <v>0.95833333333333348</v>
      </c>
      <c r="G10" s="90">
        <f t="shared" si="0"/>
        <v>3.9583333333333339</v>
      </c>
      <c r="H10" s="86"/>
      <c r="I10" s="88" t="s">
        <v>196</v>
      </c>
      <c r="J10" s="91">
        <v>15</v>
      </c>
      <c r="K10" s="86"/>
      <c r="L10" s="170" t="s">
        <v>197</v>
      </c>
      <c r="M10" s="170"/>
      <c r="N10" s="170"/>
      <c r="O10" s="94">
        <f>SUM(O5:O9)</f>
        <v>4.6621458904109589</v>
      </c>
    </row>
    <row r="11" spans="2:15" x14ac:dyDescent="0.25">
      <c r="B11" s="180" t="s">
        <v>14</v>
      </c>
      <c r="C11" s="180"/>
      <c r="D11" s="89">
        <v>2.4305555555555556E-2</v>
      </c>
      <c r="E11" s="89">
        <v>0.10972222222222222</v>
      </c>
      <c r="F11" s="90">
        <f t="shared" si="0"/>
        <v>0.72916666666666674</v>
      </c>
      <c r="G11" s="90">
        <f t="shared" si="0"/>
        <v>3.2916666666666665</v>
      </c>
      <c r="H11" s="86"/>
      <c r="I11" s="88" t="s">
        <v>14</v>
      </c>
      <c r="J11" s="91">
        <v>12</v>
      </c>
      <c r="K11" s="86"/>
      <c r="L11" s="53"/>
      <c r="M11" s="53"/>
      <c r="N11" s="86"/>
      <c r="O11" s="86"/>
    </row>
    <row r="12" spans="2:15" x14ac:dyDescent="0.25">
      <c r="B12" s="180" t="s">
        <v>198</v>
      </c>
      <c r="C12" s="180"/>
      <c r="D12" s="89">
        <v>4.1666666666666664E-2</v>
      </c>
      <c r="E12" s="89">
        <v>0.18055555555555555</v>
      </c>
      <c r="F12" s="90">
        <f t="shared" si="0"/>
        <v>1.25</v>
      </c>
      <c r="G12" s="90">
        <f t="shared" si="0"/>
        <v>5.4166666666666661</v>
      </c>
      <c r="H12" s="86"/>
      <c r="I12" s="88" t="s">
        <v>198</v>
      </c>
      <c r="J12" s="91">
        <v>35</v>
      </c>
      <c r="K12" s="86"/>
      <c r="L12" s="53"/>
      <c r="M12" s="53"/>
      <c r="N12" s="86"/>
      <c r="O12" s="86"/>
    </row>
    <row r="13" spans="2:15" x14ac:dyDescent="0.25">
      <c r="B13" s="180" t="s">
        <v>199</v>
      </c>
      <c r="C13" s="180"/>
      <c r="D13" s="89">
        <v>2.4305555555555556E-2</v>
      </c>
      <c r="E13" s="89">
        <v>0.16458333333333333</v>
      </c>
      <c r="F13" s="90">
        <f t="shared" si="0"/>
        <v>0.72916666666666674</v>
      </c>
      <c r="G13" s="90">
        <f t="shared" si="0"/>
        <v>4.9375</v>
      </c>
      <c r="H13" s="86"/>
      <c r="I13" s="88" t="s">
        <v>199</v>
      </c>
      <c r="J13" s="91">
        <v>20</v>
      </c>
      <c r="K13" s="86"/>
      <c r="L13" s="53"/>
      <c r="M13" s="53"/>
      <c r="N13" s="86"/>
      <c r="O13" s="86"/>
    </row>
    <row r="14" spans="2:15" x14ac:dyDescent="0.25">
      <c r="B14" s="180" t="s">
        <v>18</v>
      </c>
      <c r="C14" s="180"/>
      <c r="D14" s="89">
        <v>2.4305555555555556E-2</v>
      </c>
      <c r="E14" s="89">
        <v>0.1111111111111111</v>
      </c>
      <c r="F14" s="90">
        <f t="shared" si="0"/>
        <v>0.72916666666666674</v>
      </c>
      <c r="G14" s="90">
        <f t="shared" si="0"/>
        <v>3.333333333333333</v>
      </c>
      <c r="H14" s="86"/>
      <c r="I14" s="88" t="s">
        <v>18</v>
      </c>
      <c r="J14" s="91">
        <v>12</v>
      </c>
      <c r="K14" s="86"/>
      <c r="L14" s="53"/>
      <c r="M14" s="53"/>
      <c r="N14" s="86"/>
      <c r="O14" s="86"/>
    </row>
    <row r="15" spans="2:15" x14ac:dyDescent="0.25">
      <c r="B15" s="180" t="s">
        <v>200</v>
      </c>
      <c r="C15" s="180"/>
      <c r="D15" s="89">
        <v>1.7361111111111112E-2</v>
      </c>
      <c r="E15" s="89">
        <v>9.0277777777777776E-2</v>
      </c>
      <c r="F15" s="90">
        <f t="shared" si="0"/>
        <v>0.52083333333333337</v>
      </c>
      <c r="G15" s="90">
        <f t="shared" si="0"/>
        <v>2.708333333333333</v>
      </c>
      <c r="H15" s="86"/>
      <c r="I15" s="88" t="s">
        <v>200</v>
      </c>
      <c r="J15" s="91">
        <v>12</v>
      </c>
      <c r="K15" s="86"/>
      <c r="L15" s="53"/>
      <c r="M15" s="53"/>
      <c r="N15" s="86"/>
      <c r="O15" s="86"/>
    </row>
    <row r="16" spans="2:15" x14ac:dyDescent="0.25">
      <c r="B16" s="180" t="s">
        <v>201</v>
      </c>
      <c r="C16" s="180"/>
      <c r="D16" s="89">
        <v>2.2222222222222223E-2</v>
      </c>
      <c r="E16" s="89">
        <v>9.375E-2</v>
      </c>
      <c r="F16" s="90">
        <f t="shared" si="0"/>
        <v>0.66666666666666663</v>
      </c>
      <c r="G16" s="90">
        <f t="shared" si="0"/>
        <v>2.8125</v>
      </c>
      <c r="H16" s="86"/>
      <c r="I16" s="88" t="s">
        <v>201</v>
      </c>
      <c r="J16" s="91">
        <v>20</v>
      </c>
      <c r="K16" s="86"/>
      <c r="L16" s="53"/>
      <c r="M16" s="53"/>
      <c r="N16" s="86"/>
      <c r="O16" s="86"/>
    </row>
    <row r="17" spans="2:16" x14ac:dyDescent="0.25">
      <c r="B17" s="180" t="s">
        <v>19</v>
      </c>
      <c r="C17" s="180"/>
      <c r="D17" s="89">
        <v>3.1944444444444449E-2</v>
      </c>
      <c r="E17" s="89">
        <v>0.13194444444444445</v>
      </c>
      <c r="F17" s="90">
        <f t="shared" si="0"/>
        <v>0.95833333333333348</v>
      </c>
      <c r="G17" s="90">
        <f t="shared" si="0"/>
        <v>3.9583333333333339</v>
      </c>
      <c r="H17" s="86"/>
      <c r="I17" s="88" t="s">
        <v>19</v>
      </c>
      <c r="J17" s="91">
        <v>13</v>
      </c>
      <c r="K17" s="86"/>
      <c r="L17" s="53"/>
      <c r="M17" s="53"/>
      <c r="N17" s="86"/>
      <c r="O17" s="86"/>
    </row>
    <row r="19" spans="2:16" x14ac:dyDescent="0.25">
      <c r="B19" s="179" t="s">
        <v>202</v>
      </c>
      <c r="C19" s="179"/>
      <c r="D19" s="95">
        <v>1.25</v>
      </c>
      <c r="E19" s="96"/>
    </row>
    <row r="20" spans="2:16" x14ac:dyDescent="0.25">
      <c r="B20" s="179" t="s">
        <v>203</v>
      </c>
      <c r="C20" s="179"/>
      <c r="D20" s="89">
        <v>0</v>
      </c>
    </row>
    <row r="21" spans="2:16" x14ac:dyDescent="0.25">
      <c r="B21" s="179" t="s">
        <v>204</v>
      </c>
      <c r="C21" s="179"/>
      <c r="D21" s="93">
        <v>1016</v>
      </c>
    </row>
    <row r="22" spans="2:16" ht="15" thickBot="1" x14ac:dyDescent="0.3">
      <c r="B22" s="97"/>
      <c r="C22" s="97"/>
      <c r="D22" s="97"/>
      <c r="E22" s="97"/>
      <c r="F22" s="97"/>
      <c r="G22" s="97"/>
      <c r="H22" s="97"/>
      <c r="I22" s="97"/>
      <c r="J22" s="97"/>
      <c r="K22" s="97"/>
      <c r="L22" s="97"/>
      <c r="M22" s="97"/>
      <c r="N22" s="97"/>
      <c r="O22" s="97"/>
      <c r="P22" s="97"/>
    </row>
    <row r="23" spans="2:16" ht="15" thickTop="1" x14ac:dyDescent="0.25"/>
    <row r="24" spans="2:16" ht="21.75" customHeight="1" x14ac:dyDescent="0.25">
      <c r="B24" s="178" t="s">
        <v>205</v>
      </c>
      <c r="C24" s="178"/>
      <c r="D24" s="178"/>
      <c r="E24" s="178"/>
      <c r="F24" s="178"/>
      <c r="G24" s="178"/>
      <c r="H24" s="178"/>
      <c r="I24" s="178"/>
      <c r="J24" s="178"/>
      <c r="K24" s="178"/>
      <c r="L24" s="178"/>
      <c r="M24" s="178"/>
      <c r="N24" s="178"/>
      <c r="O24" s="178"/>
      <c r="P24" s="178"/>
    </row>
    <row r="25" spans="2:16" ht="18.75" customHeight="1" x14ac:dyDescent="0.25">
      <c r="B25" s="181" t="s">
        <v>17</v>
      </c>
      <c r="C25" s="181" t="s">
        <v>15</v>
      </c>
      <c r="D25" s="181" t="s">
        <v>206</v>
      </c>
      <c r="E25" s="181" t="s">
        <v>207</v>
      </c>
      <c r="F25" s="181"/>
      <c r="G25" s="181" t="s">
        <v>208</v>
      </c>
      <c r="H25" s="181"/>
      <c r="I25" s="181" t="s">
        <v>184</v>
      </c>
      <c r="J25" s="181" t="s">
        <v>185</v>
      </c>
      <c r="K25" s="181" t="s">
        <v>209</v>
      </c>
      <c r="L25" s="181" t="s">
        <v>210</v>
      </c>
      <c r="M25" s="178" t="s">
        <v>211</v>
      </c>
      <c r="N25" s="178"/>
      <c r="O25" s="178"/>
      <c r="P25" s="178"/>
    </row>
    <row r="26" spans="2:16" ht="42.75" x14ac:dyDescent="0.25">
      <c r="B26" s="181"/>
      <c r="C26" s="181"/>
      <c r="D26" s="181"/>
      <c r="E26" s="98" t="s">
        <v>212</v>
      </c>
      <c r="F26" s="98" t="s">
        <v>213</v>
      </c>
      <c r="G26" s="98" t="s">
        <v>212</v>
      </c>
      <c r="H26" s="98" t="s">
        <v>213</v>
      </c>
      <c r="I26" s="181"/>
      <c r="J26" s="181"/>
      <c r="K26" s="181"/>
      <c r="L26" s="181"/>
      <c r="M26" s="99" t="s">
        <v>214</v>
      </c>
      <c r="N26" s="99" t="s">
        <v>215</v>
      </c>
      <c r="O26" s="99" t="s">
        <v>216</v>
      </c>
      <c r="P26" s="99" t="s">
        <v>217</v>
      </c>
    </row>
    <row r="27" spans="2:16" x14ac:dyDescent="0.25">
      <c r="B27" s="88" t="s">
        <v>18</v>
      </c>
      <c r="C27" s="100">
        <f t="shared" ref="C27:C90" si="1">YEAR(D27)</f>
        <v>2019</v>
      </c>
      <c r="D27" s="101">
        <v>43586</v>
      </c>
      <c r="E27" s="102"/>
      <c r="F27" s="103"/>
      <c r="G27" s="103"/>
      <c r="H27" s="103"/>
      <c r="I27" s="90">
        <f t="shared" ref="I27:I90" si="2">((F27-E27)-INT($D$20))*24</f>
        <v>0</v>
      </c>
      <c r="J27" s="90">
        <f t="shared" ref="J27:J90" si="3">((H27-G27)-INT($D$20))*24</f>
        <v>0</v>
      </c>
      <c r="K27" s="91">
        <f t="shared" ref="K27:K90" si="4">VLOOKUP(B27,$B$5:$J$17,5,FALSE)</f>
        <v>0.72916666666666674</v>
      </c>
      <c r="L27" s="91">
        <f t="shared" ref="L27:L90" si="5">VLOOKUP(B27,$B$5:$J$17,6,FALSE)</f>
        <v>3.333333333333333</v>
      </c>
      <c r="M27" s="29">
        <f>VLOOKUP(B27,$I$5:$J$17,2,FALSE)</f>
        <v>12</v>
      </c>
      <c r="N27" s="92">
        <f t="shared" ref="N27:N90" si="6">I27</f>
        <v>0</v>
      </c>
      <c r="O27" s="104">
        <f t="shared" ref="O27:O90" si="7">$D$21/1000</f>
        <v>1.016</v>
      </c>
      <c r="P27" s="105">
        <f t="shared" ref="P27:P90" si="8">M27*N27*O27*0.7</f>
        <v>0</v>
      </c>
    </row>
    <row r="28" spans="2:16" x14ac:dyDescent="0.25">
      <c r="B28" s="88" t="s">
        <v>18</v>
      </c>
      <c r="C28" s="100">
        <f t="shared" si="1"/>
        <v>2019</v>
      </c>
      <c r="D28" s="101">
        <v>43587</v>
      </c>
      <c r="E28" s="102"/>
      <c r="F28" s="103"/>
      <c r="G28" s="103"/>
      <c r="H28" s="103"/>
      <c r="I28" s="90">
        <f t="shared" si="2"/>
        <v>0</v>
      </c>
      <c r="J28" s="90">
        <f t="shared" si="3"/>
        <v>0</v>
      </c>
      <c r="K28" s="91">
        <f t="shared" si="4"/>
        <v>0.72916666666666674</v>
      </c>
      <c r="L28" s="91">
        <f t="shared" si="5"/>
        <v>3.333333333333333</v>
      </c>
      <c r="M28" s="29">
        <f t="shared" ref="M28:M91" si="9">VLOOKUP(B28,$I$5:$J$17,2,FALSE)</f>
        <v>12</v>
      </c>
      <c r="N28" s="92">
        <f t="shared" si="6"/>
        <v>0</v>
      </c>
      <c r="O28" s="104">
        <f t="shared" si="7"/>
        <v>1.016</v>
      </c>
      <c r="P28" s="105">
        <f t="shared" si="8"/>
        <v>0</v>
      </c>
    </row>
    <row r="29" spans="2:16" x14ac:dyDescent="0.25">
      <c r="B29" s="88" t="s">
        <v>18</v>
      </c>
      <c r="C29" s="100">
        <f t="shared" si="1"/>
        <v>2019</v>
      </c>
      <c r="D29" s="101">
        <v>43588</v>
      </c>
      <c r="E29" s="102">
        <v>0.4375</v>
      </c>
      <c r="F29" s="103">
        <v>0.45833333333333331</v>
      </c>
      <c r="G29" s="103">
        <v>0.4375</v>
      </c>
      <c r="H29" s="103">
        <v>0.45833333333333331</v>
      </c>
      <c r="I29" s="90">
        <f t="shared" si="2"/>
        <v>0.49999999999999956</v>
      </c>
      <c r="J29" s="90">
        <f t="shared" si="3"/>
        <v>0.49999999999999956</v>
      </c>
      <c r="K29" s="91">
        <f t="shared" si="4"/>
        <v>0.72916666666666674</v>
      </c>
      <c r="L29" s="91">
        <f t="shared" si="5"/>
        <v>3.333333333333333</v>
      </c>
      <c r="M29" s="29">
        <f t="shared" si="9"/>
        <v>12</v>
      </c>
      <c r="N29" s="92">
        <f t="shared" si="6"/>
        <v>0.49999999999999956</v>
      </c>
      <c r="O29" s="104">
        <f t="shared" si="7"/>
        <v>1.016</v>
      </c>
      <c r="P29" s="105">
        <f t="shared" si="8"/>
        <v>4.2671999999999963</v>
      </c>
    </row>
    <row r="30" spans="2:16" x14ac:dyDescent="0.25">
      <c r="B30" s="88" t="s">
        <v>18</v>
      </c>
      <c r="C30" s="100">
        <f t="shared" si="1"/>
        <v>2019</v>
      </c>
      <c r="D30" s="101">
        <v>43589</v>
      </c>
      <c r="E30" s="102"/>
      <c r="F30" s="103"/>
      <c r="G30" s="103"/>
      <c r="H30" s="103"/>
      <c r="I30" s="90">
        <f t="shared" si="2"/>
        <v>0</v>
      </c>
      <c r="J30" s="90">
        <f t="shared" si="3"/>
        <v>0</v>
      </c>
      <c r="K30" s="91">
        <f t="shared" si="4"/>
        <v>0.72916666666666674</v>
      </c>
      <c r="L30" s="91">
        <f t="shared" si="5"/>
        <v>3.333333333333333</v>
      </c>
      <c r="M30" s="29">
        <f t="shared" si="9"/>
        <v>12</v>
      </c>
      <c r="N30" s="92">
        <f t="shared" si="6"/>
        <v>0</v>
      </c>
      <c r="O30" s="104">
        <f t="shared" si="7"/>
        <v>1.016</v>
      </c>
      <c r="P30" s="105">
        <f t="shared" si="8"/>
        <v>0</v>
      </c>
    </row>
    <row r="31" spans="2:16" x14ac:dyDescent="0.25">
      <c r="B31" s="88" t="s">
        <v>18</v>
      </c>
      <c r="C31" s="100">
        <f t="shared" si="1"/>
        <v>2019</v>
      </c>
      <c r="D31" s="101">
        <v>43590</v>
      </c>
      <c r="E31" s="102"/>
      <c r="F31" s="103"/>
      <c r="G31" s="103"/>
      <c r="H31" s="103"/>
      <c r="I31" s="90">
        <f t="shared" si="2"/>
        <v>0</v>
      </c>
      <c r="J31" s="90">
        <f t="shared" si="3"/>
        <v>0</v>
      </c>
      <c r="K31" s="91">
        <f t="shared" si="4"/>
        <v>0.72916666666666674</v>
      </c>
      <c r="L31" s="91">
        <f t="shared" si="5"/>
        <v>3.333333333333333</v>
      </c>
      <c r="M31" s="29">
        <f t="shared" si="9"/>
        <v>12</v>
      </c>
      <c r="N31" s="92">
        <f t="shared" si="6"/>
        <v>0</v>
      </c>
      <c r="O31" s="104">
        <f t="shared" si="7"/>
        <v>1.016</v>
      </c>
      <c r="P31" s="105">
        <f>M31*N31*O31*0.7</f>
        <v>0</v>
      </c>
    </row>
    <row r="32" spans="2:16" x14ac:dyDescent="0.25">
      <c r="B32" s="88" t="s">
        <v>18</v>
      </c>
      <c r="C32" s="100">
        <f t="shared" si="1"/>
        <v>2019</v>
      </c>
      <c r="D32" s="101">
        <v>43591</v>
      </c>
      <c r="E32" s="102"/>
      <c r="F32" s="103"/>
      <c r="G32" s="103"/>
      <c r="H32" s="103"/>
      <c r="I32" s="90">
        <f t="shared" si="2"/>
        <v>0</v>
      </c>
      <c r="J32" s="90">
        <f t="shared" si="3"/>
        <v>0</v>
      </c>
      <c r="K32" s="91">
        <f t="shared" si="4"/>
        <v>0.72916666666666674</v>
      </c>
      <c r="L32" s="91">
        <f t="shared" si="5"/>
        <v>3.333333333333333</v>
      </c>
      <c r="M32" s="29">
        <f t="shared" si="9"/>
        <v>12</v>
      </c>
      <c r="N32" s="92">
        <f t="shared" si="6"/>
        <v>0</v>
      </c>
      <c r="O32" s="104">
        <f t="shared" si="7"/>
        <v>1.016</v>
      </c>
      <c r="P32" s="105">
        <f t="shared" si="8"/>
        <v>0</v>
      </c>
    </row>
    <row r="33" spans="2:16" x14ac:dyDescent="0.25">
      <c r="B33" s="88" t="s">
        <v>18</v>
      </c>
      <c r="C33" s="100">
        <f t="shared" si="1"/>
        <v>2019</v>
      </c>
      <c r="D33" s="101">
        <v>43592</v>
      </c>
      <c r="E33" s="102"/>
      <c r="F33" s="103"/>
      <c r="G33" s="103"/>
      <c r="H33" s="103"/>
      <c r="I33" s="90">
        <f t="shared" si="2"/>
        <v>0</v>
      </c>
      <c r="J33" s="90">
        <f t="shared" si="3"/>
        <v>0</v>
      </c>
      <c r="K33" s="91">
        <f t="shared" si="4"/>
        <v>0.72916666666666674</v>
      </c>
      <c r="L33" s="91">
        <f t="shared" si="5"/>
        <v>3.333333333333333</v>
      </c>
      <c r="M33" s="29">
        <f t="shared" si="9"/>
        <v>12</v>
      </c>
      <c r="N33" s="92">
        <f t="shared" si="6"/>
        <v>0</v>
      </c>
      <c r="O33" s="104">
        <f t="shared" si="7"/>
        <v>1.016</v>
      </c>
      <c r="P33" s="105">
        <f t="shared" si="8"/>
        <v>0</v>
      </c>
    </row>
    <row r="34" spans="2:16" x14ac:dyDescent="0.25">
      <c r="B34" s="88" t="s">
        <v>18</v>
      </c>
      <c r="C34" s="100">
        <f t="shared" si="1"/>
        <v>2019</v>
      </c>
      <c r="D34" s="101">
        <v>43593</v>
      </c>
      <c r="E34" s="102">
        <v>0.54166666666666663</v>
      </c>
      <c r="F34" s="103">
        <v>0.5625</v>
      </c>
      <c r="G34" s="103">
        <v>0.54166666666666663</v>
      </c>
      <c r="H34" s="103">
        <v>0.5625</v>
      </c>
      <c r="I34" s="90">
        <f t="shared" si="2"/>
        <v>0.50000000000000089</v>
      </c>
      <c r="J34" s="90">
        <f t="shared" si="3"/>
        <v>0.50000000000000089</v>
      </c>
      <c r="K34" s="91">
        <f t="shared" si="4"/>
        <v>0.72916666666666674</v>
      </c>
      <c r="L34" s="91">
        <f t="shared" si="5"/>
        <v>3.333333333333333</v>
      </c>
      <c r="M34" s="29">
        <f t="shared" si="9"/>
        <v>12</v>
      </c>
      <c r="N34" s="92">
        <f t="shared" si="6"/>
        <v>0.50000000000000089</v>
      </c>
      <c r="O34" s="104">
        <f t="shared" si="7"/>
        <v>1.016</v>
      </c>
      <c r="P34" s="105">
        <f t="shared" si="8"/>
        <v>4.267200000000007</v>
      </c>
    </row>
    <row r="35" spans="2:16" x14ac:dyDescent="0.25">
      <c r="B35" s="88" t="s">
        <v>18</v>
      </c>
      <c r="C35" s="100">
        <f t="shared" si="1"/>
        <v>2019</v>
      </c>
      <c r="D35" s="101">
        <v>43594</v>
      </c>
      <c r="E35" s="102"/>
      <c r="F35" s="103"/>
      <c r="G35" s="103"/>
      <c r="H35" s="103"/>
      <c r="I35" s="90">
        <f t="shared" si="2"/>
        <v>0</v>
      </c>
      <c r="J35" s="90">
        <f t="shared" si="3"/>
        <v>0</v>
      </c>
      <c r="K35" s="91">
        <f t="shared" si="4"/>
        <v>0.72916666666666674</v>
      </c>
      <c r="L35" s="91">
        <f t="shared" si="5"/>
        <v>3.333333333333333</v>
      </c>
      <c r="M35" s="29">
        <f t="shared" si="9"/>
        <v>12</v>
      </c>
      <c r="N35" s="92">
        <f t="shared" si="6"/>
        <v>0</v>
      </c>
      <c r="O35" s="104">
        <f t="shared" si="7"/>
        <v>1.016</v>
      </c>
      <c r="P35" s="105">
        <f t="shared" si="8"/>
        <v>0</v>
      </c>
    </row>
    <row r="36" spans="2:16" x14ac:dyDescent="0.25">
      <c r="B36" s="88" t="s">
        <v>18</v>
      </c>
      <c r="C36" s="100">
        <f t="shared" si="1"/>
        <v>2019</v>
      </c>
      <c r="D36" s="101">
        <v>43595</v>
      </c>
      <c r="E36" s="102"/>
      <c r="F36" s="103"/>
      <c r="G36" s="103"/>
      <c r="H36" s="103"/>
      <c r="I36" s="90">
        <f t="shared" si="2"/>
        <v>0</v>
      </c>
      <c r="J36" s="90">
        <f t="shared" si="3"/>
        <v>0</v>
      </c>
      <c r="K36" s="91">
        <f t="shared" si="4"/>
        <v>0.72916666666666674</v>
      </c>
      <c r="L36" s="91">
        <f t="shared" si="5"/>
        <v>3.333333333333333</v>
      </c>
      <c r="M36" s="29">
        <f t="shared" si="9"/>
        <v>12</v>
      </c>
      <c r="N36" s="92">
        <f t="shared" si="6"/>
        <v>0</v>
      </c>
      <c r="O36" s="104">
        <f t="shared" si="7"/>
        <v>1.016</v>
      </c>
      <c r="P36" s="105">
        <f t="shared" si="8"/>
        <v>0</v>
      </c>
    </row>
    <row r="37" spans="2:16" x14ac:dyDescent="0.25">
      <c r="B37" s="88" t="s">
        <v>18</v>
      </c>
      <c r="C37" s="100">
        <f t="shared" si="1"/>
        <v>2019</v>
      </c>
      <c r="D37" s="101">
        <v>43596</v>
      </c>
      <c r="E37" s="102"/>
      <c r="F37" s="103"/>
      <c r="G37" s="103"/>
      <c r="H37" s="103"/>
      <c r="I37" s="90">
        <f t="shared" si="2"/>
        <v>0</v>
      </c>
      <c r="J37" s="90">
        <f t="shared" si="3"/>
        <v>0</v>
      </c>
      <c r="K37" s="91">
        <f t="shared" si="4"/>
        <v>0.72916666666666674</v>
      </c>
      <c r="L37" s="91">
        <f t="shared" si="5"/>
        <v>3.333333333333333</v>
      </c>
      <c r="M37" s="29">
        <f t="shared" si="9"/>
        <v>12</v>
      </c>
      <c r="N37" s="92">
        <f t="shared" si="6"/>
        <v>0</v>
      </c>
      <c r="O37" s="104">
        <f t="shared" si="7"/>
        <v>1.016</v>
      </c>
      <c r="P37" s="105">
        <f t="shared" si="8"/>
        <v>0</v>
      </c>
    </row>
    <row r="38" spans="2:16" x14ac:dyDescent="0.25">
      <c r="B38" s="88" t="s">
        <v>18</v>
      </c>
      <c r="C38" s="100">
        <f t="shared" si="1"/>
        <v>2019</v>
      </c>
      <c r="D38" s="101">
        <v>43597</v>
      </c>
      <c r="E38" s="102"/>
      <c r="F38" s="103"/>
      <c r="G38" s="103"/>
      <c r="H38" s="103"/>
      <c r="I38" s="90">
        <f t="shared" si="2"/>
        <v>0</v>
      </c>
      <c r="J38" s="90">
        <f t="shared" si="3"/>
        <v>0</v>
      </c>
      <c r="K38" s="91">
        <f t="shared" si="4"/>
        <v>0.72916666666666674</v>
      </c>
      <c r="L38" s="91">
        <f t="shared" si="5"/>
        <v>3.333333333333333</v>
      </c>
      <c r="M38" s="29">
        <f t="shared" si="9"/>
        <v>12</v>
      </c>
      <c r="N38" s="92">
        <f t="shared" si="6"/>
        <v>0</v>
      </c>
      <c r="O38" s="104">
        <f t="shared" si="7"/>
        <v>1.016</v>
      </c>
      <c r="P38" s="105">
        <f t="shared" si="8"/>
        <v>0</v>
      </c>
    </row>
    <row r="39" spans="2:16" x14ac:dyDescent="0.25">
      <c r="B39" s="88" t="s">
        <v>18</v>
      </c>
      <c r="C39" s="100">
        <f t="shared" si="1"/>
        <v>2019</v>
      </c>
      <c r="D39" s="101">
        <v>43598</v>
      </c>
      <c r="E39" s="102">
        <v>0.52083333333333337</v>
      </c>
      <c r="F39" s="103">
        <v>0.54166666666666663</v>
      </c>
      <c r="G39" s="103">
        <v>0.52083333333333337</v>
      </c>
      <c r="H39" s="103">
        <v>0.54166666666666663</v>
      </c>
      <c r="I39" s="90">
        <f t="shared" si="2"/>
        <v>0.49999999999999822</v>
      </c>
      <c r="J39" s="90">
        <f t="shared" si="3"/>
        <v>0.49999999999999822</v>
      </c>
      <c r="K39" s="91">
        <f t="shared" si="4"/>
        <v>0.72916666666666674</v>
      </c>
      <c r="L39" s="91">
        <f t="shared" si="5"/>
        <v>3.333333333333333</v>
      </c>
      <c r="M39" s="29">
        <f t="shared" si="9"/>
        <v>12</v>
      </c>
      <c r="N39" s="92">
        <f t="shared" si="6"/>
        <v>0.49999999999999822</v>
      </c>
      <c r="O39" s="104">
        <f t="shared" si="7"/>
        <v>1.016</v>
      </c>
      <c r="P39" s="105">
        <f t="shared" si="8"/>
        <v>4.2671999999999848</v>
      </c>
    </row>
    <row r="40" spans="2:16" x14ac:dyDescent="0.25">
      <c r="B40" s="88" t="s">
        <v>18</v>
      </c>
      <c r="C40" s="100">
        <f t="shared" si="1"/>
        <v>2019</v>
      </c>
      <c r="D40" s="101">
        <v>43599</v>
      </c>
      <c r="E40" s="102"/>
      <c r="F40" s="103"/>
      <c r="G40" s="103"/>
      <c r="H40" s="103"/>
      <c r="I40" s="90">
        <f t="shared" si="2"/>
        <v>0</v>
      </c>
      <c r="J40" s="90">
        <f t="shared" si="3"/>
        <v>0</v>
      </c>
      <c r="K40" s="91">
        <f t="shared" si="4"/>
        <v>0.72916666666666674</v>
      </c>
      <c r="L40" s="91">
        <f t="shared" si="5"/>
        <v>3.333333333333333</v>
      </c>
      <c r="M40" s="29">
        <f t="shared" si="9"/>
        <v>12</v>
      </c>
      <c r="N40" s="92">
        <f t="shared" si="6"/>
        <v>0</v>
      </c>
      <c r="O40" s="104">
        <f t="shared" si="7"/>
        <v>1.016</v>
      </c>
      <c r="P40" s="105">
        <f t="shared" si="8"/>
        <v>0</v>
      </c>
    </row>
    <row r="41" spans="2:16" x14ac:dyDescent="0.25">
      <c r="B41" s="88" t="s">
        <v>18</v>
      </c>
      <c r="C41" s="100">
        <f t="shared" si="1"/>
        <v>2019</v>
      </c>
      <c r="D41" s="101">
        <v>43600</v>
      </c>
      <c r="E41" s="102"/>
      <c r="F41" s="103"/>
      <c r="G41" s="103"/>
      <c r="H41" s="103"/>
      <c r="I41" s="90">
        <f t="shared" si="2"/>
        <v>0</v>
      </c>
      <c r="J41" s="90">
        <f t="shared" si="3"/>
        <v>0</v>
      </c>
      <c r="K41" s="91">
        <f t="shared" si="4"/>
        <v>0.72916666666666674</v>
      </c>
      <c r="L41" s="91">
        <f t="shared" si="5"/>
        <v>3.333333333333333</v>
      </c>
      <c r="M41" s="29">
        <f t="shared" si="9"/>
        <v>12</v>
      </c>
      <c r="N41" s="92">
        <f t="shared" si="6"/>
        <v>0</v>
      </c>
      <c r="O41" s="104">
        <f t="shared" si="7"/>
        <v>1.016</v>
      </c>
      <c r="P41" s="105">
        <f t="shared" si="8"/>
        <v>0</v>
      </c>
    </row>
    <row r="42" spans="2:16" x14ac:dyDescent="0.25">
      <c r="B42" s="88" t="s">
        <v>18</v>
      </c>
      <c r="C42" s="100">
        <f t="shared" si="1"/>
        <v>2019</v>
      </c>
      <c r="D42" s="101">
        <v>43601</v>
      </c>
      <c r="E42" s="102"/>
      <c r="F42" s="103"/>
      <c r="G42" s="103"/>
      <c r="H42" s="103"/>
      <c r="I42" s="90">
        <f t="shared" si="2"/>
        <v>0</v>
      </c>
      <c r="J42" s="90">
        <f t="shared" si="3"/>
        <v>0</v>
      </c>
      <c r="K42" s="91">
        <f t="shared" si="4"/>
        <v>0.72916666666666674</v>
      </c>
      <c r="L42" s="91">
        <f t="shared" si="5"/>
        <v>3.333333333333333</v>
      </c>
      <c r="M42" s="29">
        <f t="shared" si="9"/>
        <v>12</v>
      </c>
      <c r="N42" s="92">
        <f t="shared" si="6"/>
        <v>0</v>
      </c>
      <c r="O42" s="104">
        <f t="shared" si="7"/>
        <v>1.016</v>
      </c>
      <c r="P42" s="105">
        <f t="shared" si="8"/>
        <v>0</v>
      </c>
    </row>
    <row r="43" spans="2:16" x14ac:dyDescent="0.25">
      <c r="B43" s="88" t="s">
        <v>18</v>
      </c>
      <c r="C43" s="100">
        <f t="shared" si="1"/>
        <v>2019</v>
      </c>
      <c r="D43" s="101">
        <v>43602</v>
      </c>
      <c r="E43" s="102">
        <v>0.70833333333333337</v>
      </c>
      <c r="F43" s="103">
        <v>0.72916666666666663</v>
      </c>
      <c r="G43" s="103">
        <v>0.70833333333333337</v>
      </c>
      <c r="H43" s="103">
        <v>0.72916666666666663</v>
      </c>
      <c r="I43" s="90">
        <f t="shared" si="2"/>
        <v>0.49999999999999822</v>
      </c>
      <c r="J43" s="90">
        <f t="shared" si="3"/>
        <v>0.49999999999999822</v>
      </c>
      <c r="K43" s="91">
        <f t="shared" si="4"/>
        <v>0.72916666666666674</v>
      </c>
      <c r="L43" s="91">
        <f t="shared" si="5"/>
        <v>3.333333333333333</v>
      </c>
      <c r="M43" s="29">
        <f t="shared" si="9"/>
        <v>12</v>
      </c>
      <c r="N43" s="92">
        <f t="shared" si="6"/>
        <v>0.49999999999999822</v>
      </c>
      <c r="O43" s="104">
        <f t="shared" si="7"/>
        <v>1.016</v>
      </c>
      <c r="P43" s="105">
        <f t="shared" si="8"/>
        <v>4.2671999999999848</v>
      </c>
    </row>
    <row r="44" spans="2:16" x14ac:dyDescent="0.25">
      <c r="B44" s="88" t="s">
        <v>18</v>
      </c>
      <c r="C44" s="100">
        <f t="shared" si="1"/>
        <v>2019</v>
      </c>
      <c r="D44" s="101">
        <v>43603</v>
      </c>
      <c r="E44" s="102"/>
      <c r="F44" s="103"/>
      <c r="G44" s="103"/>
      <c r="H44" s="103"/>
      <c r="I44" s="90">
        <f t="shared" si="2"/>
        <v>0</v>
      </c>
      <c r="J44" s="90">
        <f t="shared" si="3"/>
        <v>0</v>
      </c>
      <c r="K44" s="91">
        <f t="shared" si="4"/>
        <v>0.72916666666666674</v>
      </c>
      <c r="L44" s="91">
        <f t="shared" si="5"/>
        <v>3.333333333333333</v>
      </c>
      <c r="M44" s="29">
        <f t="shared" si="9"/>
        <v>12</v>
      </c>
      <c r="N44" s="92">
        <f t="shared" si="6"/>
        <v>0</v>
      </c>
      <c r="O44" s="104">
        <f t="shared" si="7"/>
        <v>1.016</v>
      </c>
      <c r="P44" s="105">
        <f t="shared" si="8"/>
        <v>0</v>
      </c>
    </row>
    <row r="45" spans="2:16" x14ac:dyDescent="0.25">
      <c r="B45" s="88" t="s">
        <v>18</v>
      </c>
      <c r="C45" s="100">
        <f t="shared" si="1"/>
        <v>2019</v>
      </c>
      <c r="D45" s="101">
        <v>43604</v>
      </c>
      <c r="E45" s="102"/>
      <c r="F45" s="103"/>
      <c r="G45" s="103"/>
      <c r="H45" s="103"/>
      <c r="I45" s="90">
        <f t="shared" si="2"/>
        <v>0</v>
      </c>
      <c r="J45" s="90">
        <f t="shared" si="3"/>
        <v>0</v>
      </c>
      <c r="K45" s="91">
        <f t="shared" si="4"/>
        <v>0.72916666666666674</v>
      </c>
      <c r="L45" s="91">
        <f t="shared" si="5"/>
        <v>3.333333333333333</v>
      </c>
      <c r="M45" s="29">
        <f t="shared" si="9"/>
        <v>12</v>
      </c>
      <c r="N45" s="92">
        <f t="shared" si="6"/>
        <v>0</v>
      </c>
      <c r="O45" s="104">
        <f t="shared" si="7"/>
        <v>1.016</v>
      </c>
      <c r="P45" s="105">
        <f t="shared" si="8"/>
        <v>0</v>
      </c>
    </row>
    <row r="46" spans="2:16" x14ac:dyDescent="0.25">
      <c r="B46" s="88" t="s">
        <v>18</v>
      </c>
      <c r="C46" s="100">
        <f t="shared" si="1"/>
        <v>2019</v>
      </c>
      <c r="D46" s="101">
        <v>43605</v>
      </c>
      <c r="E46" s="102"/>
      <c r="F46" s="103"/>
      <c r="G46" s="103"/>
      <c r="H46" s="103"/>
      <c r="I46" s="90">
        <f t="shared" si="2"/>
        <v>0</v>
      </c>
      <c r="J46" s="90">
        <f t="shared" si="3"/>
        <v>0</v>
      </c>
      <c r="K46" s="91">
        <f t="shared" si="4"/>
        <v>0.72916666666666674</v>
      </c>
      <c r="L46" s="91">
        <f t="shared" si="5"/>
        <v>3.333333333333333</v>
      </c>
      <c r="M46" s="29">
        <f t="shared" si="9"/>
        <v>12</v>
      </c>
      <c r="N46" s="92">
        <f t="shared" si="6"/>
        <v>0</v>
      </c>
      <c r="O46" s="104">
        <f t="shared" si="7"/>
        <v>1.016</v>
      </c>
      <c r="P46" s="105">
        <f t="shared" si="8"/>
        <v>0</v>
      </c>
    </row>
    <row r="47" spans="2:16" x14ac:dyDescent="0.25">
      <c r="B47" s="88" t="s">
        <v>18</v>
      </c>
      <c r="C47" s="100">
        <f t="shared" si="1"/>
        <v>2019</v>
      </c>
      <c r="D47" s="101">
        <v>43606</v>
      </c>
      <c r="E47" s="102"/>
      <c r="F47" s="103"/>
      <c r="G47" s="103"/>
      <c r="H47" s="103"/>
      <c r="I47" s="90">
        <f t="shared" si="2"/>
        <v>0</v>
      </c>
      <c r="J47" s="90">
        <f t="shared" si="3"/>
        <v>0</v>
      </c>
      <c r="K47" s="91">
        <f t="shared" si="4"/>
        <v>0.72916666666666674</v>
      </c>
      <c r="L47" s="91">
        <f t="shared" si="5"/>
        <v>3.333333333333333</v>
      </c>
      <c r="M47" s="29">
        <f t="shared" si="9"/>
        <v>12</v>
      </c>
      <c r="N47" s="92">
        <f t="shared" si="6"/>
        <v>0</v>
      </c>
      <c r="O47" s="104">
        <f t="shared" si="7"/>
        <v>1.016</v>
      </c>
      <c r="P47" s="105">
        <f t="shared" si="8"/>
        <v>0</v>
      </c>
    </row>
    <row r="48" spans="2:16" x14ac:dyDescent="0.25">
      <c r="B48" s="88" t="s">
        <v>18</v>
      </c>
      <c r="C48" s="100">
        <f t="shared" si="1"/>
        <v>2019</v>
      </c>
      <c r="D48" s="101">
        <v>43607</v>
      </c>
      <c r="E48" s="102"/>
      <c r="F48" s="103"/>
      <c r="G48" s="103"/>
      <c r="H48" s="103"/>
      <c r="I48" s="90">
        <f t="shared" si="2"/>
        <v>0</v>
      </c>
      <c r="J48" s="90">
        <f t="shared" si="3"/>
        <v>0</v>
      </c>
      <c r="K48" s="91">
        <f t="shared" si="4"/>
        <v>0.72916666666666674</v>
      </c>
      <c r="L48" s="91">
        <f t="shared" si="5"/>
        <v>3.333333333333333</v>
      </c>
      <c r="M48" s="29">
        <f t="shared" si="9"/>
        <v>12</v>
      </c>
      <c r="N48" s="92">
        <f t="shared" si="6"/>
        <v>0</v>
      </c>
      <c r="O48" s="104">
        <f t="shared" si="7"/>
        <v>1.016</v>
      </c>
      <c r="P48" s="105">
        <f t="shared" si="8"/>
        <v>0</v>
      </c>
    </row>
    <row r="49" spans="2:16" x14ac:dyDescent="0.25">
      <c r="B49" s="88" t="s">
        <v>18</v>
      </c>
      <c r="C49" s="100">
        <f t="shared" si="1"/>
        <v>2019</v>
      </c>
      <c r="D49" s="101">
        <v>43608</v>
      </c>
      <c r="E49" s="102">
        <v>0.4375</v>
      </c>
      <c r="F49" s="103">
        <v>0.45833333333333331</v>
      </c>
      <c r="G49" s="103">
        <v>0.4375</v>
      </c>
      <c r="H49" s="103">
        <v>0.45833333333333331</v>
      </c>
      <c r="I49" s="90">
        <f t="shared" si="2"/>
        <v>0.49999999999999956</v>
      </c>
      <c r="J49" s="90">
        <f t="shared" si="3"/>
        <v>0.49999999999999956</v>
      </c>
      <c r="K49" s="91">
        <f t="shared" si="4"/>
        <v>0.72916666666666674</v>
      </c>
      <c r="L49" s="91">
        <f t="shared" si="5"/>
        <v>3.333333333333333</v>
      </c>
      <c r="M49" s="29">
        <f t="shared" si="9"/>
        <v>12</v>
      </c>
      <c r="N49" s="92">
        <f t="shared" si="6"/>
        <v>0.49999999999999956</v>
      </c>
      <c r="O49" s="104">
        <f t="shared" si="7"/>
        <v>1.016</v>
      </c>
      <c r="P49" s="105">
        <f t="shared" si="8"/>
        <v>4.2671999999999963</v>
      </c>
    </row>
    <row r="50" spans="2:16" x14ac:dyDescent="0.25">
      <c r="B50" s="88" t="s">
        <v>18</v>
      </c>
      <c r="C50" s="100">
        <f t="shared" si="1"/>
        <v>2019</v>
      </c>
      <c r="D50" s="101">
        <v>43609</v>
      </c>
      <c r="E50" s="102"/>
      <c r="F50" s="103"/>
      <c r="G50" s="103"/>
      <c r="H50" s="103"/>
      <c r="I50" s="90">
        <f t="shared" si="2"/>
        <v>0</v>
      </c>
      <c r="J50" s="90">
        <f t="shared" si="3"/>
        <v>0</v>
      </c>
      <c r="K50" s="91">
        <f t="shared" si="4"/>
        <v>0.72916666666666674</v>
      </c>
      <c r="L50" s="91">
        <f t="shared" si="5"/>
        <v>3.333333333333333</v>
      </c>
      <c r="M50" s="29">
        <f t="shared" si="9"/>
        <v>12</v>
      </c>
      <c r="N50" s="92">
        <f t="shared" si="6"/>
        <v>0</v>
      </c>
      <c r="O50" s="104">
        <f t="shared" si="7"/>
        <v>1.016</v>
      </c>
      <c r="P50" s="105">
        <f t="shared" si="8"/>
        <v>0</v>
      </c>
    </row>
    <row r="51" spans="2:16" x14ac:dyDescent="0.25">
      <c r="B51" s="88" t="s">
        <v>18</v>
      </c>
      <c r="C51" s="106">
        <f t="shared" si="1"/>
        <v>2019</v>
      </c>
      <c r="D51" s="101">
        <v>43610</v>
      </c>
      <c r="E51" s="102"/>
      <c r="F51" s="103"/>
      <c r="G51" s="103"/>
      <c r="H51" s="103"/>
      <c r="I51" s="90">
        <f t="shared" si="2"/>
        <v>0</v>
      </c>
      <c r="J51" s="90">
        <f t="shared" si="3"/>
        <v>0</v>
      </c>
      <c r="K51" s="91">
        <f t="shared" si="4"/>
        <v>0.72916666666666674</v>
      </c>
      <c r="L51" s="91">
        <f t="shared" si="5"/>
        <v>3.333333333333333</v>
      </c>
      <c r="M51" s="29">
        <f t="shared" si="9"/>
        <v>12</v>
      </c>
      <c r="N51" s="92">
        <f t="shared" si="6"/>
        <v>0</v>
      </c>
      <c r="O51" s="104">
        <f t="shared" si="7"/>
        <v>1.016</v>
      </c>
      <c r="P51" s="105">
        <f t="shared" si="8"/>
        <v>0</v>
      </c>
    </row>
    <row r="52" spans="2:16" x14ac:dyDescent="0.25">
      <c r="B52" s="88" t="s">
        <v>18</v>
      </c>
      <c r="C52" s="106">
        <f t="shared" si="1"/>
        <v>2019</v>
      </c>
      <c r="D52" s="101">
        <v>43611</v>
      </c>
      <c r="E52" s="102">
        <v>0.6875</v>
      </c>
      <c r="F52" s="103">
        <v>0.70833333333333337</v>
      </c>
      <c r="G52" s="103">
        <v>0.6875</v>
      </c>
      <c r="H52" s="103">
        <v>0.70833333333333337</v>
      </c>
      <c r="I52" s="90">
        <f t="shared" si="2"/>
        <v>0.50000000000000089</v>
      </c>
      <c r="J52" s="90">
        <f t="shared" si="3"/>
        <v>0.50000000000000089</v>
      </c>
      <c r="K52" s="91">
        <f t="shared" si="4"/>
        <v>0.72916666666666674</v>
      </c>
      <c r="L52" s="91">
        <f t="shared" si="5"/>
        <v>3.333333333333333</v>
      </c>
      <c r="M52" s="29">
        <f t="shared" si="9"/>
        <v>12</v>
      </c>
      <c r="N52" s="92">
        <f t="shared" si="6"/>
        <v>0.50000000000000089</v>
      </c>
      <c r="O52" s="104">
        <f t="shared" si="7"/>
        <v>1.016</v>
      </c>
      <c r="P52" s="105">
        <f t="shared" si="8"/>
        <v>4.267200000000007</v>
      </c>
    </row>
    <row r="53" spans="2:16" x14ac:dyDescent="0.25">
      <c r="B53" s="88" t="s">
        <v>18</v>
      </c>
      <c r="C53" s="106">
        <f t="shared" si="1"/>
        <v>2019</v>
      </c>
      <c r="D53" s="101">
        <v>43612</v>
      </c>
      <c r="E53" s="102"/>
      <c r="F53" s="103"/>
      <c r="G53" s="103"/>
      <c r="H53" s="103"/>
      <c r="I53" s="90">
        <f t="shared" si="2"/>
        <v>0</v>
      </c>
      <c r="J53" s="90">
        <f t="shared" si="3"/>
        <v>0</v>
      </c>
      <c r="K53" s="91">
        <f t="shared" si="4"/>
        <v>0.72916666666666674</v>
      </c>
      <c r="L53" s="91">
        <f t="shared" si="5"/>
        <v>3.333333333333333</v>
      </c>
      <c r="M53" s="29">
        <f t="shared" si="9"/>
        <v>12</v>
      </c>
      <c r="N53" s="92">
        <f t="shared" si="6"/>
        <v>0</v>
      </c>
      <c r="O53" s="104">
        <f t="shared" si="7"/>
        <v>1.016</v>
      </c>
      <c r="P53" s="105">
        <f t="shared" si="8"/>
        <v>0</v>
      </c>
    </row>
    <row r="54" spans="2:16" x14ac:dyDescent="0.25">
      <c r="B54" s="88" t="s">
        <v>18</v>
      </c>
      <c r="C54" s="106">
        <f t="shared" si="1"/>
        <v>2019</v>
      </c>
      <c r="D54" s="101">
        <v>43613</v>
      </c>
      <c r="E54" s="102"/>
      <c r="F54" s="103"/>
      <c r="G54" s="103"/>
      <c r="H54" s="103"/>
      <c r="I54" s="90">
        <f t="shared" si="2"/>
        <v>0</v>
      </c>
      <c r="J54" s="90">
        <f t="shared" si="3"/>
        <v>0</v>
      </c>
      <c r="K54" s="91">
        <f t="shared" si="4"/>
        <v>0.72916666666666674</v>
      </c>
      <c r="L54" s="91">
        <f t="shared" si="5"/>
        <v>3.333333333333333</v>
      </c>
      <c r="M54" s="29">
        <f t="shared" si="9"/>
        <v>12</v>
      </c>
      <c r="N54" s="92">
        <f t="shared" si="6"/>
        <v>0</v>
      </c>
      <c r="O54" s="104">
        <f t="shared" si="7"/>
        <v>1.016</v>
      </c>
      <c r="P54" s="105">
        <f t="shared" si="8"/>
        <v>0</v>
      </c>
    </row>
    <row r="55" spans="2:16" x14ac:dyDescent="0.25">
      <c r="B55" s="88" t="s">
        <v>18</v>
      </c>
      <c r="C55" s="106">
        <f t="shared" si="1"/>
        <v>2019</v>
      </c>
      <c r="D55" s="101">
        <v>43614</v>
      </c>
      <c r="E55" s="102"/>
      <c r="F55" s="103"/>
      <c r="G55" s="103"/>
      <c r="H55" s="103"/>
      <c r="I55" s="90">
        <f t="shared" si="2"/>
        <v>0</v>
      </c>
      <c r="J55" s="90">
        <f t="shared" si="3"/>
        <v>0</v>
      </c>
      <c r="K55" s="91">
        <f t="shared" si="4"/>
        <v>0.72916666666666674</v>
      </c>
      <c r="L55" s="91">
        <f t="shared" si="5"/>
        <v>3.333333333333333</v>
      </c>
      <c r="M55" s="29">
        <f t="shared" si="9"/>
        <v>12</v>
      </c>
      <c r="N55" s="92">
        <f t="shared" si="6"/>
        <v>0</v>
      </c>
      <c r="O55" s="104">
        <f t="shared" si="7"/>
        <v>1.016</v>
      </c>
      <c r="P55" s="105">
        <f t="shared" si="8"/>
        <v>0</v>
      </c>
    </row>
    <row r="56" spans="2:16" x14ac:dyDescent="0.25">
      <c r="B56" s="88" t="s">
        <v>18</v>
      </c>
      <c r="C56" s="106">
        <f t="shared" si="1"/>
        <v>2019</v>
      </c>
      <c r="D56" s="101">
        <v>43615</v>
      </c>
      <c r="E56" s="102"/>
      <c r="F56" s="103"/>
      <c r="G56" s="103"/>
      <c r="H56" s="103"/>
      <c r="I56" s="90">
        <f t="shared" si="2"/>
        <v>0</v>
      </c>
      <c r="J56" s="90">
        <f t="shared" si="3"/>
        <v>0</v>
      </c>
      <c r="K56" s="91">
        <f t="shared" si="4"/>
        <v>0.72916666666666674</v>
      </c>
      <c r="L56" s="91">
        <f t="shared" si="5"/>
        <v>3.333333333333333</v>
      </c>
      <c r="M56" s="29">
        <f t="shared" si="9"/>
        <v>12</v>
      </c>
      <c r="N56" s="92">
        <f t="shared" si="6"/>
        <v>0</v>
      </c>
      <c r="O56" s="104">
        <f t="shared" si="7"/>
        <v>1.016</v>
      </c>
      <c r="P56" s="105">
        <f t="shared" si="8"/>
        <v>0</v>
      </c>
    </row>
    <row r="57" spans="2:16" x14ac:dyDescent="0.25">
      <c r="B57" s="88" t="s">
        <v>18</v>
      </c>
      <c r="C57" s="106">
        <f t="shared" si="1"/>
        <v>2019</v>
      </c>
      <c r="D57" s="101">
        <v>43616</v>
      </c>
      <c r="E57" s="102"/>
      <c r="F57" s="103"/>
      <c r="G57" s="103"/>
      <c r="H57" s="103"/>
      <c r="I57" s="90">
        <f t="shared" si="2"/>
        <v>0</v>
      </c>
      <c r="J57" s="90">
        <f t="shared" si="3"/>
        <v>0</v>
      </c>
      <c r="K57" s="91">
        <f t="shared" si="4"/>
        <v>0.72916666666666674</v>
      </c>
      <c r="L57" s="91">
        <f t="shared" si="5"/>
        <v>3.333333333333333</v>
      </c>
      <c r="M57" s="29">
        <f t="shared" si="9"/>
        <v>12</v>
      </c>
      <c r="N57" s="92">
        <f t="shared" si="6"/>
        <v>0</v>
      </c>
      <c r="O57" s="104">
        <f t="shared" si="7"/>
        <v>1.016</v>
      </c>
      <c r="P57" s="105">
        <f t="shared" si="8"/>
        <v>0</v>
      </c>
    </row>
    <row r="58" spans="2:16" x14ac:dyDescent="0.25">
      <c r="B58" s="88" t="s">
        <v>18</v>
      </c>
      <c r="C58" s="106">
        <f t="shared" si="1"/>
        <v>2019</v>
      </c>
      <c r="D58" s="101">
        <v>43617</v>
      </c>
      <c r="E58" s="102">
        <v>0.4375</v>
      </c>
      <c r="F58" s="103">
        <v>0.45833333333333331</v>
      </c>
      <c r="G58" s="103">
        <v>0.4375</v>
      </c>
      <c r="H58" s="103">
        <v>0.45833333333333331</v>
      </c>
      <c r="I58" s="90">
        <f t="shared" si="2"/>
        <v>0.49999999999999956</v>
      </c>
      <c r="J58" s="90">
        <f t="shared" si="3"/>
        <v>0.49999999999999956</v>
      </c>
      <c r="K58" s="91">
        <f t="shared" si="4"/>
        <v>0.72916666666666674</v>
      </c>
      <c r="L58" s="91">
        <f t="shared" si="5"/>
        <v>3.333333333333333</v>
      </c>
      <c r="M58" s="29">
        <f t="shared" si="9"/>
        <v>12</v>
      </c>
      <c r="N58" s="92">
        <f t="shared" si="6"/>
        <v>0.49999999999999956</v>
      </c>
      <c r="O58" s="104">
        <f t="shared" si="7"/>
        <v>1.016</v>
      </c>
      <c r="P58" s="105">
        <f>M58*N58*O58*0.7</f>
        <v>4.2671999999999963</v>
      </c>
    </row>
    <row r="59" spans="2:16" x14ac:dyDescent="0.25">
      <c r="B59" s="88" t="s">
        <v>18</v>
      </c>
      <c r="C59" s="106">
        <f t="shared" si="1"/>
        <v>2019</v>
      </c>
      <c r="D59" s="101">
        <v>43618</v>
      </c>
      <c r="E59" s="102"/>
      <c r="F59" s="103"/>
      <c r="G59" s="103"/>
      <c r="H59" s="103"/>
      <c r="I59" s="90">
        <f t="shared" si="2"/>
        <v>0</v>
      </c>
      <c r="J59" s="90">
        <f t="shared" si="3"/>
        <v>0</v>
      </c>
      <c r="K59" s="91">
        <f t="shared" si="4"/>
        <v>0.72916666666666674</v>
      </c>
      <c r="L59" s="91">
        <f t="shared" si="5"/>
        <v>3.333333333333333</v>
      </c>
      <c r="M59" s="29">
        <f t="shared" si="9"/>
        <v>12</v>
      </c>
      <c r="N59" s="92">
        <f>I59</f>
        <v>0</v>
      </c>
      <c r="O59" s="104">
        <f t="shared" si="7"/>
        <v>1.016</v>
      </c>
      <c r="P59" s="105">
        <f t="shared" si="8"/>
        <v>0</v>
      </c>
    </row>
    <row r="60" spans="2:16" x14ac:dyDescent="0.25">
      <c r="B60" s="88" t="s">
        <v>18</v>
      </c>
      <c r="C60" s="106">
        <f t="shared" si="1"/>
        <v>2019</v>
      </c>
      <c r="D60" s="101">
        <v>43619</v>
      </c>
      <c r="E60" s="102"/>
      <c r="F60" s="103"/>
      <c r="G60" s="103"/>
      <c r="H60" s="103"/>
      <c r="I60" s="90">
        <f t="shared" si="2"/>
        <v>0</v>
      </c>
      <c r="J60" s="90">
        <f t="shared" si="3"/>
        <v>0</v>
      </c>
      <c r="K60" s="91">
        <f t="shared" si="4"/>
        <v>0.72916666666666674</v>
      </c>
      <c r="L60" s="91">
        <f t="shared" si="5"/>
        <v>3.333333333333333</v>
      </c>
      <c r="M60" s="29">
        <f t="shared" si="9"/>
        <v>12</v>
      </c>
      <c r="N60" s="92">
        <f t="shared" si="6"/>
        <v>0</v>
      </c>
      <c r="O60" s="104">
        <f t="shared" si="7"/>
        <v>1.016</v>
      </c>
      <c r="P60" s="105">
        <f t="shared" si="8"/>
        <v>0</v>
      </c>
    </row>
    <row r="61" spans="2:16" x14ac:dyDescent="0.25">
      <c r="B61" s="88" t="s">
        <v>18</v>
      </c>
      <c r="C61" s="106">
        <f t="shared" si="1"/>
        <v>2019</v>
      </c>
      <c r="D61" s="101">
        <v>43620</v>
      </c>
      <c r="E61" s="102">
        <v>0.5625</v>
      </c>
      <c r="F61" s="103">
        <v>0.58333333333333337</v>
      </c>
      <c r="G61" s="103">
        <v>0.5625</v>
      </c>
      <c r="H61" s="103">
        <v>0.58333333333333337</v>
      </c>
      <c r="I61" s="90">
        <f t="shared" si="2"/>
        <v>0.50000000000000089</v>
      </c>
      <c r="J61" s="90">
        <f t="shared" si="3"/>
        <v>0.50000000000000089</v>
      </c>
      <c r="K61" s="91">
        <f t="shared" si="4"/>
        <v>0.72916666666666674</v>
      </c>
      <c r="L61" s="91">
        <f t="shared" si="5"/>
        <v>3.333333333333333</v>
      </c>
      <c r="M61" s="29">
        <f t="shared" si="9"/>
        <v>12</v>
      </c>
      <c r="N61" s="92">
        <f t="shared" si="6"/>
        <v>0.50000000000000089</v>
      </c>
      <c r="O61" s="104">
        <f t="shared" si="7"/>
        <v>1.016</v>
      </c>
      <c r="P61" s="105">
        <f t="shared" si="8"/>
        <v>4.267200000000007</v>
      </c>
    </row>
    <row r="62" spans="2:16" x14ac:dyDescent="0.25">
      <c r="B62" s="88" t="s">
        <v>18</v>
      </c>
      <c r="C62" s="106">
        <f t="shared" si="1"/>
        <v>2019</v>
      </c>
      <c r="D62" s="101">
        <v>43621</v>
      </c>
      <c r="E62" s="102"/>
      <c r="F62" s="103"/>
      <c r="G62" s="103"/>
      <c r="H62" s="103"/>
      <c r="I62" s="90">
        <f t="shared" si="2"/>
        <v>0</v>
      </c>
      <c r="J62" s="90">
        <f t="shared" si="3"/>
        <v>0</v>
      </c>
      <c r="K62" s="91">
        <f t="shared" si="4"/>
        <v>0.72916666666666674</v>
      </c>
      <c r="L62" s="91">
        <f t="shared" si="5"/>
        <v>3.333333333333333</v>
      </c>
      <c r="M62" s="29">
        <f t="shared" si="9"/>
        <v>12</v>
      </c>
      <c r="N62" s="92">
        <f t="shared" si="6"/>
        <v>0</v>
      </c>
      <c r="O62" s="104">
        <f t="shared" si="7"/>
        <v>1.016</v>
      </c>
      <c r="P62" s="105">
        <f t="shared" si="8"/>
        <v>0</v>
      </c>
    </row>
    <row r="63" spans="2:16" x14ac:dyDescent="0.25">
      <c r="B63" s="88" t="s">
        <v>18</v>
      </c>
      <c r="C63" s="106">
        <f t="shared" si="1"/>
        <v>2019</v>
      </c>
      <c r="D63" s="101">
        <v>43622</v>
      </c>
      <c r="E63" s="102"/>
      <c r="F63" s="103"/>
      <c r="G63" s="103"/>
      <c r="H63" s="103"/>
      <c r="I63" s="90">
        <f t="shared" si="2"/>
        <v>0</v>
      </c>
      <c r="J63" s="90">
        <f t="shared" si="3"/>
        <v>0</v>
      </c>
      <c r="K63" s="91">
        <f t="shared" si="4"/>
        <v>0.72916666666666674</v>
      </c>
      <c r="L63" s="91">
        <f t="shared" si="5"/>
        <v>3.333333333333333</v>
      </c>
      <c r="M63" s="29">
        <f t="shared" si="9"/>
        <v>12</v>
      </c>
      <c r="N63" s="92">
        <f t="shared" si="6"/>
        <v>0</v>
      </c>
      <c r="O63" s="104">
        <f t="shared" si="7"/>
        <v>1.016</v>
      </c>
      <c r="P63" s="105">
        <f t="shared" si="8"/>
        <v>0</v>
      </c>
    </row>
    <row r="64" spans="2:16" x14ac:dyDescent="0.25">
      <c r="B64" s="88" t="s">
        <v>18</v>
      </c>
      <c r="C64" s="106">
        <f t="shared" si="1"/>
        <v>2019</v>
      </c>
      <c r="D64" s="101">
        <v>43623</v>
      </c>
      <c r="E64" s="102"/>
      <c r="F64" s="103"/>
      <c r="G64" s="103"/>
      <c r="H64" s="103"/>
      <c r="I64" s="90">
        <f t="shared" si="2"/>
        <v>0</v>
      </c>
      <c r="J64" s="90">
        <f t="shared" si="3"/>
        <v>0</v>
      </c>
      <c r="K64" s="91">
        <f t="shared" si="4"/>
        <v>0.72916666666666674</v>
      </c>
      <c r="L64" s="91">
        <f t="shared" si="5"/>
        <v>3.333333333333333</v>
      </c>
      <c r="M64" s="29">
        <f t="shared" si="9"/>
        <v>12</v>
      </c>
      <c r="N64" s="92">
        <f t="shared" si="6"/>
        <v>0</v>
      </c>
      <c r="O64" s="104">
        <f t="shared" si="7"/>
        <v>1.016</v>
      </c>
      <c r="P64" s="105">
        <f t="shared" si="8"/>
        <v>0</v>
      </c>
    </row>
    <row r="65" spans="2:16" x14ac:dyDescent="0.25">
      <c r="B65" s="88" t="s">
        <v>18</v>
      </c>
      <c r="C65" s="106">
        <f t="shared" si="1"/>
        <v>2019</v>
      </c>
      <c r="D65" s="101">
        <v>43624</v>
      </c>
      <c r="E65" s="102"/>
      <c r="F65" s="103"/>
      <c r="G65" s="103"/>
      <c r="H65" s="103"/>
      <c r="I65" s="90">
        <f t="shared" si="2"/>
        <v>0</v>
      </c>
      <c r="J65" s="90">
        <f t="shared" si="3"/>
        <v>0</v>
      </c>
      <c r="K65" s="91">
        <f t="shared" si="4"/>
        <v>0.72916666666666674</v>
      </c>
      <c r="L65" s="91">
        <f t="shared" si="5"/>
        <v>3.333333333333333</v>
      </c>
      <c r="M65" s="29">
        <f t="shared" si="9"/>
        <v>12</v>
      </c>
      <c r="N65" s="92">
        <f t="shared" si="6"/>
        <v>0</v>
      </c>
      <c r="O65" s="104">
        <f t="shared" si="7"/>
        <v>1.016</v>
      </c>
      <c r="P65" s="105">
        <f t="shared" si="8"/>
        <v>0</v>
      </c>
    </row>
    <row r="66" spans="2:16" x14ac:dyDescent="0.25">
      <c r="B66" s="88" t="s">
        <v>18</v>
      </c>
      <c r="C66" s="106">
        <f t="shared" si="1"/>
        <v>2019</v>
      </c>
      <c r="D66" s="101">
        <v>43625</v>
      </c>
      <c r="E66" s="102">
        <v>0.60416666666666663</v>
      </c>
      <c r="F66" s="103">
        <v>0.625</v>
      </c>
      <c r="G66" s="103">
        <v>0.60416666666666663</v>
      </c>
      <c r="H66" s="103">
        <v>0.625</v>
      </c>
      <c r="I66" s="90">
        <f t="shared" si="2"/>
        <v>0.50000000000000089</v>
      </c>
      <c r="J66" s="90">
        <f t="shared" si="3"/>
        <v>0.50000000000000089</v>
      </c>
      <c r="K66" s="91">
        <f t="shared" si="4"/>
        <v>0.72916666666666674</v>
      </c>
      <c r="L66" s="91">
        <f t="shared" si="5"/>
        <v>3.333333333333333</v>
      </c>
      <c r="M66" s="29">
        <f t="shared" si="9"/>
        <v>12</v>
      </c>
      <c r="N66" s="92">
        <f t="shared" si="6"/>
        <v>0.50000000000000089</v>
      </c>
      <c r="O66" s="104">
        <f t="shared" si="7"/>
        <v>1.016</v>
      </c>
      <c r="P66" s="105">
        <f t="shared" si="8"/>
        <v>4.267200000000007</v>
      </c>
    </row>
    <row r="67" spans="2:16" x14ac:dyDescent="0.25">
      <c r="B67" s="88" t="s">
        <v>18</v>
      </c>
      <c r="C67" s="106">
        <f t="shared" si="1"/>
        <v>2019</v>
      </c>
      <c r="D67" s="101">
        <v>43626</v>
      </c>
      <c r="E67" s="102"/>
      <c r="F67" s="103"/>
      <c r="G67" s="103"/>
      <c r="H67" s="103"/>
      <c r="I67" s="90">
        <f t="shared" si="2"/>
        <v>0</v>
      </c>
      <c r="J67" s="90">
        <f t="shared" si="3"/>
        <v>0</v>
      </c>
      <c r="K67" s="91">
        <f t="shared" si="4"/>
        <v>0.72916666666666674</v>
      </c>
      <c r="L67" s="91">
        <f t="shared" si="5"/>
        <v>3.333333333333333</v>
      </c>
      <c r="M67" s="29">
        <f t="shared" si="9"/>
        <v>12</v>
      </c>
      <c r="N67" s="92">
        <f t="shared" si="6"/>
        <v>0</v>
      </c>
      <c r="O67" s="104">
        <f t="shared" si="7"/>
        <v>1.016</v>
      </c>
      <c r="P67" s="105">
        <f t="shared" si="8"/>
        <v>0</v>
      </c>
    </row>
    <row r="68" spans="2:16" x14ac:dyDescent="0.25">
      <c r="B68" s="88" t="s">
        <v>18</v>
      </c>
      <c r="C68" s="106">
        <f t="shared" si="1"/>
        <v>2019</v>
      </c>
      <c r="D68" s="101">
        <v>43627</v>
      </c>
      <c r="E68" s="102"/>
      <c r="F68" s="103"/>
      <c r="G68" s="103"/>
      <c r="H68" s="103"/>
      <c r="I68" s="90">
        <f t="shared" si="2"/>
        <v>0</v>
      </c>
      <c r="J68" s="90">
        <f t="shared" si="3"/>
        <v>0</v>
      </c>
      <c r="K68" s="91">
        <f t="shared" si="4"/>
        <v>0.72916666666666674</v>
      </c>
      <c r="L68" s="91">
        <f t="shared" si="5"/>
        <v>3.333333333333333</v>
      </c>
      <c r="M68" s="29">
        <f t="shared" si="9"/>
        <v>12</v>
      </c>
      <c r="N68" s="92">
        <f t="shared" si="6"/>
        <v>0</v>
      </c>
      <c r="O68" s="104">
        <f t="shared" si="7"/>
        <v>1.016</v>
      </c>
      <c r="P68" s="105">
        <f t="shared" si="8"/>
        <v>0</v>
      </c>
    </row>
    <row r="69" spans="2:16" x14ac:dyDescent="0.25">
      <c r="B69" s="88" t="s">
        <v>18</v>
      </c>
      <c r="C69" s="106">
        <f t="shared" si="1"/>
        <v>2019</v>
      </c>
      <c r="D69" s="101">
        <v>43628</v>
      </c>
      <c r="E69" s="102"/>
      <c r="F69" s="103"/>
      <c r="G69" s="103"/>
      <c r="H69" s="103"/>
      <c r="I69" s="90">
        <f t="shared" si="2"/>
        <v>0</v>
      </c>
      <c r="J69" s="90">
        <f t="shared" si="3"/>
        <v>0</v>
      </c>
      <c r="K69" s="91">
        <f t="shared" si="4"/>
        <v>0.72916666666666674</v>
      </c>
      <c r="L69" s="91">
        <f t="shared" si="5"/>
        <v>3.333333333333333</v>
      </c>
      <c r="M69" s="29">
        <f t="shared" si="9"/>
        <v>12</v>
      </c>
      <c r="N69" s="92">
        <f t="shared" si="6"/>
        <v>0</v>
      </c>
      <c r="O69" s="104">
        <f t="shared" si="7"/>
        <v>1.016</v>
      </c>
      <c r="P69" s="105">
        <f t="shared" si="8"/>
        <v>0</v>
      </c>
    </row>
    <row r="70" spans="2:16" x14ac:dyDescent="0.25">
      <c r="B70" s="88" t="s">
        <v>18</v>
      </c>
      <c r="C70" s="106">
        <f t="shared" si="1"/>
        <v>2019</v>
      </c>
      <c r="D70" s="101">
        <v>43629</v>
      </c>
      <c r="E70" s="102"/>
      <c r="F70" s="103"/>
      <c r="G70" s="103"/>
      <c r="H70" s="103"/>
      <c r="I70" s="90">
        <f t="shared" si="2"/>
        <v>0</v>
      </c>
      <c r="J70" s="90">
        <f t="shared" si="3"/>
        <v>0</v>
      </c>
      <c r="K70" s="91">
        <f t="shared" si="4"/>
        <v>0.72916666666666674</v>
      </c>
      <c r="L70" s="91">
        <f t="shared" si="5"/>
        <v>3.333333333333333</v>
      </c>
      <c r="M70" s="29">
        <f t="shared" si="9"/>
        <v>12</v>
      </c>
      <c r="N70" s="92">
        <f t="shared" si="6"/>
        <v>0</v>
      </c>
      <c r="O70" s="104">
        <f t="shared" si="7"/>
        <v>1.016</v>
      </c>
      <c r="P70" s="105">
        <f t="shared" si="8"/>
        <v>0</v>
      </c>
    </row>
    <row r="71" spans="2:16" x14ac:dyDescent="0.25">
      <c r="B71" s="88" t="s">
        <v>18</v>
      </c>
      <c r="C71" s="106">
        <f t="shared" si="1"/>
        <v>2019</v>
      </c>
      <c r="D71" s="101">
        <v>43630</v>
      </c>
      <c r="E71" s="102"/>
      <c r="F71" s="103"/>
      <c r="G71" s="103"/>
      <c r="H71" s="103"/>
      <c r="I71" s="90">
        <f t="shared" si="2"/>
        <v>0</v>
      </c>
      <c r="J71" s="90">
        <f t="shared" si="3"/>
        <v>0</v>
      </c>
      <c r="K71" s="91">
        <f t="shared" si="4"/>
        <v>0.72916666666666674</v>
      </c>
      <c r="L71" s="91">
        <f t="shared" si="5"/>
        <v>3.333333333333333</v>
      </c>
      <c r="M71" s="29">
        <f t="shared" si="9"/>
        <v>12</v>
      </c>
      <c r="N71" s="92">
        <f t="shared" si="6"/>
        <v>0</v>
      </c>
      <c r="O71" s="104">
        <f t="shared" si="7"/>
        <v>1.016</v>
      </c>
      <c r="P71" s="105">
        <f t="shared" si="8"/>
        <v>0</v>
      </c>
    </row>
    <row r="72" spans="2:16" x14ac:dyDescent="0.25">
      <c r="B72" s="88" t="s">
        <v>18</v>
      </c>
      <c r="C72" s="106">
        <f t="shared" si="1"/>
        <v>2019</v>
      </c>
      <c r="D72" s="101">
        <v>43631</v>
      </c>
      <c r="E72" s="102">
        <v>0.66666666666666663</v>
      </c>
      <c r="F72" s="103">
        <v>0.6875</v>
      </c>
      <c r="G72" s="103">
        <v>0.66666666666666663</v>
      </c>
      <c r="H72" s="103">
        <v>0.6875</v>
      </c>
      <c r="I72" s="90">
        <f t="shared" si="2"/>
        <v>0.50000000000000089</v>
      </c>
      <c r="J72" s="90">
        <f t="shared" si="3"/>
        <v>0.50000000000000089</v>
      </c>
      <c r="K72" s="91">
        <f t="shared" si="4"/>
        <v>0.72916666666666674</v>
      </c>
      <c r="L72" s="91">
        <f t="shared" si="5"/>
        <v>3.333333333333333</v>
      </c>
      <c r="M72" s="29">
        <f t="shared" si="9"/>
        <v>12</v>
      </c>
      <c r="N72" s="92">
        <f t="shared" si="6"/>
        <v>0.50000000000000089</v>
      </c>
      <c r="O72" s="104">
        <f t="shared" si="7"/>
        <v>1.016</v>
      </c>
      <c r="P72" s="105">
        <f t="shared" si="8"/>
        <v>4.267200000000007</v>
      </c>
    </row>
    <row r="73" spans="2:16" x14ac:dyDescent="0.25">
      <c r="B73" s="88" t="s">
        <v>18</v>
      </c>
      <c r="C73" s="106">
        <f t="shared" si="1"/>
        <v>2019</v>
      </c>
      <c r="D73" s="101">
        <v>43632</v>
      </c>
      <c r="E73" s="102"/>
      <c r="F73" s="103"/>
      <c r="G73" s="103"/>
      <c r="H73" s="103"/>
      <c r="I73" s="90">
        <f t="shared" si="2"/>
        <v>0</v>
      </c>
      <c r="J73" s="90">
        <f t="shared" si="3"/>
        <v>0</v>
      </c>
      <c r="K73" s="91">
        <f t="shared" si="4"/>
        <v>0.72916666666666674</v>
      </c>
      <c r="L73" s="91">
        <f t="shared" si="5"/>
        <v>3.333333333333333</v>
      </c>
      <c r="M73" s="29">
        <f t="shared" si="9"/>
        <v>12</v>
      </c>
      <c r="N73" s="92">
        <f t="shared" si="6"/>
        <v>0</v>
      </c>
      <c r="O73" s="104">
        <f t="shared" si="7"/>
        <v>1.016</v>
      </c>
      <c r="P73" s="105">
        <f t="shared" si="8"/>
        <v>0</v>
      </c>
    </row>
    <row r="74" spans="2:16" x14ac:dyDescent="0.25">
      <c r="B74" s="88" t="s">
        <v>18</v>
      </c>
      <c r="C74" s="106">
        <f t="shared" si="1"/>
        <v>2019</v>
      </c>
      <c r="D74" s="101">
        <v>43633</v>
      </c>
      <c r="E74" s="102"/>
      <c r="F74" s="103"/>
      <c r="G74" s="103"/>
      <c r="H74" s="103"/>
      <c r="I74" s="90">
        <f t="shared" si="2"/>
        <v>0</v>
      </c>
      <c r="J74" s="90">
        <f t="shared" si="3"/>
        <v>0</v>
      </c>
      <c r="K74" s="91">
        <f t="shared" si="4"/>
        <v>0.72916666666666674</v>
      </c>
      <c r="L74" s="91">
        <f t="shared" si="5"/>
        <v>3.333333333333333</v>
      </c>
      <c r="M74" s="29">
        <f t="shared" si="9"/>
        <v>12</v>
      </c>
      <c r="N74" s="92">
        <f t="shared" si="6"/>
        <v>0</v>
      </c>
      <c r="O74" s="104">
        <f t="shared" si="7"/>
        <v>1.016</v>
      </c>
      <c r="P74" s="105">
        <f t="shared" si="8"/>
        <v>0</v>
      </c>
    </row>
    <row r="75" spans="2:16" x14ac:dyDescent="0.25">
      <c r="B75" s="88" t="s">
        <v>18</v>
      </c>
      <c r="C75" s="106">
        <f t="shared" si="1"/>
        <v>2019</v>
      </c>
      <c r="D75" s="101">
        <v>43634</v>
      </c>
      <c r="E75" s="102"/>
      <c r="F75" s="103"/>
      <c r="G75" s="103"/>
      <c r="H75" s="103"/>
      <c r="I75" s="90">
        <f t="shared" si="2"/>
        <v>0</v>
      </c>
      <c r="J75" s="90">
        <f t="shared" si="3"/>
        <v>0</v>
      </c>
      <c r="K75" s="91">
        <f t="shared" si="4"/>
        <v>0.72916666666666674</v>
      </c>
      <c r="L75" s="91">
        <f t="shared" si="5"/>
        <v>3.333333333333333</v>
      </c>
      <c r="M75" s="29">
        <f t="shared" si="9"/>
        <v>12</v>
      </c>
      <c r="N75" s="92">
        <f t="shared" si="6"/>
        <v>0</v>
      </c>
      <c r="O75" s="104">
        <f t="shared" si="7"/>
        <v>1.016</v>
      </c>
      <c r="P75" s="105">
        <f t="shared" si="8"/>
        <v>0</v>
      </c>
    </row>
    <row r="76" spans="2:16" x14ac:dyDescent="0.25">
      <c r="B76" s="88" t="s">
        <v>18</v>
      </c>
      <c r="C76" s="106">
        <f t="shared" si="1"/>
        <v>2019</v>
      </c>
      <c r="D76" s="101">
        <v>43635</v>
      </c>
      <c r="E76" s="102"/>
      <c r="F76" s="103"/>
      <c r="G76" s="103"/>
      <c r="H76" s="103"/>
      <c r="I76" s="90">
        <f t="shared" si="2"/>
        <v>0</v>
      </c>
      <c r="J76" s="90">
        <f t="shared" si="3"/>
        <v>0</v>
      </c>
      <c r="K76" s="91">
        <f t="shared" si="4"/>
        <v>0.72916666666666674</v>
      </c>
      <c r="L76" s="91">
        <f t="shared" si="5"/>
        <v>3.333333333333333</v>
      </c>
      <c r="M76" s="29">
        <f t="shared" si="9"/>
        <v>12</v>
      </c>
      <c r="N76" s="92">
        <f t="shared" si="6"/>
        <v>0</v>
      </c>
      <c r="O76" s="104">
        <f t="shared" si="7"/>
        <v>1.016</v>
      </c>
      <c r="P76" s="105">
        <f t="shared" si="8"/>
        <v>0</v>
      </c>
    </row>
    <row r="77" spans="2:16" x14ac:dyDescent="0.25">
      <c r="B77" s="88" t="s">
        <v>18</v>
      </c>
      <c r="C77" s="106">
        <f t="shared" si="1"/>
        <v>2019</v>
      </c>
      <c r="D77" s="101">
        <v>43636</v>
      </c>
      <c r="E77" s="102"/>
      <c r="F77" s="103"/>
      <c r="G77" s="103"/>
      <c r="H77" s="103"/>
      <c r="I77" s="90">
        <f t="shared" si="2"/>
        <v>0</v>
      </c>
      <c r="J77" s="90">
        <f t="shared" si="3"/>
        <v>0</v>
      </c>
      <c r="K77" s="91">
        <f t="shared" si="4"/>
        <v>0.72916666666666674</v>
      </c>
      <c r="L77" s="91">
        <f t="shared" si="5"/>
        <v>3.333333333333333</v>
      </c>
      <c r="M77" s="29">
        <f t="shared" si="9"/>
        <v>12</v>
      </c>
      <c r="N77" s="92">
        <f t="shared" si="6"/>
        <v>0</v>
      </c>
      <c r="O77" s="104">
        <f t="shared" si="7"/>
        <v>1.016</v>
      </c>
      <c r="P77" s="105">
        <f t="shared" si="8"/>
        <v>0</v>
      </c>
    </row>
    <row r="78" spans="2:16" x14ac:dyDescent="0.25">
      <c r="B78" s="88" t="s">
        <v>18</v>
      </c>
      <c r="C78" s="106">
        <f t="shared" si="1"/>
        <v>2019</v>
      </c>
      <c r="D78" s="101">
        <v>43637</v>
      </c>
      <c r="E78" s="102">
        <v>0.45833333333333331</v>
      </c>
      <c r="F78" s="103">
        <v>0.47916666666666669</v>
      </c>
      <c r="G78" s="103">
        <v>0.45833333333333331</v>
      </c>
      <c r="H78" s="103">
        <v>0.47916666666666669</v>
      </c>
      <c r="I78" s="90">
        <f t="shared" si="2"/>
        <v>0.50000000000000089</v>
      </c>
      <c r="J78" s="90">
        <f t="shared" si="3"/>
        <v>0.50000000000000089</v>
      </c>
      <c r="K78" s="91">
        <f t="shared" si="4"/>
        <v>0.72916666666666674</v>
      </c>
      <c r="L78" s="91">
        <f t="shared" si="5"/>
        <v>3.333333333333333</v>
      </c>
      <c r="M78" s="29">
        <f t="shared" si="9"/>
        <v>12</v>
      </c>
      <c r="N78" s="92">
        <f t="shared" si="6"/>
        <v>0.50000000000000089</v>
      </c>
      <c r="O78" s="104">
        <f t="shared" si="7"/>
        <v>1.016</v>
      </c>
      <c r="P78" s="105">
        <f t="shared" si="8"/>
        <v>4.267200000000007</v>
      </c>
    </row>
    <row r="79" spans="2:16" x14ac:dyDescent="0.25">
      <c r="B79" s="88" t="s">
        <v>18</v>
      </c>
      <c r="C79" s="106">
        <f t="shared" si="1"/>
        <v>2019</v>
      </c>
      <c r="D79" s="101">
        <v>43638</v>
      </c>
      <c r="E79" s="102"/>
      <c r="F79" s="103"/>
      <c r="G79" s="103"/>
      <c r="H79" s="103"/>
      <c r="I79" s="90">
        <f t="shared" si="2"/>
        <v>0</v>
      </c>
      <c r="J79" s="90">
        <f t="shared" si="3"/>
        <v>0</v>
      </c>
      <c r="K79" s="91">
        <f t="shared" si="4"/>
        <v>0.72916666666666674</v>
      </c>
      <c r="L79" s="91">
        <f t="shared" si="5"/>
        <v>3.333333333333333</v>
      </c>
      <c r="M79" s="29">
        <f t="shared" si="9"/>
        <v>12</v>
      </c>
      <c r="N79" s="92">
        <f t="shared" si="6"/>
        <v>0</v>
      </c>
      <c r="O79" s="104">
        <f t="shared" si="7"/>
        <v>1.016</v>
      </c>
      <c r="P79" s="105">
        <f t="shared" si="8"/>
        <v>0</v>
      </c>
    </row>
    <row r="80" spans="2:16" x14ac:dyDescent="0.25">
      <c r="B80" s="88" t="s">
        <v>18</v>
      </c>
      <c r="C80" s="106">
        <f t="shared" si="1"/>
        <v>2019</v>
      </c>
      <c r="D80" s="101">
        <v>43639</v>
      </c>
      <c r="E80" s="102"/>
      <c r="F80" s="103"/>
      <c r="G80" s="103"/>
      <c r="H80" s="103"/>
      <c r="I80" s="90">
        <f t="shared" si="2"/>
        <v>0</v>
      </c>
      <c r="J80" s="90">
        <f t="shared" si="3"/>
        <v>0</v>
      </c>
      <c r="K80" s="91">
        <f t="shared" si="4"/>
        <v>0.72916666666666674</v>
      </c>
      <c r="L80" s="91">
        <f t="shared" si="5"/>
        <v>3.333333333333333</v>
      </c>
      <c r="M80" s="29">
        <f t="shared" si="9"/>
        <v>12</v>
      </c>
      <c r="N80" s="92">
        <f t="shared" si="6"/>
        <v>0</v>
      </c>
      <c r="O80" s="104">
        <f t="shared" si="7"/>
        <v>1.016</v>
      </c>
      <c r="P80" s="105">
        <f t="shared" si="8"/>
        <v>0</v>
      </c>
    </row>
    <row r="81" spans="2:16" x14ac:dyDescent="0.25">
      <c r="B81" s="88" t="s">
        <v>18</v>
      </c>
      <c r="C81" s="106">
        <f t="shared" si="1"/>
        <v>2019</v>
      </c>
      <c r="D81" s="101">
        <v>43640</v>
      </c>
      <c r="E81" s="102"/>
      <c r="F81" s="103"/>
      <c r="G81" s="103"/>
      <c r="H81" s="103"/>
      <c r="I81" s="90">
        <f t="shared" si="2"/>
        <v>0</v>
      </c>
      <c r="J81" s="90">
        <f t="shared" si="3"/>
        <v>0</v>
      </c>
      <c r="K81" s="91">
        <f t="shared" si="4"/>
        <v>0.72916666666666674</v>
      </c>
      <c r="L81" s="91">
        <f t="shared" si="5"/>
        <v>3.333333333333333</v>
      </c>
      <c r="M81" s="29">
        <f t="shared" si="9"/>
        <v>12</v>
      </c>
      <c r="N81" s="92">
        <f t="shared" si="6"/>
        <v>0</v>
      </c>
      <c r="O81" s="104">
        <f t="shared" si="7"/>
        <v>1.016</v>
      </c>
      <c r="P81" s="105">
        <f t="shared" si="8"/>
        <v>0</v>
      </c>
    </row>
    <row r="82" spans="2:16" x14ac:dyDescent="0.25">
      <c r="B82" s="88" t="s">
        <v>18</v>
      </c>
      <c r="C82" s="106">
        <f t="shared" si="1"/>
        <v>2019</v>
      </c>
      <c r="D82" s="101">
        <v>43641</v>
      </c>
      <c r="E82" s="102"/>
      <c r="F82" s="103"/>
      <c r="G82" s="103"/>
      <c r="H82" s="103"/>
      <c r="I82" s="90">
        <f t="shared" si="2"/>
        <v>0</v>
      </c>
      <c r="J82" s="90">
        <f t="shared" si="3"/>
        <v>0</v>
      </c>
      <c r="K82" s="91">
        <f t="shared" si="4"/>
        <v>0.72916666666666674</v>
      </c>
      <c r="L82" s="91">
        <f t="shared" si="5"/>
        <v>3.333333333333333</v>
      </c>
      <c r="M82" s="29">
        <f t="shared" si="9"/>
        <v>12</v>
      </c>
      <c r="N82" s="92">
        <f t="shared" si="6"/>
        <v>0</v>
      </c>
      <c r="O82" s="104">
        <f t="shared" si="7"/>
        <v>1.016</v>
      </c>
      <c r="P82" s="105">
        <f t="shared" si="8"/>
        <v>0</v>
      </c>
    </row>
    <row r="83" spans="2:16" x14ac:dyDescent="0.25">
      <c r="B83" s="88" t="s">
        <v>18</v>
      </c>
      <c r="C83" s="106">
        <f t="shared" si="1"/>
        <v>2019</v>
      </c>
      <c r="D83" s="101">
        <v>43642</v>
      </c>
      <c r="E83" s="102">
        <v>0.70833333333333337</v>
      </c>
      <c r="F83" s="103">
        <v>0.72916666666666663</v>
      </c>
      <c r="G83" s="103">
        <v>0.70833333333333337</v>
      </c>
      <c r="H83" s="103">
        <v>0.72916666666666663</v>
      </c>
      <c r="I83" s="90">
        <f t="shared" si="2"/>
        <v>0.49999999999999822</v>
      </c>
      <c r="J83" s="90">
        <f t="shared" si="3"/>
        <v>0.49999999999999822</v>
      </c>
      <c r="K83" s="91">
        <f t="shared" si="4"/>
        <v>0.72916666666666674</v>
      </c>
      <c r="L83" s="91">
        <f t="shared" si="5"/>
        <v>3.333333333333333</v>
      </c>
      <c r="M83" s="29">
        <f t="shared" si="9"/>
        <v>12</v>
      </c>
      <c r="N83" s="92">
        <f t="shared" si="6"/>
        <v>0.49999999999999822</v>
      </c>
      <c r="O83" s="104">
        <f t="shared" si="7"/>
        <v>1.016</v>
      </c>
      <c r="P83" s="105">
        <f t="shared" si="8"/>
        <v>4.2671999999999848</v>
      </c>
    </row>
    <row r="84" spans="2:16" x14ac:dyDescent="0.25">
      <c r="B84" s="88" t="s">
        <v>18</v>
      </c>
      <c r="C84" s="106">
        <f t="shared" si="1"/>
        <v>2019</v>
      </c>
      <c r="D84" s="101">
        <v>43643</v>
      </c>
      <c r="E84" s="102"/>
      <c r="F84" s="103"/>
      <c r="G84" s="103"/>
      <c r="H84" s="103"/>
      <c r="I84" s="90">
        <f t="shared" si="2"/>
        <v>0</v>
      </c>
      <c r="J84" s="90">
        <f t="shared" si="3"/>
        <v>0</v>
      </c>
      <c r="K84" s="91">
        <f t="shared" si="4"/>
        <v>0.72916666666666674</v>
      </c>
      <c r="L84" s="91">
        <f t="shared" si="5"/>
        <v>3.333333333333333</v>
      </c>
      <c r="M84" s="29">
        <f t="shared" si="9"/>
        <v>12</v>
      </c>
      <c r="N84" s="92">
        <f t="shared" si="6"/>
        <v>0</v>
      </c>
      <c r="O84" s="104">
        <f t="shared" si="7"/>
        <v>1.016</v>
      </c>
      <c r="P84" s="105">
        <f t="shared" si="8"/>
        <v>0</v>
      </c>
    </row>
    <row r="85" spans="2:16" x14ac:dyDescent="0.25">
      <c r="B85" s="88" t="s">
        <v>18</v>
      </c>
      <c r="C85" s="106">
        <f t="shared" si="1"/>
        <v>2019</v>
      </c>
      <c r="D85" s="101">
        <v>43644</v>
      </c>
      <c r="E85" s="102"/>
      <c r="F85" s="103"/>
      <c r="G85" s="103"/>
      <c r="H85" s="103"/>
      <c r="I85" s="90">
        <f t="shared" si="2"/>
        <v>0</v>
      </c>
      <c r="J85" s="90">
        <f t="shared" si="3"/>
        <v>0</v>
      </c>
      <c r="K85" s="91">
        <f t="shared" si="4"/>
        <v>0.72916666666666674</v>
      </c>
      <c r="L85" s="91">
        <f t="shared" si="5"/>
        <v>3.333333333333333</v>
      </c>
      <c r="M85" s="29">
        <f t="shared" si="9"/>
        <v>12</v>
      </c>
      <c r="N85" s="92">
        <f t="shared" si="6"/>
        <v>0</v>
      </c>
      <c r="O85" s="104">
        <f t="shared" si="7"/>
        <v>1.016</v>
      </c>
      <c r="P85" s="105">
        <f t="shared" si="8"/>
        <v>0</v>
      </c>
    </row>
    <row r="86" spans="2:16" x14ac:dyDescent="0.25">
      <c r="B86" s="88" t="s">
        <v>18</v>
      </c>
      <c r="C86" s="106">
        <f t="shared" si="1"/>
        <v>2019</v>
      </c>
      <c r="D86" s="101">
        <v>43645</v>
      </c>
      <c r="E86" s="102"/>
      <c r="F86" s="103"/>
      <c r="G86" s="103"/>
      <c r="H86" s="103"/>
      <c r="I86" s="90">
        <f t="shared" si="2"/>
        <v>0</v>
      </c>
      <c r="J86" s="90">
        <f t="shared" si="3"/>
        <v>0</v>
      </c>
      <c r="K86" s="91">
        <f t="shared" si="4"/>
        <v>0.72916666666666674</v>
      </c>
      <c r="L86" s="91">
        <f t="shared" si="5"/>
        <v>3.333333333333333</v>
      </c>
      <c r="M86" s="29">
        <f t="shared" si="9"/>
        <v>12</v>
      </c>
      <c r="N86" s="92">
        <f t="shared" si="6"/>
        <v>0</v>
      </c>
      <c r="O86" s="104">
        <f t="shared" si="7"/>
        <v>1.016</v>
      </c>
      <c r="P86" s="105">
        <f t="shared" si="8"/>
        <v>0</v>
      </c>
    </row>
    <row r="87" spans="2:16" x14ac:dyDescent="0.25">
      <c r="B87" s="88" t="s">
        <v>18</v>
      </c>
      <c r="C87" s="106">
        <f t="shared" si="1"/>
        <v>2019</v>
      </c>
      <c r="D87" s="101">
        <v>43646</v>
      </c>
      <c r="E87" s="102"/>
      <c r="F87" s="103"/>
      <c r="G87" s="103"/>
      <c r="H87" s="103"/>
      <c r="I87" s="90">
        <f t="shared" si="2"/>
        <v>0</v>
      </c>
      <c r="J87" s="90">
        <f t="shared" si="3"/>
        <v>0</v>
      </c>
      <c r="K87" s="91">
        <f t="shared" si="4"/>
        <v>0.72916666666666674</v>
      </c>
      <c r="L87" s="91">
        <f t="shared" si="5"/>
        <v>3.333333333333333</v>
      </c>
      <c r="M87" s="29">
        <f t="shared" si="9"/>
        <v>12</v>
      </c>
      <c r="N87" s="92">
        <f t="shared" si="6"/>
        <v>0</v>
      </c>
      <c r="O87" s="104">
        <f t="shared" si="7"/>
        <v>1.016</v>
      </c>
      <c r="P87" s="105">
        <f t="shared" si="8"/>
        <v>0</v>
      </c>
    </row>
    <row r="88" spans="2:16" x14ac:dyDescent="0.25">
      <c r="B88" s="88" t="s">
        <v>18</v>
      </c>
      <c r="C88" s="106">
        <f t="shared" si="1"/>
        <v>2019</v>
      </c>
      <c r="D88" s="101">
        <v>43647</v>
      </c>
      <c r="E88" s="102"/>
      <c r="F88" s="103"/>
      <c r="G88" s="103"/>
      <c r="H88" s="103"/>
      <c r="I88" s="90">
        <f t="shared" si="2"/>
        <v>0</v>
      </c>
      <c r="J88" s="90">
        <f t="shared" si="3"/>
        <v>0</v>
      </c>
      <c r="K88" s="91">
        <f t="shared" si="4"/>
        <v>0.72916666666666674</v>
      </c>
      <c r="L88" s="91">
        <f t="shared" si="5"/>
        <v>3.333333333333333</v>
      </c>
      <c r="M88" s="29">
        <f t="shared" si="9"/>
        <v>12</v>
      </c>
      <c r="N88" s="92">
        <f t="shared" si="6"/>
        <v>0</v>
      </c>
      <c r="O88" s="104">
        <f t="shared" si="7"/>
        <v>1.016</v>
      </c>
      <c r="P88" s="105">
        <f t="shared" si="8"/>
        <v>0</v>
      </c>
    </row>
    <row r="89" spans="2:16" x14ac:dyDescent="0.25">
      <c r="B89" s="88" t="s">
        <v>18</v>
      </c>
      <c r="C89" s="106">
        <f t="shared" si="1"/>
        <v>2019</v>
      </c>
      <c r="D89" s="101">
        <v>43648</v>
      </c>
      <c r="E89" s="102"/>
      <c r="F89" s="103"/>
      <c r="G89" s="103"/>
      <c r="H89" s="103"/>
      <c r="I89" s="90">
        <f t="shared" si="2"/>
        <v>0</v>
      </c>
      <c r="J89" s="90">
        <f t="shared" si="3"/>
        <v>0</v>
      </c>
      <c r="K89" s="91">
        <f t="shared" si="4"/>
        <v>0.72916666666666674</v>
      </c>
      <c r="L89" s="91">
        <f t="shared" si="5"/>
        <v>3.333333333333333</v>
      </c>
      <c r="M89" s="29">
        <f t="shared" si="9"/>
        <v>12</v>
      </c>
      <c r="N89" s="92">
        <f t="shared" si="6"/>
        <v>0</v>
      </c>
      <c r="O89" s="104">
        <f t="shared" si="7"/>
        <v>1.016</v>
      </c>
      <c r="P89" s="105">
        <f t="shared" si="8"/>
        <v>0</v>
      </c>
    </row>
    <row r="90" spans="2:16" x14ac:dyDescent="0.25">
      <c r="B90" s="88" t="s">
        <v>18</v>
      </c>
      <c r="C90" s="106">
        <f t="shared" si="1"/>
        <v>2019</v>
      </c>
      <c r="D90" s="101">
        <v>43649</v>
      </c>
      <c r="E90" s="102">
        <v>0.4375</v>
      </c>
      <c r="F90" s="103">
        <v>0.45833333333333331</v>
      </c>
      <c r="G90" s="103">
        <v>0.4375</v>
      </c>
      <c r="H90" s="103">
        <v>0.45833333333333331</v>
      </c>
      <c r="I90" s="90">
        <f t="shared" si="2"/>
        <v>0.49999999999999956</v>
      </c>
      <c r="J90" s="90">
        <f t="shared" si="3"/>
        <v>0.49999999999999956</v>
      </c>
      <c r="K90" s="91">
        <f t="shared" si="4"/>
        <v>0.72916666666666674</v>
      </c>
      <c r="L90" s="91">
        <f t="shared" si="5"/>
        <v>3.333333333333333</v>
      </c>
      <c r="M90" s="29">
        <f t="shared" si="9"/>
        <v>12</v>
      </c>
      <c r="N90" s="92">
        <f t="shared" si="6"/>
        <v>0.49999999999999956</v>
      </c>
      <c r="O90" s="104">
        <f t="shared" si="7"/>
        <v>1.016</v>
      </c>
      <c r="P90" s="105">
        <f t="shared" si="8"/>
        <v>4.2671999999999963</v>
      </c>
    </row>
    <row r="91" spans="2:16" x14ac:dyDescent="0.25">
      <c r="B91" s="88" t="s">
        <v>18</v>
      </c>
      <c r="C91" s="106">
        <f t="shared" ref="C91:C154" si="10">YEAR(D91)</f>
        <v>2019</v>
      </c>
      <c r="D91" s="101">
        <v>43650</v>
      </c>
      <c r="E91" s="102"/>
      <c r="F91" s="103"/>
      <c r="G91" s="103"/>
      <c r="H91" s="103"/>
      <c r="I91" s="90">
        <f t="shared" ref="I91:I154" si="11">((F91-E91)-INT($D$20))*24</f>
        <v>0</v>
      </c>
      <c r="J91" s="90">
        <f t="shared" ref="J91:J154" si="12">((H91-G91)-INT($D$20))*24</f>
        <v>0</v>
      </c>
      <c r="K91" s="91">
        <f t="shared" ref="K91:K154" si="13">VLOOKUP(B91,$B$5:$J$17,5,FALSE)</f>
        <v>0.72916666666666674</v>
      </c>
      <c r="L91" s="91">
        <f t="shared" ref="L91:L154" si="14">VLOOKUP(B91,$B$5:$J$17,6,FALSE)</f>
        <v>3.333333333333333</v>
      </c>
      <c r="M91" s="29">
        <f t="shared" si="9"/>
        <v>12</v>
      </c>
      <c r="N91" s="92">
        <f t="shared" ref="N91:N154" si="15">I91</f>
        <v>0</v>
      </c>
      <c r="O91" s="104">
        <f t="shared" ref="O91:O154" si="16">$D$21/1000</f>
        <v>1.016</v>
      </c>
      <c r="P91" s="105">
        <f t="shared" ref="P91:P154" si="17">M91*N91*O91*0.7</f>
        <v>0</v>
      </c>
    </row>
    <row r="92" spans="2:16" x14ac:dyDescent="0.25">
      <c r="B92" s="88" t="s">
        <v>18</v>
      </c>
      <c r="C92" s="106">
        <f>YEAR(D92)</f>
        <v>2019</v>
      </c>
      <c r="D92" s="101">
        <v>43651</v>
      </c>
      <c r="E92" s="102"/>
      <c r="F92" s="103"/>
      <c r="G92" s="103"/>
      <c r="H92" s="103"/>
      <c r="I92" s="90">
        <f t="shared" si="11"/>
        <v>0</v>
      </c>
      <c r="J92" s="90">
        <f t="shared" si="12"/>
        <v>0</v>
      </c>
      <c r="K92" s="91">
        <f t="shared" si="13"/>
        <v>0.72916666666666674</v>
      </c>
      <c r="L92" s="91">
        <f t="shared" si="14"/>
        <v>3.333333333333333</v>
      </c>
      <c r="M92" s="29">
        <f t="shared" ref="M92:M155" si="18">VLOOKUP(B92,$I$5:$J$17,2,FALSE)</f>
        <v>12</v>
      </c>
      <c r="N92" s="92">
        <f t="shared" si="15"/>
        <v>0</v>
      </c>
      <c r="O92" s="104">
        <f t="shared" si="16"/>
        <v>1.016</v>
      </c>
      <c r="P92" s="105">
        <f t="shared" si="17"/>
        <v>0</v>
      </c>
    </row>
    <row r="93" spans="2:16" x14ac:dyDescent="0.25">
      <c r="B93" s="88" t="s">
        <v>18</v>
      </c>
      <c r="C93" s="106">
        <f t="shared" ref="C93:C117" si="19">YEAR(D93)</f>
        <v>2019</v>
      </c>
      <c r="D93" s="101">
        <v>43652</v>
      </c>
      <c r="E93" s="102">
        <v>0.5625</v>
      </c>
      <c r="F93" s="103">
        <v>0.58333333333333337</v>
      </c>
      <c r="G93" s="103">
        <v>0.5625</v>
      </c>
      <c r="H93" s="103">
        <v>0.58333333333333337</v>
      </c>
      <c r="I93" s="90">
        <f t="shared" si="11"/>
        <v>0.50000000000000089</v>
      </c>
      <c r="J93" s="90">
        <f t="shared" si="12"/>
        <v>0.50000000000000089</v>
      </c>
      <c r="K93" s="91">
        <f t="shared" si="13"/>
        <v>0.72916666666666674</v>
      </c>
      <c r="L93" s="91">
        <f t="shared" si="14"/>
        <v>3.333333333333333</v>
      </c>
      <c r="M93" s="29">
        <f t="shared" si="18"/>
        <v>12</v>
      </c>
      <c r="N93" s="92">
        <f t="shared" si="15"/>
        <v>0.50000000000000089</v>
      </c>
      <c r="O93" s="104">
        <f t="shared" si="16"/>
        <v>1.016</v>
      </c>
      <c r="P93" s="105">
        <f t="shared" si="17"/>
        <v>4.267200000000007</v>
      </c>
    </row>
    <row r="94" spans="2:16" x14ac:dyDescent="0.25">
      <c r="B94" s="88" t="s">
        <v>18</v>
      </c>
      <c r="C94" s="106">
        <f t="shared" si="19"/>
        <v>2019</v>
      </c>
      <c r="D94" s="101">
        <v>43653</v>
      </c>
      <c r="E94" s="102"/>
      <c r="F94" s="103"/>
      <c r="G94" s="103"/>
      <c r="H94" s="103"/>
      <c r="I94" s="90">
        <f t="shared" si="11"/>
        <v>0</v>
      </c>
      <c r="J94" s="90">
        <f t="shared" si="12"/>
        <v>0</v>
      </c>
      <c r="K94" s="91">
        <f t="shared" si="13"/>
        <v>0.72916666666666674</v>
      </c>
      <c r="L94" s="91">
        <f t="shared" si="14"/>
        <v>3.333333333333333</v>
      </c>
      <c r="M94" s="29">
        <f t="shared" si="18"/>
        <v>12</v>
      </c>
      <c r="N94" s="92">
        <f t="shared" si="15"/>
        <v>0</v>
      </c>
      <c r="O94" s="104">
        <f t="shared" si="16"/>
        <v>1.016</v>
      </c>
      <c r="P94" s="105">
        <f t="shared" si="17"/>
        <v>0</v>
      </c>
    </row>
    <row r="95" spans="2:16" x14ac:dyDescent="0.25">
      <c r="B95" s="88" t="s">
        <v>18</v>
      </c>
      <c r="C95" s="106">
        <f t="shared" si="19"/>
        <v>2019</v>
      </c>
      <c r="D95" s="101">
        <v>43654</v>
      </c>
      <c r="E95" s="102"/>
      <c r="F95" s="103"/>
      <c r="G95" s="103"/>
      <c r="H95" s="103"/>
      <c r="I95" s="90">
        <f t="shared" si="11"/>
        <v>0</v>
      </c>
      <c r="J95" s="90">
        <f t="shared" si="12"/>
        <v>0</v>
      </c>
      <c r="K95" s="91">
        <f t="shared" si="13"/>
        <v>0.72916666666666674</v>
      </c>
      <c r="L95" s="91">
        <f t="shared" si="14"/>
        <v>3.333333333333333</v>
      </c>
      <c r="M95" s="29">
        <f t="shared" si="18"/>
        <v>12</v>
      </c>
      <c r="N95" s="92">
        <f t="shared" si="15"/>
        <v>0</v>
      </c>
      <c r="O95" s="104">
        <f t="shared" si="16"/>
        <v>1.016</v>
      </c>
      <c r="P95" s="105">
        <f t="shared" si="17"/>
        <v>0</v>
      </c>
    </row>
    <row r="96" spans="2:16" x14ac:dyDescent="0.25">
      <c r="B96" s="88" t="s">
        <v>18</v>
      </c>
      <c r="C96" s="106">
        <f t="shared" si="19"/>
        <v>2019</v>
      </c>
      <c r="D96" s="101">
        <v>43655</v>
      </c>
      <c r="E96" s="102"/>
      <c r="F96" s="103"/>
      <c r="G96" s="103"/>
      <c r="H96" s="103"/>
      <c r="I96" s="90">
        <f t="shared" si="11"/>
        <v>0</v>
      </c>
      <c r="J96" s="90">
        <f t="shared" si="12"/>
        <v>0</v>
      </c>
      <c r="K96" s="91">
        <f t="shared" si="13"/>
        <v>0.72916666666666674</v>
      </c>
      <c r="L96" s="91">
        <f t="shared" si="14"/>
        <v>3.333333333333333</v>
      </c>
      <c r="M96" s="29">
        <f t="shared" si="18"/>
        <v>12</v>
      </c>
      <c r="N96" s="92">
        <f t="shared" si="15"/>
        <v>0</v>
      </c>
      <c r="O96" s="104">
        <f t="shared" si="16"/>
        <v>1.016</v>
      </c>
      <c r="P96" s="105">
        <f t="shared" si="17"/>
        <v>0</v>
      </c>
    </row>
    <row r="97" spans="2:16" x14ac:dyDescent="0.25">
      <c r="B97" s="88" t="s">
        <v>18</v>
      </c>
      <c r="C97" s="106">
        <f t="shared" si="19"/>
        <v>2019</v>
      </c>
      <c r="D97" s="101">
        <v>43656</v>
      </c>
      <c r="E97" s="102"/>
      <c r="F97" s="103"/>
      <c r="G97" s="103"/>
      <c r="H97" s="103"/>
      <c r="I97" s="90">
        <f t="shared" si="11"/>
        <v>0</v>
      </c>
      <c r="J97" s="90">
        <f t="shared" si="12"/>
        <v>0</v>
      </c>
      <c r="K97" s="91">
        <f t="shared" si="13"/>
        <v>0.72916666666666674</v>
      </c>
      <c r="L97" s="91">
        <f t="shared" si="14"/>
        <v>3.333333333333333</v>
      </c>
      <c r="M97" s="29">
        <f t="shared" si="18"/>
        <v>12</v>
      </c>
      <c r="N97" s="92">
        <f t="shared" si="15"/>
        <v>0</v>
      </c>
      <c r="O97" s="104">
        <f t="shared" si="16"/>
        <v>1.016</v>
      </c>
      <c r="P97" s="105">
        <f t="shared" si="17"/>
        <v>0</v>
      </c>
    </row>
    <row r="98" spans="2:16" x14ac:dyDescent="0.25">
      <c r="B98" s="88" t="s">
        <v>18</v>
      </c>
      <c r="C98" s="106">
        <f t="shared" si="19"/>
        <v>2019</v>
      </c>
      <c r="D98" s="101">
        <v>43657</v>
      </c>
      <c r="E98" s="102"/>
      <c r="F98" s="103"/>
      <c r="G98" s="103"/>
      <c r="H98" s="103"/>
      <c r="I98" s="90">
        <f t="shared" si="11"/>
        <v>0</v>
      </c>
      <c r="J98" s="90">
        <f t="shared" si="12"/>
        <v>0</v>
      </c>
      <c r="K98" s="91">
        <f t="shared" si="13"/>
        <v>0.72916666666666674</v>
      </c>
      <c r="L98" s="91">
        <f t="shared" si="14"/>
        <v>3.333333333333333</v>
      </c>
      <c r="M98" s="29">
        <f t="shared" si="18"/>
        <v>12</v>
      </c>
      <c r="N98" s="92">
        <f t="shared" si="15"/>
        <v>0</v>
      </c>
      <c r="O98" s="104">
        <f t="shared" si="16"/>
        <v>1.016</v>
      </c>
      <c r="P98" s="105">
        <f t="shared" si="17"/>
        <v>0</v>
      </c>
    </row>
    <row r="99" spans="2:16" x14ac:dyDescent="0.25">
      <c r="B99" s="88" t="s">
        <v>18</v>
      </c>
      <c r="C99" s="106">
        <f t="shared" si="19"/>
        <v>2019</v>
      </c>
      <c r="D99" s="101">
        <v>43658</v>
      </c>
      <c r="E99" s="102"/>
      <c r="F99" s="103"/>
      <c r="G99" s="103"/>
      <c r="H99" s="103"/>
      <c r="I99" s="90">
        <f t="shared" si="11"/>
        <v>0</v>
      </c>
      <c r="J99" s="90">
        <f t="shared" si="12"/>
        <v>0</v>
      </c>
      <c r="K99" s="91">
        <f t="shared" si="13"/>
        <v>0.72916666666666674</v>
      </c>
      <c r="L99" s="91">
        <f t="shared" si="14"/>
        <v>3.333333333333333</v>
      </c>
      <c r="M99" s="29">
        <f t="shared" si="18"/>
        <v>12</v>
      </c>
      <c r="N99" s="92">
        <f t="shared" si="15"/>
        <v>0</v>
      </c>
      <c r="O99" s="104">
        <f t="shared" si="16"/>
        <v>1.016</v>
      </c>
      <c r="P99" s="105">
        <f t="shared" si="17"/>
        <v>0</v>
      </c>
    </row>
    <row r="100" spans="2:16" x14ac:dyDescent="0.25">
      <c r="B100" s="88" t="s">
        <v>18</v>
      </c>
      <c r="C100" s="106">
        <f t="shared" si="19"/>
        <v>2019</v>
      </c>
      <c r="D100" s="101">
        <v>43659</v>
      </c>
      <c r="E100" s="102">
        <v>0.60416666666666663</v>
      </c>
      <c r="F100" s="103">
        <v>0.625</v>
      </c>
      <c r="G100" s="103">
        <v>0.60416666666666663</v>
      </c>
      <c r="H100" s="103">
        <v>0.625</v>
      </c>
      <c r="I100" s="90">
        <f t="shared" si="11"/>
        <v>0.50000000000000089</v>
      </c>
      <c r="J100" s="90">
        <f t="shared" si="12"/>
        <v>0.50000000000000089</v>
      </c>
      <c r="K100" s="91">
        <f t="shared" si="13"/>
        <v>0.72916666666666674</v>
      </c>
      <c r="L100" s="91">
        <f t="shared" si="14"/>
        <v>3.333333333333333</v>
      </c>
      <c r="M100" s="29">
        <f t="shared" si="18"/>
        <v>12</v>
      </c>
      <c r="N100" s="92">
        <f t="shared" si="15"/>
        <v>0.50000000000000089</v>
      </c>
      <c r="O100" s="104">
        <f t="shared" si="16"/>
        <v>1.016</v>
      </c>
      <c r="P100" s="105">
        <f t="shared" si="17"/>
        <v>4.267200000000007</v>
      </c>
    </row>
    <row r="101" spans="2:16" x14ac:dyDescent="0.25">
      <c r="B101" s="88" t="s">
        <v>18</v>
      </c>
      <c r="C101" s="106">
        <f t="shared" si="19"/>
        <v>2019</v>
      </c>
      <c r="D101" s="101">
        <v>43660</v>
      </c>
      <c r="E101" s="102"/>
      <c r="F101" s="103"/>
      <c r="G101" s="103"/>
      <c r="H101" s="103"/>
      <c r="I101" s="90">
        <f t="shared" si="11"/>
        <v>0</v>
      </c>
      <c r="J101" s="90">
        <f t="shared" si="12"/>
        <v>0</v>
      </c>
      <c r="K101" s="91">
        <f t="shared" si="13"/>
        <v>0.72916666666666674</v>
      </c>
      <c r="L101" s="91">
        <f t="shared" si="14"/>
        <v>3.333333333333333</v>
      </c>
      <c r="M101" s="29">
        <f t="shared" si="18"/>
        <v>12</v>
      </c>
      <c r="N101" s="92">
        <f t="shared" si="15"/>
        <v>0</v>
      </c>
      <c r="O101" s="104">
        <f t="shared" si="16"/>
        <v>1.016</v>
      </c>
      <c r="P101" s="105">
        <f t="shared" si="17"/>
        <v>0</v>
      </c>
    </row>
    <row r="102" spans="2:16" x14ac:dyDescent="0.25">
      <c r="B102" s="88" t="s">
        <v>18</v>
      </c>
      <c r="C102" s="106">
        <f t="shared" si="19"/>
        <v>2019</v>
      </c>
      <c r="D102" s="101">
        <v>43661</v>
      </c>
      <c r="E102" s="102"/>
      <c r="F102" s="103"/>
      <c r="G102" s="103"/>
      <c r="H102" s="103"/>
      <c r="I102" s="90">
        <f t="shared" si="11"/>
        <v>0</v>
      </c>
      <c r="J102" s="90">
        <f t="shared" si="12"/>
        <v>0</v>
      </c>
      <c r="K102" s="91">
        <f t="shared" si="13"/>
        <v>0.72916666666666674</v>
      </c>
      <c r="L102" s="91">
        <f t="shared" si="14"/>
        <v>3.333333333333333</v>
      </c>
      <c r="M102" s="29">
        <f t="shared" si="18"/>
        <v>12</v>
      </c>
      <c r="N102" s="92">
        <f t="shared" si="15"/>
        <v>0</v>
      </c>
      <c r="O102" s="104">
        <f t="shared" si="16"/>
        <v>1.016</v>
      </c>
      <c r="P102" s="105">
        <f t="shared" si="17"/>
        <v>0</v>
      </c>
    </row>
    <row r="103" spans="2:16" x14ac:dyDescent="0.25">
      <c r="B103" s="88" t="s">
        <v>18</v>
      </c>
      <c r="C103" s="106">
        <f t="shared" si="19"/>
        <v>2019</v>
      </c>
      <c r="D103" s="101">
        <v>43662</v>
      </c>
      <c r="E103" s="102"/>
      <c r="F103" s="103"/>
      <c r="G103" s="103"/>
      <c r="H103" s="103"/>
      <c r="I103" s="90">
        <f t="shared" si="11"/>
        <v>0</v>
      </c>
      <c r="J103" s="90">
        <f t="shared" si="12"/>
        <v>0</v>
      </c>
      <c r="K103" s="91">
        <f t="shared" si="13"/>
        <v>0.72916666666666674</v>
      </c>
      <c r="L103" s="91">
        <f t="shared" si="14"/>
        <v>3.333333333333333</v>
      </c>
      <c r="M103" s="29">
        <f t="shared" si="18"/>
        <v>12</v>
      </c>
      <c r="N103" s="92">
        <f t="shared" si="15"/>
        <v>0</v>
      </c>
      <c r="O103" s="104">
        <f t="shared" si="16"/>
        <v>1.016</v>
      </c>
      <c r="P103" s="105">
        <f t="shared" si="17"/>
        <v>0</v>
      </c>
    </row>
    <row r="104" spans="2:16" x14ac:dyDescent="0.25">
      <c r="B104" s="88" t="s">
        <v>18</v>
      </c>
      <c r="C104" s="106">
        <f t="shared" si="19"/>
        <v>2019</v>
      </c>
      <c r="D104" s="101">
        <v>43663</v>
      </c>
      <c r="E104" s="102">
        <v>0.4375</v>
      </c>
      <c r="F104" s="103">
        <v>0.45833333333333331</v>
      </c>
      <c r="G104" s="103">
        <v>0.4375</v>
      </c>
      <c r="H104" s="103">
        <v>0.45833333333333331</v>
      </c>
      <c r="I104" s="90">
        <f t="shared" si="11"/>
        <v>0.49999999999999956</v>
      </c>
      <c r="J104" s="90">
        <f t="shared" si="12"/>
        <v>0.49999999999999956</v>
      </c>
      <c r="K104" s="91">
        <f t="shared" si="13"/>
        <v>0.72916666666666674</v>
      </c>
      <c r="L104" s="91">
        <f t="shared" si="14"/>
        <v>3.333333333333333</v>
      </c>
      <c r="M104" s="29">
        <f t="shared" si="18"/>
        <v>12</v>
      </c>
      <c r="N104" s="92">
        <f t="shared" si="15"/>
        <v>0.49999999999999956</v>
      </c>
      <c r="O104" s="104">
        <f t="shared" si="16"/>
        <v>1.016</v>
      </c>
      <c r="P104" s="105">
        <f t="shared" si="17"/>
        <v>4.2671999999999963</v>
      </c>
    </row>
    <row r="105" spans="2:16" x14ac:dyDescent="0.25">
      <c r="B105" s="88" t="s">
        <v>18</v>
      </c>
      <c r="C105" s="106">
        <f t="shared" si="19"/>
        <v>2019</v>
      </c>
      <c r="D105" s="101">
        <v>43664</v>
      </c>
      <c r="E105" s="102"/>
      <c r="F105" s="103"/>
      <c r="G105" s="103"/>
      <c r="H105" s="103"/>
      <c r="I105" s="90">
        <f t="shared" si="11"/>
        <v>0</v>
      </c>
      <c r="J105" s="90">
        <f t="shared" si="12"/>
        <v>0</v>
      </c>
      <c r="K105" s="91">
        <f t="shared" si="13"/>
        <v>0.72916666666666674</v>
      </c>
      <c r="L105" s="91">
        <f t="shared" si="14"/>
        <v>3.333333333333333</v>
      </c>
      <c r="M105" s="29">
        <f t="shared" si="18"/>
        <v>12</v>
      </c>
      <c r="N105" s="92">
        <f t="shared" si="15"/>
        <v>0</v>
      </c>
      <c r="O105" s="104">
        <f t="shared" si="16"/>
        <v>1.016</v>
      </c>
      <c r="P105" s="105">
        <f t="shared" si="17"/>
        <v>0</v>
      </c>
    </row>
    <row r="106" spans="2:16" x14ac:dyDescent="0.25">
      <c r="B106" s="88" t="s">
        <v>18</v>
      </c>
      <c r="C106" s="106">
        <f t="shared" si="19"/>
        <v>2019</v>
      </c>
      <c r="D106" s="101">
        <v>43665</v>
      </c>
      <c r="E106" s="102"/>
      <c r="F106" s="103"/>
      <c r="G106" s="103"/>
      <c r="H106" s="103"/>
      <c r="I106" s="90">
        <f t="shared" si="11"/>
        <v>0</v>
      </c>
      <c r="J106" s="90">
        <f t="shared" si="12"/>
        <v>0</v>
      </c>
      <c r="K106" s="91">
        <f t="shared" si="13"/>
        <v>0.72916666666666674</v>
      </c>
      <c r="L106" s="91">
        <f t="shared" si="14"/>
        <v>3.333333333333333</v>
      </c>
      <c r="M106" s="29">
        <f t="shared" si="18"/>
        <v>12</v>
      </c>
      <c r="N106" s="92">
        <f t="shared" si="15"/>
        <v>0</v>
      </c>
      <c r="O106" s="104">
        <f t="shared" si="16"/>
        <v>1.016</v>
      </c>
      <c r="P106" s="105">
        <f t="shared" si="17"/>
        <v>0</v>
      </c>
    </row>
    <row r="107" spans="2:16" x14ac:dyDescent="0.25">
      <c r="B107" s="88" t="s">
        <v>18</v>
      </c>
      <c r="C107" s="106">
        <f t="shared" si="19"/>
        <v>2019</v>
      </c>
      <c r="D107" s="101">
        <v>43666</v>
      </c>
      <c r="E107" s="102"/>
      <c r="F107" s="103"/>
      <c r="G107" s="103"/>
      <c r="H107" s="103"/>
      <c r="I107" s="90">
        <f t="shared" si="11"/>
        <v>0</v>
      </c>
      <c r="J107" s="90">
        <f t="shared" si="12"/>
        <v>0</v>
      </c>
      <c r="K107" s="91">
        <f t="shared" si="13"/>
        <v>0.72916666666666674</v>
      </c>
      <c r="L107" s="91">
        <f t="shared" si="14"/>
        <v>3.333333333333333</v>
      </c>
      <c r="M107" s="29">
        <f t="shared" si="18"/>
        <v>12</v>
      </c>
      <c r="N107" s="92">
        <f t="shared" si="15"/>
        <v>0</v>
      </c>
      <c r="O107" s="104">
        <f t="shared" si="16"/>
        <v>1.016</v>
      </c>
      <c r="P107" s="105">
        <f t="shared" si="17"/>
        <v>0</v>
      </c>
    </row>
    <row r="108" spans="2:16" x14ac:dyDescent="0.25">
      <c r="B108" s="88" t="s">
        <v>18</v>
      </c>
      <c r="C108" s="106">
        <f t="shared" si="19"/>
        <v>2019</v>
      </c>
      <c r="D108" s="101">
        <v>43667</v>
      </c>
      <c r="E108" s="102"/>
      <c r="F108" s="103"/>
      <c r="G108" s="103"/>
      <c r="H108" s="103"/>
      <c r="I108" s="90">
        <f t="shared" si="11"/>
        <v>0</v>
      </c>
      <c r="J108" s="90">
        <f t="shared" si="12"/>
        <v>0</v>
      </c>
      <c r="K108" s="91">
        <f t="shared" si="13"/>
        <v>0.72916666666666674</v>
      </c>
      <c r="L108" s="91">
        <f t="shared" si="14"/>
        <v>3.333333333333333</v>
      </c>
      <c r="M108" s="29">
        <f t="shared" si="18"/>
        <v>12</v>
      </c>
      <c r="N108" s="92">
        <f t="shared" si="15"/>
        <v>0</v>
      </c>
      <c r="O108" s="104">
        <f t="shared" si="16"/>
        <v>1.016</v>
      </c>
      <c r="P108" s="105">
        <f t="shared" si="17"/>
        <v>0</v>
      </c>
    </row>
    <row r="109" spans="2:16" x14ac:dyDescent="0.25">
      <c r="B109" s="88" t="s">
        <v>18</v>
      </c>
      <c r="C109" s="106">
        <f t="shared" si="19"/>
        <v>2019</v>
      </c>
      <c r="D109" s="101">
        <v>43668</v>
      </c>
      <c r="E109" s="102"/>
      <c r="F109" s="103"/>
      <c r="G109" s="103"/>
      <c r="H109" s="103"/>
      <c r="I109" s="90">
        <f t="shared" si="11"/>
        <v>0</v>
      </c>
      <c r="J109" s="90">
        <f t="shared" si="12"/>
        <v>0</v>
      </c>
      <c r="K109" s="91">
        <f t="shared" si="13"/>
        <v>0.72916666666666674</v>
      </c>
      <c r="L109" s="91">
        <f t="shared" si="14"/>
        <v>3.333333333333333</v>
      </c>
      <c r="M109" s="29">
        <f t="shared" si="18"/>
        <v>12</v>
      </c>
      <c r="N109" s="92">
        <f t="shared" si="15"/>
        <v>0</v>
      </c>
      <c r="O109" s="104">
        <f t="shared" si="16"/>
        <v>1.016</v>
      </c>
      <c r="P109" s="105">
        <f t="shared" si="17"/>
        <v>0</v>
      </c>
    </row>
    <row r="110" spans="2:16" x14ac:dyDescent="0.25">
      <c r="B110" s="88" t="s">
        <v>18</v>
      </c>
      <c r="C110" s="106">
        <f t="shared" si="19"/>
        <v>2019</v>
      </c>
      <c r="D110" s="101">
        <v>43669</v>
      </c>
      <c r="E110" s="102">
        <v>0.55208333333333337</v>
      </c>
      <c r="F110" s="103">
        <v>0.57291666666666663</v>
      </c>
      <c r="G110" s="103">
        <v>0.55208333333333337</v>
      </c>
      <c r="H110" s="103">
        <v>0.57291666666666663</v>
      </c>
      <c r="I110" s="90">
        <f t="shared" si="11"/>
        <v>0.49999999999999822</v>
      </c>
      <c r="J110" s="90">
        <f t="shared" si="12"/>
        <v>0.49999999999999822</v>
      </c>
      <c r="K110" s="91">
        <f t="shared" si="13"/>
        <v>0.72916666666666674</v>
      </c>
      <c r="L110" s="91">
        <f t="shared" si="14"/>
        <v>3.333333333333333</v>
      </c>
      <c r="M110" s="29">
        <f t="shared" si="18"/>
        <v>12</v>
      </c>
      <c r="N110" s="92">
        <f t="shared" si="15"/>
        <v>0.49999999999999822</v>
      </c>
      <c r="O110" s="104">
        <f t="shared" si="16"/>
        <v>1.016</v>
      </c>
      <c r="P110" s="105">
        <f t="shared" si="17"/>
        <v>4.2671999999999848</v>
      </c>
    </row>
    <row r="111" spans="2:16" x14ac:dyDescent="0.25">
      <c r="B111" s="88" t="s">
        <v>18</v>
      </c>
      <c r="C111" s="106">
        <f t="shared" si="19"/>
        <v>2019</v>
      </c>
      <c r="D111" s="101">
        <v>43670</v>
      </c>
      <c r="E111" s="102"/>
      <c r="F111" s="103"/>
      <c r="G111" s="103"/>
      <c r="H111" s="103"/>
      <c r="I111" s="90">
        <f t="shared" si="11"/>
        <v>0</v>
      </c>
      <c r="J111" s="90">
        <f t="shared" si="12"/>
        <v>0</v>
      </c>
      <c r="K111" s="91">
        <f t="shared" si="13"/>
        <v>0.72916666666666674</v>
      </c>
      <c r="L111" s="91">
        <f t="shared" si="14"/>
        <v>3.333333333333333</v>
      </c>
      <c r="M111" s="29">
        <f t="shared" si="18"/>
        <v>12</v>
      </c>
      <c r="N111" s="92">
        <f t="shared" si="15"/>
        <v>0</v>
      </c>
      <c r="O111" s="104">
        <f t="shared" si="16"/>
        <v>1.016</v>
      </c>
      <c r="P111" s="105">
        <f t="shared" si="17"/>
        <v>0</v>
      </c>
    </row>
    <row r="112" spans="2:16" x14ac:dyDescent="0.25">
      <c r="B112" s="88" t="s">
        <v>18</v>
      </c>
      <c r="C112" s="106">
        <f t="shared" si="19"/>
        <v>2019</v>
      </c>
      <c r="D112" s="101">
        <v>43671</v>
      </c>
      <c r="E112" s="102"/>
      <c r="F112" s="103"/>
      <c r="G112" s="103"/>
      <c r="H112" s="103"/>
      <c r="I112" s="90">
        <f t="shared" si="11"/>
        <v>0</v>
      </c>
      <c r="J112" s="90">
        <f t="shared" si="12"/>
        <v>0</v>
      </c>
      <c r="K112" s="91">
        <f t="shared" si="13"/>
        <v>0.72916666666666674</v>
      </c>
      <c r="L112" s="91">
        <f t="shared" si="14"/>
        <v>3.333333333333333</v>
      </c>
      <c r="M112" s="29">
        <f t="shared" si="18"/>
        <v>12</v>
      </c>
      <c r="N112" s="92">
        <f t="shared" si="15"/>
        <v>0</v>
      </c>
      <c r="O112" s="104">
        <f t="shared" si="16"/>
        <v>1.016</v>
      </c>
      <c r="P112" s="105">
        <f t="shared" si="17"/>
        <v>0</v>
      </c>
    </row>
    <row r="113" spans="2:16" x14ac:dyDescent="0.25">
      <c r="B113" s="88" t="s">
        <v>18</v>
      </c>
      <c r="C113" s="106">
        <f t="shared" si="19"/>
        <v>2019</v>
      </c>
      <c r="D113" s="101">
        <v>43672</v>
      </c>
      <c r="E113" s="102"/>
      <c r="F113" s="103"/>
      <c r="G113" s="103"/>
      <c r="H113" s="103"/>
      <c r="I113" s="90">
        <f t="shared" si="11"/>
        <v>0</v>
      </c>
      <c r="J113" s="90">
        <f t="shared" si="12"/>
        <v>0</v>
      </c>
      <c r="K113" s="91">
        <f t="shared" si="13"/>
        <v>0.72916666666666674</v>
      </c>
      <c r="L113" s="91">
        <f t="shared" si="14"/>
        <v>3.333333333333333</v>
      </c>
      <c r="M113" s="29">
        <f t="shared" si="18"/>
        <v>12</v>
      </c>
      <c r="N113" s="92">
        <f t="shared" si="15"/>
        <v>0</v>
      </c>
      <c r="O113" s="104">
        <f t="shared" si="16"/>
        <v>1.016</v>
      </c>
      <c r="P113" s="105">
        <f t="shared" si="17"/>
        <v>0</v>
      </c>
    </row>
    <row r="114" spans="2:16" x14ac:dyDescent="0.25">
      <c r="B114" s="88" t="s">
        <v>18</v>
      </c>
      <c r="C114" s="106">
        <f t="shared" si="19"/>
        <v>2019</v>
      </c>
      <c r="D114" s="101">
        <v>43673</v>
      </c>
      <c r="E114" s="102"/>
      <c r="F114" s="103"/>
      <c r="G114" s="103"/>
      <c r="H114" s="103"/>
      <c r="I114" s="90">
        <f t="shared" si="11"/>
        <v>0</v>
      </c>
      <c r="J114" s="90">
        <f t="shared" si="12"/>
        <v>0</v>
      </c>
      <c r="K114" s="91">
        <f t="shared" si="13"/>
        <v>0.72916666666666674</v>
      </c>
      <c r="L114" s="91">
        <f t="shared" si="14"/>
        <v>3.333333333333333</v>
      </c>
      <c r="M114" s="29">
        <f t="shared" si="18"/>
        <v>12</v>
      </c>
      <c r="N114" s="92">
        <f t="shared" si="15"/>
        <v>0</v>
      </c>
      <c r="O114" s="104">
        <f t="shared" si="16"/>
        <v>1.016</v>
      </c>
      <c r="P114" s="105">
        <f t="shared" si="17"/>
        <v>0</v>
      </c>
    </row>
    <row r="115" spans="2:16" x14ac:dyDescent="0.25">
      <c r="B115" s="88" t="s">
        <v>18</v>
      </c>
      <c r="C115" s="106">
        <f t="shared" si="19"/>
        <v>2019</v>
      </c>
      <c r="D115" s="101">
        <v>43674</v>
      </c>
      <c r="E115" s="102"/>
      <c r="F115" s="103"/>
      <c r="G115" s="103"/>
      <c r="H115" s="103"/>
      <c r="I115" s="90">
        <f t="shared" si="11"/>
        <v>0</v>
      </c>
      <c r="J115" s="90">
        <f t="shared" si="12"/>
        <v>0</v>
      </c>
      <c r="K115" s="91">
        <f t="shared" si="13"/>
        <v>0.72916666666666674</v>
      </c>
      <c r="L115" s="91">
        <f t="shared" si="14"/>
        <v>3.333333333333333</v>
      </c>
      <c r="M115" s="29">
        <f t="shared" si="18"/>
        <v>12</v>
      </c>
      <c r="N115" s="92">
        <f t="shared" si="15"/>
        <v>0</v>
      </c>
      <c r="O115" s="104">
        <f t="shared" si="16"/>
        <v>1.016</v>
      </c>
      <c r="P115" s="105">
        <f t="shared" si="17"/>
        <v>0</v>
      </c>
    </row>
    <row r="116" spans="2:16" x14ac:dyDescent="0.25">
      <c r="B116" s="88" t="s">
        <v>18</v>
      </c>
      <c r="C116" s="106">
        <f t="shared" si="19"/>
        <v>2019</v>
      </c>
      <c r="D116" s="101">
        <v>43675</v>
      </c>
      <c r="E116" s="102"/>
      <c r="F116" s="103"/>
      <c r="G116" s="103"/>
      <c r="H116" s="103"/>
      <c r="I116" s="90">
        <f t="shared" si="11"/>
        <v>0</v>
      </c>
      <c r="J116" s="90">
        <f t="shared" si="12"/>
        <v>0</v>
      </c>
      <c r="K116" s="91">
        <f t="shared" si="13"/>
        <v>0.72916666666666674</v>
      </c>
      <c r="L116" s="91">
        <f t="shared" si="14"/>
        <v>3.333333333333333</v>
      </c>
      <c r="M116" s="29">
        <f t="shared" si="18"/>
        <v>12</v>
      </c>
      <c r="N116" s="92">
        <f t="shared" si="15"/>
        <v>0</v>
      </c>
      <c r="O116" s="104">
        <f t="shared" si="16"/>
        <v>1.016</v>
      </c>
      <c r="P116" s="105">
        <f t="shared" si="17"/>
        <v>0</v>
      </c>
    </row>
    <row r="117" spans="2:16" x14ac:dyDescent="0.25">
      <c r="B117" s="88" t="s">
        <v>18</v>
      </c>
      <c r="C117" s="106">
        <f t="shared" si="19"/>
        <v>2019</v>
      </c>
      <c r="D117" s="101">
        <v>43676</v>
      </c>
      <c r="E117" s="102">
        <v>0.4375</v>
      </c>
      <c r="F117" s="103">
        <v>0.45833333333333331</v>
      </c>
      <c r="G117" s="103">
        <v>0.4375</v>
      </c>
      <c r="H117" s="103">
        <v>0.45833333333333331</v>
      </c>
      <c r="I117" s="90">
        <f t="shared" si="11"/>
        <v>0.49999999999999956</v>
      </c>
      <c r="J117" s="90">
        <f t="shared" si="12"/>
        <v>0.49999999999999956</v>
      </c>
      <c r="K117" s="91">
        <f t="shared" si="13"/>
        <v>0.72916666666666674</v>
      </c>
      <c r="L117" s="91">
        <f t="shared" si="14"/>
        <v>3.333333333333333</v>
      </c>
      <c r="M117" s="29">
        <f t="shared" si="18"/>
        <v>12</v>
      </c>
      <c r="N117" s="92">
        <f t="shared" si="15"/>
        <v>0.49999999999999956</v>
      </c>
      <c r="O117" s="104">
        <f t="shared" si="16"/>
        <v>1.016</v>
      </c>
      <c r="P117" s="105">
        <f t="shared" si="17"/>
        <v>4.2671999999999963</v>
      </c>
    </row>
    <row r="118" spans="2:16" x14ac:dyDescent="0.25">
      <c r="B118" s="88" t="s">
        <v>18</v>
      </c>
      <c r="C118" s="106">
        <f t="shared" si="10"/>
        <v>2019</v>
      </c>
      <c r="D118" s="101">
        <v>43677</v>
      </c>
      <c r="E118" s="102"/>
      <c r="F118" s="103"/>
      <c r="G118" s="103"/>
      <c r="H118" s="103"/>
      <c r="I118" s="90">
        <f t="shared" si="11"/>
        <v>0</v>
      </c>
      <c r="J118" s="90">
        <f t="shared" si="12"/>
        <v>0</v>
      </c>
      <c r="K118" s="91">
        <f t="shared" si="13"/>
        <v>0.72916666666666674</v>
      </c>
      <c r="L118" s="91">
        <f t="shared" si="14"/>
        <v>3.333333333333333</v>
      </c>
      <c r="M118" s="29">
        <f t="shared" si="18"/>
        <v>12</v>
      </c>
      <c r="N118" s="92">
        <f t="shared" si="15"/>
        <v>0</v>
      </c>
      <c r="O118" s="104">
        <f t="shared" si="16"/>
        <v>1.016</v>
      </c>
      <c r="P118" s="105">
        <f t="shared" si="17"/>
        <v>0</v>
      </c>
    </row>
    <row r="119" spans="2:16" x14ac:dyDescent="0.25">
      <c r="B119" s="88" t="s">
        <v>18</v>
      </c>
      <c r="C119" s="106">
        <f t="shared" si="10"/>
        <v>2019</v>
      </c>
      <c r="D119" s="101">
        <v>43678</v>
      </c>
      <c r="E119" s="102">
        <v>0.66666666666666663</v>
      </c>
      <c r="F119" s="103">
        <v>0.6875</v>
      </c>
      <c r="G119" s="103">
        <v>0.66666666666666663</v>
      </c>
      <c r="H119" s="103">
        <v>0.6875</v>
      </c>
      <c r="I119" s="90">
        <f t="shared" si="11"/>
        <v>0.50000000000000089</v>
      </c>
      <c r="J119" s="90">
        <f t="shared" si="12"/>
        <v>0.50000000000000089</v>
      </c>
      <c r="K119" s="91">
        <f t="shared" si="13"/>
        <v>0.72916666666666674</v>
      </c>
      <c r="L119" s="91">
        <f t="shared" si="14"/>
        <v>3.333333333333333</v>
      </c>
      <c r="M119" s="29">
        <f t="shared" si="18"/>
        <v>12</v>
      </c>
      <c r="N119" s="92">
        <f t="shared" si="15"/>
        <v>0.50000000000000089</v>
      </c>
      <c r="O119" s="104">
        <f t="shared" si="16"/>
        <v>1.016</v>
      </c>
      <c r="P119" s="105">
        <f t="shared" si="17"/>
        <v>4.267200000000007</v>
      </c>
    </row>
    <row r="120" spans="2:16" x14ac:dyDescent="0.25">
      <c r="B120" s="88" t="s">
        <v>18</v>
      </c>
      <c r="C120" s="106">
        <f t="shared" si="10"/>
        <v>2019</v>
      </c>
      <c r="D120" s="101">
        <v>43679</v>
      </c>
      <c r="E120" s="102"/>
      <c r="F120" s="103"/>
      <c r="G120" s="103"/>
      <c r="H120" s="103"/>
      <c r="I120" s="90">
        <f t="shared" si="11"/>
        <v>0</v>
      </c>
      <c r="J120" s="90">
        <f t="shared" si="12"/>
        <v>0</v>
      </c>
      <c r="K120" s="91">
        <f t="shared" si="13"/>
        <v>0.72916666666666674</v>
      </c>
      <c r="L120" s="91">
        <f t="shared" si="14"/>
        <v>3.333333333333333</v>
      </c>
      <c r="M120" s="29">
        <f t="shared" si="18"/>
        <v>12</v>
      </c>
      <c r="N120" s="92">
        <f t="shared" si="15"/>
        <v>0</v>
      </c>
      <c r="O120" s="104">
        <f t="shared" si="16"/>
        <v>1.016</v>
      </c>
      <c r="P120" s="105">
        <f t="shared" si="17"/>
        <v>0</v>
      </c>
    </row>
    <row r="121" spans="2:16" x14ac:dyDescent="0.25">
      <c r="B121" s="88" t="s">
        <v>18</v>
      </c>
      <c r="C121" s="106">
        <f t="shared" si="10"/>
        <v>2019</v>
      </c>
      <c r="D121" s="101">
        <v>43680</v>
      </c>
      <c r="E121" s="102"/>
      <c r="F121" s="103"/>
      <c r="G121" s="103"/>
      <c r="H121" s="103"/>
      <c r="I121" s="90">
        <f t="shared" si="11"/>
        <v>0</v>
      </c>
      <c r="J121" s="90">
        <f t="shared" si="12"/>
        <v>0</v>
      </c>
      <c r="K121" s="91">
        <f t="shared" si="13"/>
        <v>0.72916666666666674</v>
      </c>
      <c r="L121" s="91">
        <f t="shared" si="14"/>
        <v>3.333333333333333</v>
      </c>
      <c r="M121" s="29">
        <f t="shared" si="18"/>
        <v>12</v>
      </c>
      <c r="N121" s="92">
        <f t="shared" si="15"/>
        <v>0</v>
      </c>
      <c r="O121" s="104">
        <f t="shared" si="16"/>
        <v>1.016</v>
      </c>
      <c r="P121" s="105">
        <f t="shared" si="17"/>
        <v>0</v>
      </c>
    </row>
    <row r="122" spans="2:16" x14ac:dyDescent="0.25">
      <c r="B122" s="88" t="s">
        <v>18</v>
      </c>
      <c r="C122" s="106">
        <f t="shared" si="10"/>
        <v>2019</v>
      </c>
      <c r="D122" s="101">
        <v>43681</v>
      </c>
      <c r="E122" s="102">
        <v>0.4375</v>
      </c>
      <c r="F122" s="103">
        <v>0.45833333333333331</v>
      </c>
      <c r="G122" s="103">
        <v>0.4375</v>
      </c>
      <c r="H122" s="103">
        <v>0.45833333333333331</v>
      </c>
      <c r="I122" s="90">
        <f t="shared" si="11"/>
        <v>0.49999999999999956</v>
      </c>
      <c r="J122" s="90">
        <f t="shared" si="12"/>
        <v>0.49999999999999956</v>
      </c>
      <c r="K122" s="91">
        <f t="shared" si="13"/>
        <v>0.72916666666666674</v>
      </c>
      <c r="L122" s="91">
        <f t="shared" si="14"/>
        <v>3.333333333333333</v>
      </c>
      <c r="M122" s="29">
        <f t="shared" si="18"/>
        <v>12</v>
      </c>
      <c r="N122" s="92">
        <f t="shared" si="15"/>
        <v>0.49999999999999956</v>
      </c>
      <c r="O122" s="104">
        <f t="shared" si="16"/>
        <v>1.016</v>
      </c>
      <c r="P122" s="105">
        <f t="shared" si="17"/>
        <v>4.2671999999999963</v>
      </c>
    </row>
    <row r="123" spans="2:16" x14ac:dyDescent="0.25">
      <c r="B123" s="88" t="s">
        <v>18</v>
      </c>
      <c r="C123" s="106">
        <f t="shared" si="10"/>
        <v>2019</v>
      </c>
      <c r="D123" s="101">
        <v>43682</v>
      </c>
      <c r="E123" s="102"/>
      <c r="F123" s="103"/>
      <c r="G123" s="103"/>
      <c r="H123" s="103"/>
      <c r="I123" s="90">
        <f t="shared" si="11"/>
        <v>0</v>
      </c>
      <c r="J123" s="90">
        <f t="shared" si="12"/>
        <v>0</v>
      </c>
      <c r="K123" s="91">
        <f t="shared" si="13"/>
        <v>0.72916666666666674</v>
      </c>
      <c r="L123" s="91">
        <f t="shared" si="14"/>
        <v>3.333333333333333</v>
      </c>
      <c r="M123" s="29">
        <f t="shared" si="18"/>
        <v>12</v>
      </c>
      <c r="N123" s="92">
        <f t="shared" si="15"/>
        <v>0</v>
      </c>
      <c r="O123" s="104">
        <f t="shared" si="16"/>
        <v>1.016</v>
      </c>
      <c r="P123" s="105">
        <f t="shared" si="17"/>
        <v>0</v>
      </c>
    </row>
    <row r="124" spans="2:16" x14ac:dyDescent="0.25">
      <c r="B124" s="88" t="s">
        <v>18</v>
      </c>
      <c r="C124" s="106">
        <f t="shared" si="10"/>
        <v>2019</v>
      </c>
      <c r="D124" s="101">
        <v>43683</v>
      </c>
      <c r="E124" s="102"/>
      <c r="F124" s="103"/>
      <c r="G124" s="103"/>
      <c r="H124" s="103"/>
      <c r="I124" s="90">
        <f t="shared" si="11"/>
        <v>0</v>
      </c>
      <c r="J124" s="90">
        <f t="shared" si="12"/>
        <v>0</v>
      </c>
      <c r="K124" s="91">
        <f t="shared" si="13"/>
        <v>0.72916666666666674</v>
      </c>
      <c r="L124" s="91">
        <f t="shared" si="14"/>
        <v>3.333333333333333</v>
      </c>
      <c r="M124" s="29">
        <f t="shared" si="18"/>
        <v>12</v>
      </c>
      <c r="N124" s="92">
        <f t="shared" si="15"/>
        <v>0</v>
      </c>
      <c r="O124" s="104">
        <f t="shared" si="16"/>
        <v>1.016</v>
      </c>
      <c r="P124" s="105">
        <f t="shared" si="17"/>
        <v>0</v>
      </c>
    </row>
    <row r="125" spans="2:16" x14ac:dyDescent="0.25">
      <c r="B125" s="88" t="s">
        <v>18</v>
      </c>
      <c r="C125" s="106">
        <f t="shared" si="10"/>
        <v>2019</v>
      </c>
      <c r="D125" s="101">
        <v>43684</v>
      </c>
      <c r="E125" s="102"/>
      <c r="F125" s="103"/>
      <c r="G125" s="103"/>
      <c r="H125" s="103"/>
      <c r="I125" s="90">
        <f t="shared" si="11"/>
        <v>0</v>
      </c>
      <c r="J125" s="90">
        <f t="shared" si="12"/>
        <v>0</v>
      </c>
      <c r="K125" s="91">
        <f t="shared" si="13"/>
        <v>0.72916666666666674</v>
      </c>
      <c r="L125" s="91">
        <f t="shared" si="14"/>
        <v>3.333333333333333</v>
      </c>
      <c r="M125" s="29">
        <f t="shared" si="18"/>
        <v>12</v>
      </c>
      <c r="N125" s="92">
        <f t="shared" si="15"/>
        <v>0</v>
      </c>
      <c r="O125" s="104">
        <f t="shared" si="16"/>
        <v>1.016</v>
      </c>
      <c r="P125" s="105">
        <f t="shared" si="17"/>
        <v>0</v>
      </c>
    </row>
    <row r="126" spans="2:16" x14ac:dyDescent="0.25">
      <c r="B126" s="88" t="s">
        <v>18</v>
      </c>
      <c r="C126" s="106">
        <f t="shared" si="10"/>
        <v>2019</v>
      </c>
      <c r="D126" s="101">
        <v>43685</v>
      </c>
      <c r="E126" s="102">
        <v>0.60416666666666663</v>
      </c>
      <c r="F126" s="103">
        <v>0.625</v>
      </c>
      <c r="G126" s="103">
        <v>0.60416666666666663</v>
      </c>
      <c r="H126" s="103">
        <v>0.625</v>
      </c>
      <c r="I126" s="90">
        <f t="shared" si="11"/>
        <v>0.50000000000000089</v>
      </c>
      <c r="J126" s="90">
        <f t="shared" si="12"/>
        <v>0.50000000000000089</v>
      </c>
      <c r="K126" s="91">
        <f t="shared" si="13"/>
        <v>0.72916666666666674</v>
      </c>
      <c r="L126" s="91">
        <f t="shared" si="14"/>
        <v>3.333333333333333</v>
      </c>
      <c r="M126" s="29">
        <f t="shared" si="18"/>
        <v>12</v>
      </c>
      <c r="N126" s="92">
        <f t="shared" si="15"/>
        <v>0.50000000000000089</v>
      </c>
      <c r="O126" s="104">
        <f t="shared" si="16"/>
        <v>1.016</v>
      </c>
      <c r="P126" s="105">
        <f t="shared" si="17"/>
        <v>4.267200000000007</v>
      </c>
    </row>
    <row r="127" spans="2:16" x14ac:dyDescent="0.25">
      <c r="B127" s="88" t="s">
        <v>18</v>
      </c>
      <c r="C127" s="106">
        <f t="shared" si="10"/>
        <v>2019</v>
      </c>
      <c r="D127" s="101">
        <v>43686</v>
      </c>
      <c r="E127" s="102"/>
      <c r="F127" s="103"/>
      <c r="G127" s="103"/>
      <c r="H127" s="103"/>
      <c r="I127" s="90">
        <f t="shared" si="11"/>
        <v>0</v>
      </c>
      <c r="J127" s="90">
        <f t="shared" si="12"/>
        <v>0</v>
      </c>
      <c r="K127" s="91">
        <f t="shared" si="13"/>
        <v>0.72916666666666674</v>
      </c>
      <c r="L127" s="91">
        <f t="shared" si="14"/>
        <v>3.333333333333333</v>
      </c>
      <c r="M127" s="29">
        <f t="shared" si="18"/>
        <v>12</v>
      </c>
      <c r="N127" s="92">
        <f t="shared" si="15"/>
        <v>0</v>
      </c>
      <c r="O127" s="104">
        <f t="shared" si="16"/>
        <v>1.016</v>
      </c>
      <c r="P127" s="105">
        <f t="shared" si="17"/>
        <v>0</v>
      </c>
    </row>
    <row r="128" spans="2:16" x14ac:dyDescent="0.25">
      <c r="B128" s="88" t="s">
        <v>18</v>
      </c>
      <c r="C128" s="106">
        <f t="shared" si="10"/>
        <v>2019</v>
      </c>
      <c r="D128" s="101">
        <v>43687</v>
      </c>
      <c r="E128" s="102"/>
      <c r="F128" s="103"/>
      <c r="G128" s="103"/>
      <c r="H128" s="103"/>
      <c r="I128" s="90">
        <f t="shared" si="11"/>
        <v>0</v>
      </c>
      <c r="J128" s="90">
        <f t="shared" si="12"/>
        <v>0</v>
      </c>
      <c r="K128" s="91">
        <f t="shared" si="13"/>
        <v>0.72916666666666674</v>
      </c>
      <c r="L128" s="91">
        <f t="shared" si="14"/>
        <v>3.333333333333333</v>
      </c>
      <c r="M128" s="29">
        <f t="shared" si="18"/>
        <v>12</v>
      </c>
      <c r="N128" s="92">
        <f t="shared" si="15"/>
        <v>0</v>
      </c>
      <c r="O128" s="104">
        <f t="shared" si="16"/>
        <v>1.016</v>
      </c>
      <c r="P128" s="105">
        <f t="shared" si="17"/>
        <v>0</v>
      </c>
    </row>
    <row r="129" spans="2:16" x14ac:dyDescent="0.25">
      <c r="B129" s="88" t="s">
        <v>18</v>
      </c>
      <c r="C129" s="106">
        <f t="shared" si="10"/>
        <v>2019</v>
      </c>
      <c r="D129" s="101">
        <v>43688</v>
      </c>
      <c r="E129" s="102"/>
      <c r="F129" s="103"/>
      <c r="G129" s="103"/>
      <c r="H129" s="103"/>
      <c r="I129" s="90">
        <f t="shared" si="11"/>
        <v>0</v>
      </c>
      <c r="J129" s="90">
        <f t="shared" si="12"/>
        <v>0</v>
      </c>
      <c r="K129" s="91">
        <f t="shared" si="13"/>
        <v>0.72916666666666674</v>
      </c>
      <c r="L129" s="91">
        <f t="shared" si="14"/>
        <v>3.333333333333333</v>
      </c>
      <c r="M129" s="29">
        <f t="shared" si="18"/>
        <v>12</v>
      </c>
      <c r="N129" s="92">
        <f t="shared" si="15"/>
        <v>0</v>
      </c>
      <c r="O129" s="104">
        <f t="shared" si="16"/>
        <v>1.016</v>
      </c>
      <c r="P129" s="105">
        <f t="shared" si="17"/>
        <v>0</v>
      </c>
    </row>
    <row r="130" spans="2:16" x14ac:dyDescent="0.25">
      <c r="B130" s="88" t="s">
        <v>18</v>
      </c>
      <c r="C130" s="106">
        <f t="shared" si="10"/>
        <v>2019</v>
      </c>
      <c r="D130" s="101">
        <v>43689</v>
      </c>
      <c r="E130" s="102"/>
      <c r="F130" s="103"/>
      <c r="G130" s="103"/>
      <c r="H130" s="103"/>
      <c r="I130" s="90">
        <f t="shared" si="11"/>
        <v>0</v>
      </c>
      <c r="J130" s="90">
        <f t="shared" si="12"/>
        <v>0</v>
      </c>
      <c r="K130" s="91">
        <f t="shared" si="13"/>
        <v>0.72916666666666674</v>
      </c>
      <c r="L130" s="91">
        <f t="shared" si="14"/>
        <v>3.333333333333333</v>
      </c>
      <c r="M130" s="29">
        <f t="shared" si="18"/>
        <v>12</v>
      </c>
      <c r="N130" s="92">
        <f t="shared" si="15"/>
        <v>0</v>
      </c>
      <c r="O130" s="104">
        <f t="shared" si="16"/>
        <v>1.016</v>
      </c>
      <c r="P130" s="105">
        <f t="shared" si="17"/>
        <v>0</v>
      </c>
    </row>
    <row r="131" spans="2:16" x14ac:dyDescent="0.25">
      <c r="B131" s="88" t="s">
        <v>18</v>
      </c>
      <c r="C131" s="106">
        <f t="shared" si="10"/>
        <v>2019</v>
      </c>
      <c r="D131" s="101">
        <v>43690</v>
      </c>
      <c r="E131" s="102">
        <v>0.66666666666666663</v>
      </c>
      <c r="F131" s="103">
        <v>0.6875</v>
      </c>
      <c r="G131" s="103">
        <v>0.66666666666666663</v>
      </c>
      <c r="H131" s="103">
        <v>0.6875</v>
      </c>
      <c r="I131" s="90">
        <f t="shared" si="11"/>
        <v>0.50000000000000089</v>
      </c>
      <c r="J131" s="90">
        <f t="shared" si="12"/>
        <v>0.50000000000000089</v>
      </c>
      <c r="K131" s="91">
        <f t="shared" si="13"/>
        <v>0.72916666666666674</v>
      </c>
      <c r="L131" s="91">
        <f t="shared" si="14"/>
        <v>3.333333333333333</v>
      </c>
      <c r="M131" s="29">
        <f t="shared" si="18"/>
        <v>12</v>
      </c>
      <c r="N131" s="92">
        <f t="shared" si="15"/>
        <v>0.50000000000000089</v>
      </c>
      <c r="O131" s="104">
        <f t="shared" si="16"/>
        <v>1.016</v>
      </c>
      <c r="P131" s="105">
        <f t="shared" si="17"/>
        <v>4.267200000000007</v>
      </c>
    </row>
    <row r="132" spans="2:16" x14ac:dyDescent="0.25">
      <c r="B132" s="88" t="s">
        <v>18</v>
      </c>
      <c r="C132" s="106">
        <f t="shared" si="10"/>
        <v>2019</v>
      </c>
      <c r="D132" s="101">
        <v>43691</v>
      </c>
      <c r="E132" s="102"/>
      <c r="F132" s="103"/>
      <c r="G132" s="103"/>
      <c r="H132" s="103"/>
      <c r="I132" s="90">
        <f t="shared" si="11"/>
        <v>0</v>
      </c>
      <c r="J132" s="90">
        <f t="shared" si="12"/>
        <v>0</v>
      </c>
      <c r="K132" s="91">
        <f t="shared" si="13"/>
        <v>0.72916666666666674</v>
      </c>
      <c r="L132" s="91">
        <f t="shared" si="14"/>
        <v>3.333333333333333</v>
      </c>
      <c r="M132" s="29">
        <f t="shared" si="18"/>
        <v>12</v>
      </c>
      <c r="N132" s="92">
        <f t="shared" si="15"/>
        <v>0</v>
      </c>
      <c r="O132" s="104">
        <f t="shared" si="16"/>
        <v>1.016</v>
      </c>
      <c r="P132" s="105">
        <f t="shared" si="17"/>
        <v>0</v>
      </c>
    </row>
    <row r="133" spans="2:16" x14ac:dyDescent="0.25">
      <c r="B133" s="88" t="s">
        <v>18</v>
      </c>
      <c r="C133" s="106">
        <f t="shared" si="10"/>
        <v>2019</v>
      </c>
      <c r="D133" s="101">
        <v>43692</v>
      </c>
      <c r="E133" s="102"/>
      <c r="F133" s="103"/>
      <c r="G133" s="103"/>
      <c r="H133" s="103"/>
      <c r="I133" s="90">
        <f t="shared" si="11"/>
        <v>0</v>
      </c>
      <c r="J133" s="90">
        <f t="shared" si="12"/>
        <v>0</v>
      </c>
      <c r="K133" s="91">
        <f t="shared" si="13"/>
        <v>0.72916666666666674</v>
      </c>
      <c r="L133" s="91">
        <f t="shared" si="14"/>
        <v>3.333333333333333</v>
      </c>
      <c r="M133" s="29">
        <f t="shared" si="18"/>
        <v>12</v>
      </c>
      <c r="N133" s="92">
        <f t="shared" si="15"/>
        <v>0</v>
      </c>
      <c r="O133" s="104">
        <f t="shared" si="16"/>
        <v>1.016</v>
      </c>
      <c r="P133" s="105">
        <f t="shared" si="17"/>
        <v>0</v>
      </c>
    </row>
    <row r="134" spans="2:16" x14ac:dyDescent="0.25">
      <c r="B134" s="88" t="s">
        <v>18</v>
      </c>
      <c r="C134" s="106">
        <f t="shared" si="10"/>
        <v>2019</v>
      </c>
      <c r="D134" s="101">
        <v>43693</v>
      </c>
      <c r="E134" s="102"/>
      <c r="F134" s="103"/>
      <c r="G134" s="103"/>
      <c r="H134" s="103"/>
      <c r="I134" s="90">
        <f t="shared" si="11"/>
        <v>0</v>
      </c>
      <c r="J134" s="90">
        <f t="shared" si="12"/>
        <v>0</v>
      </c>
      <c r="K134" s="91">
        <f t="shared" si="13"/>
        <v>0.72916666666666674</v>
      </c>
      <c r="L134" s="91">
        <f t="shared" si="14"/>
        <v>3.333333333333333</v>
      </c>
      <c r="M134" s="29">
        <f t="shared" si="18"/>
        <v>12</v>
      </c>
      <c r="N134" s="92">
        <f t="shared" si="15"/>
        <v>0</v>
      </c>
      <c r="O134" s="104">
        <f t="shared" si="16"/>
        <v>1.016</v>
      </c>
      <c r="P134" s="105">
        <f t="shared" si="17"/>
        <v>0</v>
      </c>
    </row>
    <row r="135" spans="2:16" x14ac:dyDescent="0.25">
      <c r="B135" s="88" t="s">
        <v>18</v>
      </c>
      <c r="C135" s="106">
        <f t="shared" si="10"/>
        <v>2019</v>
      </c>
      <c r="D135" s="101">
        <v>43694</v>
      </c>
      <c r="E135" s="102"/>
      <c r="F135" s="103"/>
      <c r="G135" s="103"/>
      <c r="H135" s="103"/>
      <c r="I135" s="90">
        <f t="shared" si="11"/>
        <v>0</v>
      </c>
      <c r="J135" s="90">
        <f t="shared" si="12"/>
        <v>0</v>
      </c>
      <c r="K135" s="91">
        <f t="shared" si="13"/>
        <v>0.72916666666666674</v>
      </c>
      <c r="L135" s="91">
        <f t="shared" si="14"/>
        <v>3.333333333333333</v>
      </c>
      <c r="M135" s="29">
        <f t="shared" si="18"/>
        <v>12</v>
      </c>
      <c r="N135" s="92">
        <f t="shared" si="15"/>
        <v>0</v>
      </c>
      <c r="O135" s="104">
        <f t="shared" si="16"/>
        <v>1.016</v>
      </c>
      <c r="P135" s="105">
        <f t="shared" si="17"/>
        <v>0</v>
      </c>
    </row>
    <row r="136" spans="2:16" x14ac:dyDescent="0.25">
      <c r="B136" s="88" t="s">
        <v>18</v>
      </c>
      <c r="C136" s="106">
        <f t="shared" si="10"/>
        <v>2019</v>
      </c>
      <c r="D136" s="101">
        <v>43695</v>
      </c>
      <c r="E136" s="102"/>
      <c r="F136" s="103"/>
      <c r="G136" s="103"/>
      <c r="H136" s="103"/>
      <c r="I136" s="90">
        <f t="shared" si="11"/>
        <v>0</v>
      </c>
      <c r="J136" s="90">
        <f t="shared" si="12"/>
        <v>0</v>
      </c>
      <c r="K136" s="91">
        <f t="shared" si="13"/>
        <v>0.72916666666666674</v>
      </c>
      <c r="L136" s="91">
        <f t="shared" si="14"/>
        <v>3.333333333333333</v>
      </c>
      <c r="M136" s="29">
        <f t="shared" si="18"/>
        <v>12</v>
      </c>
      <c r="N136" s="92">
        <f t="shared" si="15"/>
        <v>0</v>
      </c>
      <c r="O136" s="104">
        <f t="shared" si="16"/>
        <v>1.016</v>
      </c>
      <c r="P136" s="105">
        <f t="shared" si="17"/>
        <v>0</v>
      </c>
    </row>
    <row r="137" spans="2:16" x14ac:dyDescent="0.25">
      <c r="B137" s="88" t="s">
        <v>18</v>
      </c>
      <c r="C137" s="106">
        <f t="shared" si="10"/>
        <v>2019</v>
      </c>
      <c r="D137" s="101">
        <v>43696</v>
      </c>
      <c r="E137" s="102"/>
      <c r="F137" s="103"/>
      <c r="G137" s="103"/>
      <c r="H137" s="103"/>
      <c r="I137" s="90">
        <f t="shared" si="11"/>
        <v>0</v>
      </c>
      <c r="J137" s="90">
        <f t="shared" si="12"/>
        <v>0</v>
      </c>
      <c r="K137" s="91">
        <f t="shared" si="13"/>
        <v>0.72916666666666674</v>
      </c>
      <c r="L137" s="91">
        <f t="shared" si="14"/>
        <v>3.333333333333333</v>
      </c>
      <c r="M137" s="29">
        <f t="shared" si="18"/>
        <v>12</v>
      </c>
      <c r="N137" s="92">
        <f t="shared" si="15"/>
        <v>0</v>
      </c>
      <c r="O137" s="104">
        <f t="shared" si="16"/>
        <v>1.016</v>
      </c>
      <c r="P137" s="105">
        <f t="shared" si="17"/>
        <v>0</v>
      </c>
    </row>
    <row r="138" spans="2:16" x14ac:dyDescent="0.25">
      <c r="B138" s="88" t="s">
        <v>18</v>
      </c>
      <c r="C138" s="106">
        <f t="shared" si="10"/>
        <v>2019</v>
      </c>
      <c r="D138" s="101">
        <v>43697</v>
      </c>
      <c r="E138" s="102">
        <v>0.4375</v>
      </c>
      <c r="F138" s="103">
        <v>0.45833333333333331</v>
      </c>
      <c r="G138" s="103">
        <v>0.4375</v>
      </c>
      <c r="H138" s="103">
        <v>0.45833333333333331</v>
      </c>
      <c r="I138" s="90">
        <f t="shared" si="11"/>
        <v>0.49999999999999956</v>
      </c>
      <c r="J138" s="90">
        <f t="shared" si="12"/>
        <v>0.49999999999999956</v>
      </c>
      <c r="K138" s="91">
        <f t="shared" si="13"/>
        <v>0.72916666666666674</v>
      </c>
      <c r="L138" s="91">
        <f t="shared" si="14"/>
        <v>3.333333333333333</v>
      </c>
      <c r="M138" s="29">
        <f t="shared" si="18"/>
        <v>12</v>
      </c>
      <c r="N138" s="92">
        <f t="shared" si="15"/>
        <v>0.49999999999999956</v>
      </c>
      <c r="O138" s="104">
        <f t="shared" si="16"/>
        <v>1.016</v>
      </c>
      <c r="P138" s="105">
        <f t="shared" si="17"/>
        <v>4.2671999999999963</v>
      </c>
    </row>
    <row r="139" spans="2:16" x14ac:dyDescent="0.25">
      <c r="B139" s="88" t="s">
        <v>18</v>
      </c>
      <c r="C139" s="106">
        <f t="shared" si="10"/>
        <v>2019</v>
      </c>
      <c r="D139" s="101">
        <v>43698</v>
      </c>
      <c r="E139" s="102"/>
      <c r="F139" s="103"/>
      <c r="G139" s="103"/>
      <c r="H139" s="103"/>
      <c r="I139" s="90">
        <f t="shared" si="11"/>
        <v>0</v>
      </c>
      <c r="J139" s="90">
        <f t="shared" si="12"/>
        <v>0</v>
      </c>
      <c r="K139" s="91">
        <f t="shared" si="13"/>
        <v>0.72916666666666674</v>
      </c>
      <c r="L139" s="91">
        <f t="shared" si="14"/>
        <v>3.333333333333333</v>
      </c>
      <c r="M139" s="29">
        <f t="shared" si="18"/>
        <v>12</v>
      </c>
      <c r="N139" s="92">
        <f t="shared" si="15"/>
        <v>0</v>
      </c>
      <c r="O139" s="104">
        <f t="shared" si="16"/>
        <v>1.016</v>
      </c>
      <c r="P139" s="105">
        <f t="shared" si="17"/>
        <v>0</v>
      </c>
    </row>
    <row r="140" spans="2:16" x14ac:dyDescent="0.25">
      <c r="B140" s="88" t="s">
        <v>18</v>
      </c>
      <c r="C140" s="106">
        <f t="shared" si="10"/>
        <v>2019</v>
      </c>
      <c r="D140" s="101">
        <v>43699</v>
      </c>
      <c r="E140" s="102"/>
      <c r="F140" s="103"/>
      <c r="G140" s="103"/>
      <c r="H140" s="103"/>
      <c r="I140" s="90">
        <f t="shared" si="11"/>
        <v>0</v>
      </c>
      <c r="J140" s="90">
        <f t="shared" si="12"/>
        <v>0</v>
      </c>
      <c r="K140" s="91">
        <f t="shared" si="13"/>
        <v>0.72916666666666674</v>
      </c>
      <c r="L140" s="91">
        <f t="shared" si="14"/>
        <v>3.333333333333333</v>
      </c>
      <c r="M140" s="29">
        <f t="shared" si="18"/>
        <v>12</v>
      </c>
      <c r="N140" s="92">
        <f t="shared" si="15"/>
        <v>0</v>
      </c>
      <c r="O140" s="104">
        <f t="shared" si="16"/>
        <v>1.016</v>
      </c>
      <c r="P140" s="105">
        <f t="shared" si="17"/>
        <v>0</v>
      </c>
    </row>
    <row r="141" spans="2:16" x14ac:dyDescent="0.25">
      <c r="B141" s="88" t="s">
        <v>18</v>
      </c>
      <c r="C141" s="106">
        <f t="shared" si="10"/>
        <v>2019</v>
      </c>
      <c r="D141" s="101">
        <v>43700</v>
      </c>
      <c r="E141" s="102"/>
      <c r="F141" s="103"/>
      <c r="G141" s="103"/>
      <c r="H141" s="103"/>
      <c r="I141" s="90">
        <f t="shared" si="11"/>
        <v>0</v>
      </c>
      <c r="J141" s="90">
        <f t="shared" si="12"/>
        <v>0</v>
      </c>
      <c r="K141" s="91">
        <f t="shared" si="13"/>
        <v>0.72916666666666674</v>
      </c>
      <c r="L141" s="91">
        <f t="shared" si="14"/>
        <v>3.333333333333333</v>
      </c>
      <c r="M141" s="29">
        <f t="shared" si="18"/>
        <v>12</v>
      </c>
      <c r="N141" s="92">
        <f t="shared" si="15"/>
        <v>0</v>
      </c>
      <c r="O141" s="104">
        <f t="shared" si="16"/>
        <v>1.016</v>
      </c>
      <c r="P141" s="105">
        <f t="shared" si="17"/>
        <v>0</v>
      </c>
    </row>
    <row r="142" spans="2:16" x14ac:dyDescent="0.25">
      <c r="B142" s="88" t="s">
        <v>18</v>
      </c>
      <c r="C142" s="106">
        <f t="shared" si="10"/>
        <v>2019</v>
      </c>
      <c r="D142" s="101">
        <v>43701</v>
      </c>
      <c r="E142" s="102"/>
      <c r="F142" s="103"/>
      <c r="G142" s="103"/>
      <c r="H142" s="103"/>
      <c r="I142" s="90">
        <f t="shared" si="11"/>
        <v>0</v>
      </c>
      <c r="J142" s="90">
        <f t="shared" si="12"/>
        <v>0</v>
      </c>
      <c r="K142" s="91">
        <f t="shared" si="13"/>
        <v>0.72916666666666674</v>
      </c>
      <c r="L142" s="91">
        <f t="shared" si="14"/>
        <v>3.333333333333333</v>
      </c>
      <c r="M142" s="29">
        <f t="shared" si="18"/>
        <v>12</v>
      </c>
      <c r="N142" s="92">
        <f t="shared" si="15"/>
        <v>0</v>
      </c>
      <c r="O142" s="104">
        <f t="shared" si="16"/>
        <v>1.016</v>
      </c>
      <c r="P142" s="105">
        <f t="shared" si="17"/>
        <v>0</v>
      </c>
    </row>
    <row r="143" spans="2:16" x14ac:dyDescent="0.25">
      <c r="B143" s="88" t="s">
        <v>18</v>
      </c>
      <c r="C143" s="106">
        <f t="shared" si="10"/>
        <v>2019</v>
      </c>
      <c r="D143" s="101">
        <v>43702</v>
      </c>
      <c r="E143" s="102">
        <v>0.75</v>
      </c>
      <c r="F143" s="103">
        <v>0.77083333333333337</v>
      </c>
      <c r="G143" s="103">
        <v>0.75</v>
      </c>
      <c r="H143" s="103">
        <v>0.77083333333333337</v>
      </c>
      <c r="I143" s="90">
        <f t="shared" si="11"/>
        <v>0.50000000000000089</v>
      </c>
      <c r="J143" s="90">
        <f t="shared" si="12"/>
        <v>0.50000000000000089</v>
      </c>
      <c r="K143" s="91">
        <f t="shared" si="13"/>
        <v>0.72916666666666674</v>
      </c>
      <c r="L143" s="91">
        <f t="shared" si="14"/>
        <v>3.333333333333333</v>
      </c>
      <c r="M143" s="29">
        <f t="shared" si="18"/>
        <v>12</v>
      </c>
      <c r="N143" s="92">
        <f t="shared" si="15"/>
        <v>0.50000000000000089</v>
      </c>
      <c r="O143" s="104">
        <f t="shared" si="16"/>
        <v>1.016</v>
      </c>
      <c r="P143" s="105">
        <f t="shared" si="17"/>
        <v>4.267200000000007</v>
      </c>
    </row>
    <row r="144" spans="2:16" x14ac:dyDescent="0.25">
      <c r="B144" s="88" t="s">
        <v>18</v>
      </c>
      <c r="C144" s="106">
        <f t="shared" si="10"/>
        <v>2019</v>
      </c>
      <c r="D144" s="101">
        <v>43703</v>
      </c>
      <c r="E144" s="102"/>
      <c r="F144" s="103"/>
      <c r="G144" s="103"/>
      <c r="H144" s="103"/>
      <c r="I144" s="90">
        <f t="shared" si="11"/>
        <v>0</v>
      </c>
      <c r="J144" s="90">
        <f t="shared" si="12"/>
        <v>0</v>
      </c>
      <c r="K144" s="91">
        <f t="shared" si="13"/>
        <v>0.72916666666666674</v>
      </c>
      <c r="L144" s="91">
        <f t="shared" si="14"/>
        <v>3.333333333333333</v>
      </c>
      <c r="M144" s="29">
        <f t="shared" si="18"/>
        <v>12</v>
      </c>
      <c r="N144" s="92">
        <f t="shared" si="15"/>
        <v>0</v>
      </c>
      <c r="O144" s="104">
        <f t="shared" si="16"/>
        <v>1.016</v>
      </c>
      <c r="P144" s="105">
        <f t="shared" si="17"/>
        <v>0</v>
      </c>
    </row>
    <row r="145" spans="2:16" x14ac:dyDescent="0.25">
      <c r="B145" s="88" t="s">
        <v>18</v>
      </c>
      <c r="C145" s="106">
        <f t="shared" si="10"/>
        <v>2019</v>
      </c>
      <c r="D145" s="101">
        <v>43704</v>
      </c>
      <c r="E145" s="102"/>
      <c r="F145" s="103"/>
      <c r="G145" s="103"/>
      <c r="H145" s="103"/>
      <c r="I145" s="90">
        <f t="shared" si="11"/>
        <v>0</v>
      </c>
      <c r="J145" s="90">
        <f t="shared" si="12"/>
        <v>0</v>
      </c>
      <c r="K145" s="91">
        <f t="shared" si="13"/>
        <v>0.72916666666666674</v>
      </c>
      <c r="L145" s="91">
        <f t="shared" si="14"/>
        <v>3.333333333333333</v>
      </c>
      <c r="M145" s="29">
        <f t="shared" si="18"/>
        <v>12</v>
      </c>
      <c r="N145" s="92">
        <f t="shared" si="15"/>
        <v>0</v>
      </c>
      <c r="O145" s="104">
        <f t="shared" si="16"/>
        <v>1.016</v>
      </c>
      <c r="P145" s="105">
        <f t="shared" si="17"/>
        <v>0</v>
      </c>
    </row>
    <row r="146" spans="2:16" x14ac:dyDescent="0.25">
      <c r="B146" s="88" t="s">
        <v>18</v>
      </c>
      <c r="C146" s="106">
        <f t="shared" si="10"/>
        <v>2019</v>
      </c>
      <c r="D146" s="101">
        <v>43705</v>
      </c>
      <c r="E146" s="102"/>
      <c r="F146" s="103"/>
      <c r="G146" s="103"/>
      <c r="H146" s="103"/>
      <c r="I146" s="90">
        <f t="shared" si="11"/>
        <v>0</v>
      </c>
      <c r="J146" s="90">
        <f t="shared" si="12"/>
        <v>0</v>
      </c>
      <c r="K146" s="91">
        <f t="shared" si="13"/>
        <v>0.72916666666666674</v>
      </c>
      <c r="L146" s="91">
        <f t="shared" si="14"/>
        <v>3.333333333333333</v>
      </c>
      <c r="M146" s="29">
        <f t="shared" si="18"/>
        <v>12</v>
      </c>
      <c r="N146" s="92">
        <f t="shared" si="15"/>
        <v>0</v>
      </c>
      <c r="O146" s="104">
        <f t="shared" si="16"/>
        <v>1.016</v>
      </c>
      <c r="P146" s="105">
        <f t="shared" si="17"/>
        <v>0</v>
      </c>
    </row>
    <row r="147" spans="2:16" x14ac:dyDescent="0.25">
      <c r="B147" s="88" t="s">
        <v>18</v>
      </c>
      <c r="C147" s="106">
        <f t="shared" si="10"/>
        <v>2019</v>
      </c>
      <c r="D147" s="101">
        <v>43706</v>
      </c>
      <c r="E147" s="102"/>
      <c r="F147" s="103"/>
      <c r="G147" s="103"/>
      <c r="H147" s="103"/>
      <c r="I147" s="90">
        <f t="shared" si="11"/>
        <v>0</v>
      </c>
      <c r="J147" s="90">
        <f t="shared" si="12"/>
        <v>0</v>
      </c>
      <c r="K147" s="91">
        <f t="shared" si="13"/>
        <v>0.72916666666666674</v>
      </c>
      <c r="L147" s="91">
        <f t="shared" si="14"/>
        <v>3.333333333333333</v>
      </c>
      <c r="M147" s="29">
        <f t="shared" si="18"/>
        <v>12</v>
      </c>
      <c r="N147" s="92">
        <f t="shared" si="15"/>
        <v>0</v>
      </c>
      <c r="O147" s="104">
        <f t="shared" si="16"/>
        <v>1.016</v>
      </c>
      <c r="P147" s="105">
        <f t="shared" si="17"/>
        <v>0</v>
      </c>
    </row>
    <row r="148" spans="2:16" x14ac:dyDescent="0.25">
      <c r="B148" s="88" t="s">
        <v>18</v>
      </c>
      <c r="C148" s="106">
        <f t="shared" si="10"/>
        <v>2019</v>
      </c>
      <c r="D148" s="101">
        <v>43707</v>
      </c>
      <c r="E148" s="102"/>
      <c r="F148" s="103"/>
      <c r="G148" s="103"/>
      <c r="H148" s="103"/>
      <c r="I148" s="90">
        <f t="shared" si="11"/>
        <v>0</v>
      </c>
      <c r="J148" s="90">
        <f t="shared" si="12"/>
        <v>0</v>
      </c>
      <c r="K148" s="91">
        <f t="shared" si="13"/>
        <v>0.72916666666666674</v>
      </c>
      <c r="L148" s="91">
        <f t="shared" si="14"/>
        <v>3.333333333333333</v>
      </c>
      <c r="M148" s="29">
        <f t="shared" si="18"/>
        <v>12</v>
      </c>
      <c r="N148" s="92">
        <f t="shared" si="15"/>
        <v>0</v>
      </c>
      <c r="O148" s="104">
        <f t="shared" si="16"/>
        <v>1.016</v>
      </c>
      <c r="P148" s="105">
        <f t="shared" si="17"/>
        <v>0</v>
      </c>
    </row>
    <row r="149" spans="2:16" x14ac:dyDescent="0.25">
      <c r="B149" s="88" t="s">
        <v>18</v>
      </c>
      <c r="C149" s="106">
        <f t="shared" si="10"/>
        <v>2019</v>
      </c>
      <c r="D149" s="101">
        <v>43708</v>
      </c>
      <c r="E149" s="102">
        <v>0.60416666666666663</v>
      </c>
      <c r="F149" s="103">
        <v>0.625</v>
      </c>
      <c r="G149" s="103">
        <v>0.60416666666666663</v>
      </c>
      <c r="H149" s="103">
        <v>0.625</v>
      </c>
      <c r="I149" s="90">
        <f t="shared" si="11"/>
        <v>0.50000000000000089</v>
      </c>
      <c r="J149" s="90">
        <f t="shared" si="12"/>
        <v>0.50000000000000089</v>
      </c>
      <c r="K149" s="91">
        <f t="shared" si="13"/>
        <v>0.72916666666666674</v>
      </c>
      <c r="L149" s="91">
        <f t="shared" si="14"/>
        <v>3.333333333333333</v>
      </c>
      <c r="M149" s="29">
        <f t="shared" si="18"/>
        <v>12</v>
      </c>
      <c r="N149" s="92">
        <f t="shared" si="15"/>
        <v>0.50000000000000089</v>
      </c>
      <c r="O149" s="104">
        <f t="shared" si="16"/>
        <v>1.016</v>
      </c>
      <c r="P149" s="105">
        <f t="shared" si="17"/>
        <v>4.267200000000007</v>
      </c>
    </row>
    <row r="150" spans="2:16" x14ac:dyDescent="0.25">
      <c r="B150" s="88" t="s">
        <v>18</v>
      </c>
      <c r="C150" s="106">
        <f t="shared" si="10"/>
        <v>2019</v>
      </c>
      <c r="D150" s="101">
        <v>43709</v>
      </c>
      <c r="E150" s="102"/>
      <c r="F150" s="103"/>
      <c r="G150" s="103"/>
      <c r="H150" s="103"/>
      <c r="I150" s="90">
        <f t="shared" si="11"/>
        <v>0</v>
      </c>
      <c r="J150" s="90">
        <f t="shared" si="12"/>
        <v>0</v>
      </c>
      <c r="K150" s="91">
        <f t="shared" si="13"/>
        <v>0.72916666666666674</v>
      </c>
      <c r="L150" s="91">
        <f t="shared" si="14"/>
        <v>3.333333333333333</v>
      </c>
      <c r="M150" s="29">
        <f t="shared" si="18"/>
        <v>12</v>
      </c>
      <c r="N150" s="92">
        <f t="shared" si="15"/>
        <v>0</v>
      </c>
      <c r="O150" s="104">
        <f t="shared" si="16"/>
        <v>1.016</v>
      </c>
      <c r="P150" s="105">
        <f t="shared" si="17"/>
        <v>0</v>
      </c>
    </row>
    <row r="151" spans="2:16" x14ac:dyDescent="0.25">
      <c r="B151" s="88" t="s">
        <v>18</v>
      </c>
      <c r="C151" s="106">
        <f t="shared" si="10"/>
        <v>2019</v>
      </c>
      <c r="D151" s="101">
        <v>43710</v>
      </c>
      <c r="E151" s="102"/>
      <c r="F151" s="103"/>
      <c r="G151" s="103"/>
      <c r="H151" s="103"/>
      <c r="I151" s="90">
        <f t="shared" si="11"/>
        <v>0</v>
      </c>
      <c r="J151" s="90">
        <f t="shared" si="12"/>
        <v>0</v>
      </c>
      <c r="K151" s="91">
        <f t="shared" si="13"/>
        <v>0.72916666666666674</v>
      </c>
      <c r="L151" s="91">
        <f t="shared" si="14"/>
        <v>3.333333333333333</v>
      </c>
      <c r="M151" s="29">
        <f t="shared" si="18"/>
        <v>12</v>
      </c>
      <c r="N151" s="92">
        <f t="shared" si="15"/>
        <v>0</v>
      </c>
      <c r="O151" s="104">
        <f t="shared" si="16"/>
        <v>1.016</v>
      </c>
      <c r="P151" s="105">
        <f t="shared" si="17"/>
        <v>0</v>
      </c>
    </row>
    <row r="152" spans="2:16" x14ac:dyDescent="0.25">
      <c r="B152" s="88" t="s">
        <v>18</v>
      </c>
      <c r="C152" s="106">
        <f t="shared" si="10"/>
        <v>2019</v>
      </c>
      <c r="D152" s="101">
        <v>43711</v>
      </c>
      <c r="E152" s="102"/>
      <c r="F152" s="103"/>
      <c r="G152" s="103"/>
      <c r="H152" s="103"/>
      <c r="I152" s="90">
        <f t="shared" si="11"/>
        <v>0</v>
      </c>
      <c r="J152" s="90">
        <f t="shared" si="12"/>
        <v>0</v>
      </c>
      <c r="K152" s="91">
        <f t="shared" si="13"/>
        <v>0.72916666666666674</v>
      </c>
      <c r="L152" s="91">
        <f t="shared" si="14"/>
        <v>3.333333333333333</v>
      </c>
      <c r="M152" s="29">
        <f t="shared" si="18"/>
        <v>12</v>
      </c>
      <c r="N152" s="92">
        <f t="shared" si="15"/>
        <v>0</v>
      </c>
      <c r="O152" s="104">
        <f t="shared" si="16"/>
        <v>1.016</v>
      </c>
      <c r="P152" s="105">
        <f t="shared" si="17"/>
        <v>0</v>
      </c>
    </row>
    <row r="153" spans="2:16" x14ac:dyDescent="0.25">
      <c r="B153" s="88" t="s">
        <v>18</v>
      </c>
      <c r="C153" s="106">
        <f t="shared" si="10"/>
        <v>2019</v>
      </c>
      <c r="D153" s="101">
        <v>43712</v>
      </c>
      <c r="E153" s="102"/>
      <c r="F153" s="103"/>
      <c r="G153" s="103"/>
      <c r="H153" s="103"/>
      <c r="I153" s="90">
        <f t="shared" si="11"/>
        <v>0</v>
      </c>
      <c r="J153" s="90">
        <f t="shared" si="12"/>
        <v>0</v>
      </c>
      <c r="K153" s="91">
        <f t="shared" si="13"/>
        <v>0.72916666666666674</v>
      </c>
      <c r="L153" s="91">
        <f t="shared" si="14"/>
        <v>3.333333333333333</v>
      </c>
      <c r="M153" s="29">
        <f t="shared" si="18"/>
        <v>12</v>
      </c>
      <c r="N153" s="92">
        <f t="shared" si="15"/>
        <v>0</v>
      </c>
      <c r="O153" s="104">
        <f t="shared" si="16"/>
        <v>1.016</v>
      </c>
      <c r="P153" s="105">
        <f t="shared" si="17"/>
        <v>0</v>
      </c>
    </row>
    <row r="154" spans="2:16" x14ac:dyDescent="0.25">
      <c r="B154" s="88" t="s">
        <v>18</v>
      </c>
      <c r="C154" s="106">
        <f t="shared" si="10"/>
        <v>2019</v>
      </c>
      <c r="D154" s="101">
        <v>43713</v>
      </c>
      <c r="E154" s="102"/>
      <c r="F154" s="103"/>
      <c r="G154" s="103"/>
      <c r="H154" s="103"/>
      <c r="I154" s="90">
        <f t="shared" si="11"/>
        <v>0</v>
      </c>
      <c r="J154" s="90">
        <f t="shared" si="12"/>
        <v>0</v>
      </c>
      <c r="K154" s="91">
        <f t="shared" si="13"/>
        <v>0.72916666666666674</v>
      </c>
      <c r="L154" s="91">
        <f t="shared" si="14"/>
        <v>3.333333333333333</v>
      </c>
      <c r="M154" s="29">
        <f t="shared" si="18"/>
        <v>12</v>
      </c>
      <c r="N154" s="92">
        <f t="shared" si="15"/>
        <v>0</v>
      </c>
      <c r="O154" s="104">
        <f t="shared" si="16"/>
        <v>1.016</v>
      </c>
      <c r="P154" s="105">
        <f t="shared" si="17"/>
        <v>0</v>
      </c>
    </row>
    <row r="155" spans="2:16" x14ac:dyDescent="0.25">
      <c r="B155" s="88" t="s">
        <v>18</v>
      </c>
      <c r="C155" s="106">
        <f t="shared" ref="C155:C218" si="20">YEAR(D155)</f>
        <v>2019</v>
      </c>
      <c r="D155" s="101">
        <v>43714</v>
      </c>
      <c r="E155" s="102"/>
      <c r="F155" s="103"/>
      <c r="G155" s="103"/>
      <c r="H155" s="103"/>
      <c r="I155" s="90">
        <f t="shared" ref="I155:I218" si="21">((F155-E155)-INT($D$20))*24</f>
        <v>0</v>
      </c>
      <c r="J155" s="90">
        <f t="shared" ref="J155:J218" si="22">((H155-G155)-INT($D$20))*24</f>
        <v>0</v>
      </c>
      <c r="K155" s="91">
        <f t="shared" ref="K155:K218" si="23">VLOOKUP(B155,$B$5:$J$17,5,FALSE)</f>
        <v>0.72916666666666674</v>
      </c>
      <c r="L155" s="91">
        <f t="shared" ref="L155:L218" si="24">VLOOKUP(B155,$B$5:$J$17,6,FALSE)</f>
        <v>3.333333333333333</v>
      </c>
      <c r="M155" s="29">
        <f t="shared" si="18"/>
        <v>12</v>
      </c>
      <c r="N155" s="92">
        <f t="shared" ref="N155:N218" si="25">I155</f>
        <v>0</v>
      </c>
      <c r="O155" s="104">
        <f t="shared" ref="O155:O218" si="26">$D$21/1000</f>
        <v>1.016</v>
      </c>
      <c r="P155" s="105">
        <f t="shared" ref="P155:P218" si="27">M155*N155*O155*0.7</f>
        <v>0</v>
      </c>
    </row>
    <row r="156" spans="2:16" x14ac:dyDescent="0.25">
      <c r="B156" s="88" t="s">
        <v>18</v>
      </c>
      <c r="C156" s="106">
        <f t="shared" si="20"/>
        <v>2019</v>
      </c>
      <c r="D156" s="101">
        <v>43715</v>
      </c>
      <c r="E156" s="102">
        <v>0.54166666666666663</v>
      </c>
      <c r="F156" s="103">
        <v>0.5625</v>
      </c>
      <c r="G156" s="103">
        <v>0.54166666666666663</v>
      </c>
      <c r="H156" s="103">
        <v>0.5625</v>
      </c>
      <c r="I156" s="90">
        <f t="shared" si="21"/>
        <v>0.50000000000000089</v>
      </c>
      <c r="J156" s="90">
        <f t="shared" si="22"/>
        <v>0.50000000000000089</v>
      </c>
      <c r="K156" s="91">
        <f t="shared" si="23"/>
        <v>0.72916666666666674</v>
      </c>
      <c r="L156" s="91">
        <f t="shared" si="24"/>
        <v>3.333333333333333</v>
      </c>
      <c r="M156" s="29">
        <f t="shared" ref="M156:M219" si="28">VLOOKUP(B156,$I$5:$J$17,2,FALSE)</f>
        <v>12</v>
      </c>
      <c r="N156" s="92">
        <f t="shared" si="25"/>
        <v>0.50000000000000089</v>
      </c>
      <c r="O156" s="104">
        <f t="shared" si="26"/>
        <v>1.016</v>
      </c>
      <c r="P156" s="105">
        <f t="shared" si="27"/>
        <v>4.267200000000007</v>
      </c>
    </row>
    <row r="157" spans="2:16" x14ac:dyDescent="0.25">
      <c r="B157" s="88" t="s">
        <v>18</v>
      </c>
      <c r="C157" s="106">
        <f t="shared" si="20"/>
        <v>2019</v>
      </c>
      <c r="D157" s="101">
        <v>43716</v>
      </c>
      <c r="E157" s="102"/>
      <c r="F157" s="103"/>
      <c r="G157" s="103"/>
      <c r="H157" s="103"/>
      <c r="I157" s="90">
        <f t="shared" si="21"/>
        <v>0</v>
      </c>
      <c r="J157" s="90">
        <f t="shared" si="22"/>
        <v>0</v>
      </c>
      <c r="K157" s="91">
        <f t="shared" si="23"/>
        <v>0.72916666666666674</v>
      </c>
      <c r="L157" s="91">
        <f t="shared" si="24"/>
        <v>3.333333333333333</v>
      </c>
      <c r="M157" s="29">
        <f t="shared" si="28"/>
        <v>12</v>
      </c>
      <c r="N157" s="92">
        <f t="shared" si="25"/>
        <v>0</v>
      </c>
      <c r="O157" s="104">
        <f t="shared" si="26"/>
        <v>1.016</v>
      </c>
      <c r="P157" s="105">
        <f t="shared" si="27"/>
        <v>0</v>
      </c>
    </row>
    <row r="158" spans="2:16" x14ac:dyDescent="0.25">
      <c r="B158" s="88" t="s">
        <v>18</v>
      </c>
      <c r="C158" s="106">
        <f t="shared" si="20"/>
        <v>2019</v>
      </c>
      <c r="D158" s="101">
        <v>43717</v>
      </c>
      <c r="E158" s="102"/>
      <c r="F158" s="103"/>
      <c r="G158" s="103"/>
      <c r="H158" s="103"/>
      <c r="I158" s="90">
        <f t="shared" si="21"/>
        <v>0</v>
      </c>
      <c r="J158" s="90">
        <f t="shared" si="22"/>
        <v>0</v>
      </c>
      <c r="K158" s="91">
        <f t="shared" si="23"/>
        <v>0.72916666666666674</v>
      </c>
      <c r="L158" s="91">
        <f t="shared" si="24"/>
        <v>3.333333333333333</v>
      </c>
      <c r="M158" s="29">
        <f t="shared" si="28"/>
        <v>12</v>
      </c>
      <c r="N158" s="92">
        <f t="shared" si="25"/>
        <v>0</v>
      </c>
      <c r="O158" s="104">
        <f t="shared" si="26"/>
        <v>1.016</v>
      </c>
      <c r="P158" s="105">
        <f t="shared" si="27"/>
        <v>0</v>
      </c>
    </row>
    <row r="159" spans="2:16" x14ac:dyDescent="0.25">
      <c r="B159" s="88" t="s">
        <v>18</v>
      </c>
      <c r="C159" s="106">
        <f t="shared" si="20"/>
        <v>2019</v>
      </c>
      <c r="D159" s="101">
        <v>43718</v>
      </c>
      <c r="E159" s="102"/>
      <c r="F159" s="103"/>
      <c r="G159" s="103"/>
      <c r="H159" s="103"/>
      <c r="I159" s="90">
        <f t="shared" si="21"/>
        <v>0</v>
      </c>
      <c r="J159" s="90">
        <f t="shared" si="22"/>
        <v>0</v>
      </c>
      <c r="K159" s="91">
        <f t="shared" si="23"/>
        <v>0.72916666666666674</v>
      </c>
      <c r="L159" s="91">
        <f t="shared" si="24"/>
        <v>3.333333333333333</v>
      </c>
      <c r="M159" s="29">
        <f t="shared" si="28"/>
        <v>12</v>
      </c>
      <c r="N159" s="92">
        <f t="shared" si="25"/>
        <v>0</v>
      </c>
      <c r="O159" s="104">
        <f t="shared" si="26"/>
        <v>1.016</v>
      </c>
      <c r="P159" s="105">
        <f t="shared" si="27"/>
        <v>0</v>
      </c>
    </row>
    <row r="160" spans="2:16" x14ac:dyDescent="0.25">
      <c r="B160" s="88" t="s">
        <v>18</v>
      </c>
      <c r="C160" s="106">
        <f t="shared" si="20"/>
        <v>2019</v>
      </c>
      <c r="D160" s="101">
        <v>43719</v>
      </c>
      <c r="E160" s="102">
        <v>0.60416666666666663</v>
      </c>
      <c r="F160" s="103">
        <v>0.625</v>
      </c>
      <c r="G160" s="103">
        <v>0.60416666666666663</v>
      </c>
      <c r="H160" s="103">
        <v>0.625</v>
      </c>
      <c r="I160" s="90">
        <f t="shared" si="21"/>
        <v>0.50000000000000089</v>
      </c>
      <c r="J160" s="90">
        <f t="shared" si="22"/>
        <v>0.50000000000000089</v>
      </c>
      <c r="K160" s="91">
        <f t="shared" si="23"/>
        <v>0.72916666666666674</v>
      </c>
      <c r="L160" s="91">
        <f t="shared" si="24"/>
        <v>3.333333333333333</v>
      </c>
      <c r="M160" s="29">
        <f t="shared" si="28"/>
        <v>12</v>
      </c>
      <c r="N160" s="92">
        <f t="shared" si="25"/>
        <v>0.50000000000000089</v>
      </c>
      <c r="O160" s="104">
        <f t="shared" si="26"/>
        <v>1.016</v>
      </c>
      <c r="P160" s="105">
        <f t="shared" si="27"/>
        <v>4.267200000000007</v>
      </c>
    </row>
    <row r="161" spans="2:16" x14ac:dyDescent="0.25">
      <c r="B161" s="88" t="s">
        <v>18</v>
      </c>
      <c r="C161" s="106">
        <f t="shared" si="20"/>
        <v>2019</v>
      </c>
      <c r="D161" s="101">
        <v>43720</v>
      </c>
      <c r="E161" s="102"/>
      <c r="F161" s="103"/>
      <c r="G161" s="103"/>
      <c r="H161" s="103"/>
      <c r="I161" s="90">
        <f t="shared" si="21"/>
        <v>0</v>
      </c>
      <c r="J161" s="90">
        <f t="shared" si="22"/>
        <v>0</v>
      </c>
      <c r="K161" s="91">
        <f t="shared" si="23"/>
        <v>0.72916666666666674</v>
      </c>
      <c r="L161" s="91">
        <f t="shared" si="24"/>
        <v>3.333333333333333</v>
      </c>
      <c r="M161" s="29">
        <f t="shared" si="28"/>
        <v>12</v>
      </c>
      <c r="N161" s="92">
        <f t="shared" si="25"/>
        <v>0</v>
      </c>
      <c r="O161" s="104">
        <f t="shared" si="26"/>
        <v>1.016</v>
      </c>
      <c r="P161" s="105">
        <f t="shared" si="27"/>
        <v>0</v>
      </c>
    </row>
    <row r="162" spans="2:16" x14ac:dyDescent="0.25">
      <c r="B162" s="88" t="s">
        <v>18</v>
      </c>
      <c r="C162" s="106">
        <f t="shared" si="20"/>
        <v>2019</v>
      </c>
      <c r="D162" s="101">
        <v>43721</v>
      </c>
      <c r="E162" s="102"/>
      <c r="F162" s="103"/>
      <c r="G162" s="103"/>
      <c r="H162" s="103"/>
      <c r="I162" s="90">
        <f t="shared" si="21"/>
        <v>0</v>
      </c>
      <c r="J162" s="90">
        <f t="shared" si="22"/>
        <v>0</v>
      </c>
      <c r="K162" s="91">
        <f t="shared" si="23"/>
        <v>0.72916666666666674</v>
      </c>
      <c r="L162" s="91">
        <f t="shared" si="24"/>
        <v>3.333333333333333</v>
      </c>
      <c r="M162" s="29">
        <f t="shared" si="28"/>
        <v>12</v>
      </c>
      <c r="N162" s="92">
        <f t="shared" si="25"/>
        <v>0</v>
      </c>
      <c r="O162" s="104">
        <f t="shared" si="26"/>
        <v>1.016</v>
      </c>
      <c r="P162" s="105">
        <f t="shared" si="27"/>
        <v>0</v>
      </c>
    </row>
    <row r="163" spans="2:16" x14ac:dyDescent="0.25">
      <c r="B163" s="88" t="s">
        <v>18</v>
      </c>
      <c r="C163" s="106">
        <f t="shared" si="20"/>
        <v>2019</v>
      </c>
      <c r="D163" s="101">
        <v>43722</v>
      </c>
      <c r="E163" s="102"/>
      <c r="F163" s="103"/>
      <c r="G163" s="103"/>
      <c r="H163" s="103"/>
      <c r="I163" s="90">
        <f t="shared" si="21"/>
        <v>0</v>
      </c>
      <c r="J163" s="90">
        <f t="shared" si="22"/>
        <v>0</v>
      </c>
      <c r="K163" s="91">
        <f t="shared" si="23"/>
        <v>0.72916666666666674</v>
      </c>
      <c r="L163" s="91">
        <f t="shared" si="24"/>
        <v>3.333333333333333</v>
      </c>
      <c r="M163" s="29">
        <f t="shared" si="28"/>
        <v>12</v>
      </c>
      <c r="N163" s="92">
        <f t="shared" si="25"/>
        <v>0</v>
      </c>
      <c r="O163" s="104">
        <f t="shared" si="26"/>
        <v>1.016</v>
      </c>
      <c r="P163" s="105">
        <f t="shared" si="27"/>
        <v>0</v>
      </c>
    </row>
    <row r="164" spans="2:16" x14ac:dyDescent="0.25">
      <c r="B164" s="88" t="s">
        <v>18</v>
      </c>
      <c r="C164" s="106">
        <f t="shared" si="20"/>
        <v>2019</v>
      </c>
      <c r="D164" s="101">
        <v>43723</v>
      </c>
      <c r="E164" s="102"/>
      <c r="F164" s="103"/>
      <c r="G164" s="103"/>
      <c r="H164" s="103"/>
      <c r="I164" s="90">
        <f t="shared" si="21"/>
        <v>0</v>
      </c>
      <c r="J164" s="90">
        <f t="shared" si="22"/>
        <v>0</v>
      </c>
      <c r="K164" s="91">
        <f t="shared" si="23"/>
        <v>0.72916666666666674</v>
      </c>
      <c r="L164" s="91">
        <f t="shared" si="24"/>
        <v>3.333333333333333</v>
      </c>
      <c r="M164" s="29">
        <f t="shared" si="28"/>
        <v>12</v>
      </c>
      <c r="N164" s="92">
        <f t="shared" si="25"/>
        <v>0</v>
      </c>
      <c r="O164" s="104">
        <f t="shared" si="26"/>
        <v>1.016</v>
      </c>
      <c r="P164" s="105">
        <f t="shared" si="27"/>
        <v>0</v>
      </c>
    </row>
    <row r="165" spans="2:16" x14ac:dyDescent="0.25">
      <c r="B165" s="88" t="s">
        <v>18</v>
      </c>
      <c r="C165" s="106">
        <f t="shared" si="20"/>
        <v>2019</v>
      </c>
      <c r="D165" s="101">
        <v>43724</v>
      </c>
      <c r="E165" s="102"/>
      <c r="F165" s="103"/>
      <c r="G165" s="103"/>
      <c r="H165" s="103"/>
      <c r="I165" s="90">
        <f t="shared" si="21"/>
        <v>0</v>
      </c>
      <c r="J165" s="90">
        <f t="shared" si="22"/>
        <v>0</v>
      </c>
      <c r="K165" s="91">
        <f t="shared" si="23"/>
        <v>0.72916666666666674</v>
      </c>
      <c r="L165" s="91">
        <f t="shared" si="24"/>
        <v>3.333333333333333</v>
      </c>
      <c r="M165" s="29">
        <f t="shared" si="28"/>
        <v>12</v>
      </c>
      <c r="N165" s="92">
        <f t="shared" si="25"/>
        <v>0</v>
      </c>
      <c r="O165" s="104">
        <f t="shared" si="26"/>
        <v>1.016</v>
      </c>
      <c r="P165" s="105">
        <f t="shared" si="27"/>
        <v>0</v>
      </c>
    </row>
    <row r="166" spans="2:16" x14ac:dyDescent="0.25">
      <c r="B166" s="88" t="s">
        <v>18</v>
      </c>
      <c r="C166" s="106">
        <f t="shared" si="20"/>
        <v>2019</v>
      </c>
      <c r="D166" s="101">
        <v>43725</v>
      </c>
      <c r="E166" s="102"/>
      <c r="F166" s="103"/>
      <c r="G166" s="103"/>
      <c r="H166" s="103"/>
      <c r="I166" s="90">
        <f t="shared" si="21"/>
        <v>0</v>
      </c>
      <c r="J166" s="90">
        <f t="shared" si="22"/>
        <v>0</v>
      </c>
      <c r="K166" s="91">
        <f t="shared" si="23"/>
        <v>0.72916666666666674</v>
      </c>
      <c r="L166" s="91">
        <f t="shared" si="24"/>
        <v>3.333333333333333</v>
      </c>
      <c r="M166" s="29">
        <f t="shared" si="28"/>
        <v>12</v>
      </c>
      <c r="N166" s="92">
        <f t="shared" si="25"/>
        <v>0</v>
      </c>
      <c r="O166" s="104">
        <f t="shared" si="26"/>
        <v>1.016</v>
      </c>
      <c r="P166" s="105">
        <f t="shared" si="27"/>
        <v>0</v>
      </c>
    </row>
    <row r="167" spans="2:16" x14ac:dyDescent="0.25">
      <c r="B167" s="88" t="s">
        <v>18</v>
      </c>
      <c r="C167" s="106">
        <f t="shared" si="20"/>
        <v>2019</v>
      </c>
      <c r="D167" s="101">
        <v>43726</v>
      </c>
      <c r="E167" s="102"/>
      <c r="F167" s="103"/>
      <c r="G167" s="103"/>
      <c r="H167" s="103"/>
      <c r="I167" s="90">
        <f t="shared" si="21"/>
        <v>0</v>
      </c>
      <c r="J167" s="90">
        <f t="shared" si="22"/>
        <v>0</v>
      </c>
      <c r="K167" s="91">
        <f t="shared" si="23"/>
        <v>0.72916666666666674</v>
      </c>
      <c r="L167" s="91">
        <f t="shared" si="24"/>
        <v>3.333333333333333</v>
      </c>
      <c r="M167" s="29">
        <f t="shared" si="28"/>
        <v>12</v>
      </c>
      <c r="N167" s="92">
        <f t="shared" si="25"/>
        <v>0</v>
      </c>
      <c r="O167" s="104">
        <f t="shared" si="26"/>
        <v>1.016</v>
      </c>
      <c r="P167" s="105">
        <f t="shared" si="27"/>
        <v>0</v>
      </c>
    </row>
    <row r="168" spans="2:16" x14ac:dyDescent="0.25">
      <c r="B168" s="88" t="s">
        <v>18</v>
      </c>
      <c r="C168" s="106">
        <f t="shared" si="20"/>
        <v>2019</v>
      </c>
      <c r="D168" s="101">
        <v>43727</v>
      </c>
      <c r="E168" s="102">
        <v>0.75</v>
      </c>
      <c r="F168" s="103">
        <v>0.77083333333333337</v>
      </c>
      <c r="G168" s="103">
        <v>0.75</v>
      </c>
      <c r="H168" s="103">
        <v>0.77083333333333337</v>
      </c>
      <c r="I168" s="90">
        <f t="shared" si="21"/>
        <v>0.50000000000000089</v>
      </c>
      <c r="J168" s="90">
        <f t="shared" si="22"/>
        <v>0.50000000000000089</v>
      </c>
      <c r="K168" s="91">
        <f t="shared" si="23"/>
        <v>0.72916666666666674</v>
      </c>
      <c r="L168" s="91">
        <f t="shared" si="24"/>
        <v>3.333333333333333</v>
      </c>
      <c r="M168" s="29">
        <f t="shared" si="28"/>
        <v>12</v>
      </c>
      <c r="N168" s="92">
        <f t="shared" si="25"/>
        <v>0.50000000000000089</v>
      </c>
      <c r="O168" s="104">
        <f t="shared" si="26"/>
        <v>1.016</v>
      </c>
      <c r="P168" s="105">
        <f t="shared" si="27"/>
        <v>4.267200000000007</v>
      </c>
    </row>
    <row r="169" spans="2:16" x14ac:dyDescent="0.25">
      <c r="B169" s="88" t="s">
        <v>18</v>
      </c>
      <c r="C169" s="106">
        <f t="shared" si="20"/>
        <v>2019</v>
      </c>
      <c r="D169" s="101">
        <v>43728</v>
      </c>
      <c r="E169" s="102"/>
      <c r="F169" s="103"/>
      <c r="G169" s="103"/>
      <c r="H169" s="103"/>
      <c r="I169" s="90">
        <f t="shared" si="21"/>
        <v>0</v>
      </c>
      <c r="J169" s="90">
        <f t="shared" si="22"/>
        <v>0</v>
      </c>
      <c r="K169" s="91">
        <f t="shared" si="23"/>
        <v>0.72916666666666674</v>
      </c>
      <c r="L169" s="91">
        <f t="shared" si="24"/>
        <v>3.333333333333333</v>
      </c>
      <c r="M169" s="29">
        <f t="shared" si="28"/>
        <v>12</v>
      </c>
      <c r="N169" s="92">
        <f t="shared" si="25"/>
        <v>0</v>
      </c>
      <c r="O169" s="104">
        <f t="shared" si="26"/>
        <v>1.016</v>
      </c>
      <c r="P169" s="105">
        <f t="shared" si="27"/>
        <v>0</v>
      </c>
    </row>
    <row r="170" spans="2:16" x14ac:dyDescent="0.25">
      <c r="B170" s="88" t="s">
        <v>18</v>
      </c>
      <c r="C170" s="106">
        <f t="shared" si="20"/>
        <v>2019</v>
      </c>
      <c r="D170" s="101">
        <v>43729</v>
      </c>
      <c r="E170" s="102"/>
      <c r="F170" s="103"/>
      <c r="G170" s="103"/>
      <c r="H170" s="103"/>
      <c r="I170" s="90">
        <f t="shared" si="21"/>
        <v>0</v>
      </c>
      <c r="J170" s="90">
        <f t="shared" si="22"/>
        <v>0</v>
      </c>
      <c r="K170" s="91">
        <f t="shared" si="23"/>
        <v>0.72916666666666674</v>
      </c>
      <c r="L170" s="91">
        <f t="shared" si="24"/>
        <v>3.333333333333333</v>
      </c>
      <c r="M170" s="29">
        <f t="shared" si="28"/>
        <v>12</v>
      </c>
      <c r="N170" s="92">
        <f t="shared" si="25"/>
        <v>0</v>
      </c>
      <c r="O170" s="104">
        <f t="shared" si="26"/>
        <v>1.016</v>
      </c>
      <c r="P170" s="105">
        <f t="shared" si="27"/>
        <v>0</v>
      </c>
    </row>
    <row r="171" spans="2:16" x14ac:dyDescent="0.25">
      <c r="B171" s="88" t="s">
        <v>18</v>
      </c>
      <c r="C171" s="106">
        <f t="shared" si="20"/>
        <v>2019</v>
      </c>
      <c r="D171" s="101">
        <v>43730</v>
      </c>
      <c r="E171" s="102"/>
      <c r="F171" s="103"/>
      <c r="G171" s="103"/>
      <c r="H171" s="103"/>
      <c r="I171" s="90">
        <f t="shared" si="21"/>
        <v>0</v>
      </c>
      <c r="J171" s="90">
        <f t="shared" si="22"/>
        <v>0</v>
      </c>
      <c r="K171" s="91">
        <f t="shared" si="23"/>
        <v>0.72916666666666674</v>
      </c>
      <c r="L171" s="91">
        <f t="shared" si="24"/>
        <v>3.333333333333333</v>
      </c>
      <c r="M171" s="29">
        <f t="shared" si="28"/>
        <v>12</v>
      </c>
      <c r="N171" s="92">
        <f t="shared" si="25"/>
        <v>0</v>
      </c>
      <c r="O171" s="104">
        <f t="shared" si="26"/>
        <v>1.016</v>
      </c>
      <c r="P171" s="105">
        <f t="shared" si="27"/>
        <v>0</v>
      </c>
    </row>
    <row r="172" spans="2:16" x14ac:dyDescent="0.25">
      <c r="B172" s="88" t="s">
        <v>18</v>
      </c>
      <c r="C172" s="106">
        <f t="shared" si="20"/>
        <v>2019</v>
      </c>
      <c r="D172" s="101">
        <v>43731</v>
      </c>
      <c r="E172" s="102"/>
      <c r="F172" s="103"/>
      <c r="G172" s="103"/>
      <c r="H172" s="103"/>
      <c r="I172" s="90">
        <f t="shared" si="21"/>
        <v>0</v>
      </c>
      <c r="J172" s="90">
        <f t="shared" si="22"/>
        <v>0</v>
      </c>
      <c r="K172" s="91">
        <f t="shared" si="23"/>
        <v>0.72916666666666674</v>
      </c>
      <c r="L172" s="91">
        <f t="shared" si="24"/>
        <v>3.333333333333333</v>
      </c>
      <c r="M172" s="29">
        <f t="shared" si="28"/>
        <v>12</v>
      </c>
      <c r="N172" s="92">
        <f t="shared" si="25"/>
        <v>0</v>
      </c>
      <c r="O172" s="104">
        <f t="shared" si="26"/>
        <v>1.016</v>
      </c>
      <c r="P172" s="105">
        <f t="shared" si="27"/>
        <v>0</v>
      </c>
    </row>
    <row r="173" spans="2:16" x14ac:dyDescent="0.25">
      <c r="B173" s="88" t="s">
        <v>18</v>
      </c>
      <c r="C173" s="106">
        <f t="shared" si="20"/>
        <v>2019</v>
      </c>
      <c r="D173" s="101">
        <v>43732</v>
      </c>
      <c r="E173" s="102"/>
      <c r="F173" s="103"/>
      <c r="G173" s="103"/>
      <c r="H173" s="103"/>
      <c r="I173" s="90">
        <f t="shared" si="21"/>
        <v>0</v>
      </c>
      <c r="J173" s="90">
        <f t="shared" si="22"/>
        <v>0</v>
      </c>
      <c r="K173" s="91">
        <f t="shared" si="23"/>
        <v>0.72916666666666674</v>
      </c>
      <c r="L173" s="91">
        <f t="shared" si="24"/>
        <v>3.333333333333333</v>
      </c>
      <c r="M173" s="29">
        <f t="shared" si="28"/>
        <v>12</v>
      </c>
      <c r="N173" s="92">
        <f t="shared" si="25"/>
        <v>0</v>
      </c>
      <c r="O173" s="104">
        <f t="shared" si="26"/>
        <v>1.016</v>
      </c>
      <c r="P173" s="105">
        <f t="shared" si="27"/>
        <v>0</v>
      </c>
    </row>
    <row r="174" spans="2:16" x14ac:dyDescent="0.25">
      <c r="B174" s="88" t="s">
        <v>18</v>
      </c>
      <c r="C174" s="106">
        <f t="shared" si="20"/>
        <v>2019</v>
      </c>
      <c r="D174" s="101">
        <v>43733</v>
      </c>
      <c r="E174" s="102"/>
      <c r="F174" s="103"/>
      <c r="G174" s="103"/>
      <c r="H174" s="103"/>
      <c r="I174" s="90">
        <f t="shared" si="21"/>
        <v>0</v>
      </c>
      <c r="J174" s="90">
        <f t="shared" si="22"/>
        <v>0</v>
      </c>
      <c r="K174" s="91">
        <f t="shared" si="23"/>
        <v>0.72916666666666674</v>
      </c>
      <c r="L174" s="91">
        <f t="shared" si="24"/>
        <v>3.333333333333333</v>
      </c>
      <c r="M174" s="29">
        <f t="shared" si="28"/>
        <v>12</v>
      </c>
      <c r="N174" s="92">
        <f t="shared" si="25"/>
        <v>0</v>
      </c>
      <c r="O174" s="104">
        <f t="shared" si="26"/>
        <v>1.016</v>
      </c>
      <c r="P174" s="105">
        <f t="shared" si="27"/>
        <v>0</v>
      </c>
    </row>
    <row r="175" spans="2:16" x14ac:dyDescent="0.25">
      <c r="B175" s="88" t="s">
        <v>18</v>
      </c>
      <c r="C175" s="106">
        <f t="shared" si="20"/>
        <v>2019</v>
      </c>
      <c r="D175" s="101">
        <v>43734</v>
      </c>
      <c r="E175" s="102"/>
      <c r="F175" s="103"/>
      <c r="G175" s="103"/>
      <c r="H175" s="103"/>
      <c r="I175" s="90">
        <f t="shared" si="21"/>
        <v>0</v>
      </c>
      <c r="J175" s="90">
        <f t="shared" si="22"/>
        <v>0</v>
      </c>
      <c r="K175" s="91">
        <f t="shared" si="23"/>
        <v>0.72916666666666674</v>
      </c>
      <c r="L175" s="91">
        <f t="shared" si="24"/>
        <v>3.333333333333333</v>
      </c>
      <c r="M175" s="29">
        <f t="shared" si="28"/>
        <v>12</v>
      </c>
      <c r="N175" s="92">
        <f t="shared" si="25"/>
        <v>0</v>
      </c>
      <c r="O175" s="104">
        <f t="shared" si="26"/>
        <v>1.016</v>
      </c>
      <c r="P175" s="105">
        <f t="shared" si="27"/>
        <v>0</v>
      </c>
    </row>
    <row r="176" spans="2:16" x14ac:dyDescent="0.25">
      <c r="B176" s="88" t="s">
        <v>18</v>
      </c>
      <c r="C176" s="106">
        <f t="shared" si="20"/>
        <v>2019</v>
      </c>
      <c r="D176" s="101">
        <v>43735</v>
      </c>
      <c r="E176" s="102"/>
      <c r="F176" s="103"/>
      <c r="G176" s="103"/>
      <c r="H176" s="103"/>
      <c r="I176" s="90">
        <f t="shared" si="21"/>
        <v>0</v>
      </c>
      <c r="J176" s="90">
        <f t="shared" si="22"/>
        <v>0</v>
      </c>
      <c r="K176" s="91">
        <f t="shared" si="23"/>
        <v>0.72916666666666674</v>
      </c>
      <c r="L176" s="91">
        <f t="shared" si="24"/>
        <v>3.333333333333333</v>
      </c>
      <c r="M176" s="29">
        <f t="shared" si="28"/>
        <v>12</v>
      </c>
      <c r="N176" s="92">
        <f t="shared" si="25"/>
        <v>0</v>
      </c>
      <c r="O176" s="104">
        <f t="shared" si="26"/>
        <v>1.016</v>
      </c>
      <c r="P176" s="105">
        <f t="shared" si="27"/>
        <v>0</v>
      </c>
    </row>
    <row r="177" spans="2:16" x14ac:dyDescent="0.25">
      <c r="B177" s="88" t="s">
        <v>18</v>
      </c>
      <c r="C177" s="106">
        <f t="shared" si="20"/>
        <v>2019</v>
      </c>
      <c r="D177" s="101">
        <v>43736</v>
      </c>
      <c r="E177" s="102">
        <v>0.4375</v>
      </c>
      <c r="F177" s="103">
        <v>0.45833333333333331</v>
      </c>
      <c r="G177" s="103">
        <v>0.4375</v>
      </c>
      <c r="H177" s="103">
        <v>0.45833333333333331</v>
      </c>
      <c r="I177" s="90">
        <f t="shared" si="21"/>
        <v>0.49999999999999956</v>
      </c>
      <c r="J177" s="90">
        <f t="shared" si="22"/>
        <v>0.49999999999999956</v>
      </c>
      <c r="K177" s="91">
        <f t="shared" si="23"/>
        <v>0.72916666666666674</v>
      </c>
      <c r="L177" s="91">
        <f t="shared" si="24"/>
        <v>3.333333333333333</v>
      </c>
      <c r="M177" s="29">
        <f t="shared" si="28"/>
        <v>12</v>
      </c>
      <c r="N177" s="92">
        <f t="shared" si="25"/>
        <v>0.49999999999999956</v>
      </c>
      <c r="O177" s="104">
        <f t="shared" si="26"/>
        <v>1.016</v>
      </c>
      <c r="P177" s="105">
        <f t="shared" si="27"/>
        <v>4.2671999999999963</v>
      </c>
    </row>
    <row r="178" spans="2:16" x14ac:dyDescent="0.25">
      <c r="B178" s="88" t="s">
        <v>18</v>
      </c>
      <c r="C178" s="106">
        <f t="shared" si="20"/>
        <v>2019</v>
      </c>
      <c r="D178" s="101">
        <v>43737</v>
      </c>
      <c r="E178" s="102"/>
      <c r="F178" s="103"/>
      <c r="G178" s="103"/>
      <c r="H178" s="103"/>
      <c r="I178" s="90">
        <f t="shared" si="21"/>
        <v>0</v>
      </c>
      <c r="J178" s="90">
        <f t="shared" si="22"/>
        <v>0</v>
      </c>
      <c r="K178" s="91">
        <f t="shared" si="23"/>
        <v>0.72916666666666674</v>
      </c>
      <c r="L178" s="91">
        <f t="shared" si="24"/>
        <v>3.333333333333333</v>
      </c>
      <c r="M178" s="29">
        <f t="shared" si="28"/>
        <v>12</v>
      </c>
      <c r="N178" s="92">
        <f t="shared" si="25"/>
        <v>0</v>
      </c>
      <c r="O178" s="104">
        <f t="shared" si="26"/>
        <v>1.016</v>
      </c>
      <c r="P178" s="105">
        <f t="shared" si="27"/>
        <v>0</v>
      </c>
    </row>
    <row r="179" spans="2:16" x14ac:dyDescent="0.25">
      <c r="B179" s="88" t="s">
        <v>18</v>
      </c>
      <c r="C179" s="106">
        <f t="shared" si="20"/>
        <v>2019</v>
      </c>
      <c r="D179" s="101">
        <v>43738</v>
      </c>
      <c r="E179" s="102"/>
      <c r="F179" s="103"/>
      <c r="G179" s="103"/>
      <c r="H179" s="103"/>
      <c r="I179" s="90">
        <f t="shared" si="21"/>
        <v>0</v>
      </c>
      <c r="J179" s="90">
        <f t="shared" si="22"/>
        <v>0</v>
      </c>
      <c r="K179" s="91">
        <f t="shared" si="23"/>
        <v>0.72916666666666674</v>
      </c>
      <c r="L179" s="91">
        <f t="shared" si="24"/>
        <v>3.333333333333333</v>
      </c>
      <c r="M179" s="29">
        <f t="shared" si="28"/>
        <v>12</v>
      </c>
      <c r="N179" s="92">
        <f t="shared" si="25"/>
        <v>0</v>
      </c>
      <c r="O179" s="104">
        <f t="shared" si="26"/>
        <v>1.016</v>
      </c>
      <c r="P179" s="105">
        <f t="shared" si="27"/>
        <v>0</v>
      </c>
    </row>
    <row r="180" spans="2:16" x14ac:dyDescent="0.25">
      <c r="B180" s="88" t="s">
        <v>18</v>
      </c>
      <c r="C180" s="106">
        <f t="shared" si="20"/>
        <v>2019</v>
      </c>
      <c r="D180" s="101">
        <v>43739</v>
      </c>
      <c r="E180" s="102"/>
      <c r="F180" s="103"/>
      <c r="G180" s="103"/>
      <c r="H180" s="103"/>
      <c r="I180" s="90">
        <f t="shared" si="21"/>
        <v>0</v>
      </c>
      <c r="J180" s="90">
        <f t="shared" si="22"/>
        <v>0</v>
      </c>
      <c r="K180" s="91">
        <f t="shared" si="23"/>
        <v>0.72916666666666674</v>
      </c>
      <c r="L180" s="91">
        <f t="shared" si="24"/>
        <v>3.333333333333333</v>
      </c>
      <c r="M180" s="29">
        <f t="shared" si="28"/>
        <v>12</v>
      </c>
      <c r="N180" s="92">
        <f t="shared" si="25"/>
        <v>0</v>
      </c>
      <c r="O180" s="104">
        <f t="shared" si="26"/>
        <v>1.016</v>
      </c>
      <c r="P180" s="105">
        <f t="shared" si="27"/>
        <v>0</v>
      </c>
    </row>
    <row r="181" spans="2:16" x14ac:dyDescent="0.25">
      <c r="B181" s="88" t="s">
        <v>18</v>
      </c>
      <c r="C181" s="106">
        <f t="shared" si="20"/>
        <v>2019</v>
      </c>
      <c r="D181" s="101">
        <v>43740</v>
      </c>
      <c r="E181" s="102"/>
      <c r="F181" s="103"/>
      <c r="G181" s="103"/>
      <c r="H181" s="103"/>
      <c r="I181" s="90">
        <f t="shared" si="21"/>
        <v>0</v>
      </c>
      <c r="J181" s="90">
        <f t="shared" si="22"/>
        <v>0</v>
      </c>
      <c r="K181" s="91">
        <f t="shared" si="23"/>
        <v>0.72916666666666674</v>
      </c>
      <c r="L181" s="91">
        <f t="shared" si="24"/>
        <v>3.333333333333333</v>
      </c>
      <c r="M181" s="29">
        <f t="shared" si="28"/>
        <v>12</v>
      </c>
      <c r="N181" s="92">
        <f t="shared" si="25"/>
        <v>0</v>
      </c>
      <c r="O181" s="104">
        <f t="shared" si="26"/>
        <v>1.016</v>
      </c>
      <c r="P181" s="105">
        <f t="shared" si="27"/>
        <v>0</v>
      </c>
    </row>
    <row r="182" spans="2:16" x14ac:dyDescent="0.25">
      <c r="B182" s="88" t="s">
        <v>18</v>
      </c>
      <c r="C182" s="106">
        <f t="shared" si="20"/>
        <v>2019</v>
      </c>
      <c r="D182" s="101">
        <v>43741</v>
      </c>
      <c r="E182" s="102">
        <v>0.52083333333333337</v>
      </c>
      <c r="F182" s="103">
        <v>0.54166666666666663</v>
      </c>
      <c r="G182" s="103">
        <v>0.52083333333333337</v>
      </c>
      <c r="H182" s="103">
        <v>0.54166666666666663</v>
      </c>
      <c r="I182" s="90">
        <f t="shared" si="21"/>
        <v>0.49999999999999822</v>
      </c>
      <c r="J182" s="90">
        <f t="shared" si="22"/>
        <v>0.49999999999999822</v>
      </c>
      <c r="K182" s="91">
        <f t="shared" si="23"/>
        <v>0.72916666666666674</v>
      </c>
      <c r="L182" s="91">
        <f t="shared" si="24"/>
        <v>3.333333333333333</v>
      </c>
      <c r="M182" s="29">
        <f t="shared" si="28"/>
        <v>12</v>
      </c>
      <c r="N182" s="92">
        <f t="shared" si="25"/>
        <v>0.49999999999999822</v>
      </c>
      <c r="O182" s="104">
        <f t="shared" si="26"/>
        <v>1.016</v>
      </c>
      <c r="P182" s="105">
        <f t="shared" si="27"/>
        <v>4.2671999999999848</v>
      </c>
    </row>
    <row r="183" spans="2:16" x14ac:dyDescent="0.25">
      <c r="B183" s="88" t="s">
        <v>18</v>
      </c>
      <c r="C183" s="106">
        <f t="shared" si="20"/>
        <v>2019</v>
      </c>
      <c r="D183" s="101">
        <v>43742</v>
      </c>
      <c r="E183" s="102"/>
      <c r="F183" s="103"/>
      <c r="G183" s="103"/>
      <c r="H183" s="103"/>
      <c r="I183" s="90">
        <f t="shared" si="21"/>
        <v>0</v>
      </c>
      <c r="J183" s="90">
        <f t="shared" si="22"/>
        <v>0</v>
      </c>
      <c r="K183" s="91">
        <f t="shared" si="23"/>
        <v>0.72916666666666674</v>
      </c>
      <c r="L183" s="91">
        <f t="shared" si="24"/>
        <v>3.333333333333333</v>
      </c>
      <c r="M183" s="29">
        <f t="shared" si="28"/>
        <v>12</v>
      </c>
      <c r="N183" s="92">
        <f t="shared" si="25"/>
        <v>0</v>
      </c>
      <c r="O183" s="104">
        <f t="shared" si="26"/>
        <v>1.016</v>
      </c>
      <c r="P183" s="105">
        <f t="shared" si="27"/>
        <v>0</v>
      </c>
    </row>
    <row r="184" spans="2:16" x14ac:dyDescent="0.25">
      <c r="B184" s="88" t="s">
        <v>18</v>
      </c>
      <c r="C184" s="106">
        <f t="shared" si="20"/>
        <v>2019</v>
      </c>
      <c r="D184" s="101">
        <v>43743</v>
      </c>
      <c r="E184" s="102"/>
      <c r="F184" s="103"/>
      <c r="G184" s="103"/>
      <c r="H184" s="103"/>
      <c r="I184" s="90">
        <f t="shared" si="21"/>
        <v>0</v>
      </c>
      <c r="J184" s="90">
        <f t="shared" si="22"/>
        <v>0</v>
      </c>
      <c r="K184" s="91">
        <f t="shared" si="23"/>
        <v>0.72916666666666674</v>
      </c>
      <c r="L184" s="91">
        <f t="shared" si="24"/>
        <v>3.333333333333333</v>
      </c>
      <c r="M184" s="29">
        <f t="shared" si="28"/>
        <v>12</v>
      </c>
      <c r="N184" s="92">
        <f t="shared" si="25"/>
        <v>0</v>
      </c>
      <c r="O184" s="104">
        <f t="shared" si="26"/>
        <v>1.016</v>
      </c>
      <c r="P184" s="105">
        <f t="shared" si="27"/>
        <v>0</v>
      </c>
    </row>
    <row r="185" spans="2:16" x14ac:dyDescent="0.25">
      <c r="B185" s="88" t="s">
        <v>18</v>
      </c>
      <c r="C185" s="106">
        <f t="shared" si="20"/>
        <v>2019</v>
      </c>
      <c r="D185" s="101">
        <v>43744</v>
      </c>
      <c r="E185" s="102"/>
      <c r="F185" s="103"/>
      <c r="G185" s="103"/>
      <c r="H185" s="103"/>
      <c r="I185" s="90">
        <f t="shared" si="21"/>
        <v>0</v>
      </c>
      <c r="J185" s="90">
        <f t="shared" si="22"/>
        <v>0</v>
      </c>
      <c r="K185" s="91">
        <f t="shared" si="23"/>
        <v>0.72916666666666674</v>
      </c>
      <c r="L185" s="91">
        <f t="shared" si="24"/>
        <v>3.333333333333333</v>
      </c>
      <c r="M185" s="29">
        <f t="shared" si="28"/>
        <v>12</v>
      </c>
      <c r="N185" s="92">
        <f t="shared" si="25"/>
        <v>0</v>
      </c>
      <c r="O185" s="104">
        <f t="shared" si="26"/>
        <v>1.016</v>
      </c>
      <c r="P185" s="105">
        <f t="shared" si="27"/>
        <v>0</v>
      </c>
    </row>
    <row r="186" spans="2:16" x14ac:dyDescent="0.25">
      <c r="B186" s="88" t="s">
        <v>18</v>
      </c>
      <c r="C186" s="106">
        <f t="shared" si="20"/>
        <v>2019</v>
      </c>
      <c r="D186" s="101">
        <v>43745</v>
      </c>
      <c r="E186" s="102"/>
      <c r="F186" s="103"/>
      <c r="G186" s="103"/>
      <c r="H186" s="103"/>
      <c r="I186" s="90">
        <f t="shared" si="21"/>
        <v>0</v>
      </c>
      <c r="J186" s="90">
        <f t="shared" si="22"/>
        <v>0</v>
      </c>
      <c r="K186" s="91">
        <f t="shared" si="23"/>
        <v>0.72916666666666674</v>
      </c>
      <c r="L186" s="91">
        <f t="shared" si="24"/>
        <v>3.333333333333333</v>
      </c>
      <c r="M186" s="29">
        <f t="shared" si="28"/>
        <v>12</v>
      </c>
      <c r="N186" s="92">
        <f t="shared" si="25"/>
        <v>0</v>
      </c>
      <c r="O186" s="104">
        <f t="shared" si="26"/>
        <v>1.016</v>
      </c>
      <c r="P186" s="105">
        <f t="shared" si="27"/>
        <v>0</v>
      </c>
    </row>
    <row r="187" spans="2:16" x14ac:dyDescent="0.25">
      <c r="B187" s="88" t="s">
        <v>18</v>
      </c>
      <c r="C187" s="106">
        <f t="shared" si="20"/>
        <v>2019</v>
      </c>
      <c r="D187" s="101">
        <v>43746</v>
      </c>
      <c r="E187" s="102">
        <v>0.60416666666666663</v>
      </c>
      <c r="F187" s="103">
        <v>0.625</v>
      </c>
      <c r="G187" s="103">
        <v>0.60416666666666663</v>
      </c>
      <c r="H187" s="103">
        <v>0.625</v>
      </c>
      <c r="I187" s="90">
        <f t="shared" si="21"/>
        <v>0.50000000000000089</v>
      </c>
      <c r="J187" s="90">
        <f t="shared" si="22"/>
        <v>0.50000000000000089</v>
      </c>
      <c r="K187" s="91">
        <f t="shared" si="23"/>
        <v>0.72916666666666674</v>
      </c>
      <c r="L187" s="91">
        <f t="shared" si="24"/>
        <v>3.333333333333333</v>
      </c>
      <c r="M187" s="29">
        <f t="shared" si="28"/>
        <v>12</v>
      </c>
      <c r="N187" s="92">
        <f t="shared" si="25"/>
        <v>0.50000000000000089</v>
      </c>
      <c r="O187" s="104">
        <f t="shared" si="26"/>
        <v>1.016</v>
      </c>
      <c r="P187" s="105">
        <f t="shared" si="27"/>
        <v>4.267200000000007</v>
      </c>
    </row>
    <row r="188" spans="2:16" x14ac:dyDescent="0.25">
      <c r="B188" s="88" t="s">
        <v>18</v>
      </c>
      <c r="C188" s="106">
        <f t="shared" si="20"/>
        <v>2019</v>
      </c>
      <c r="D188" s="101">
        <v>43747</v>
      </c>
      <c r="E188" s="102"/>
      <c r="F188" s="103"/>
      <c r="G188" s="103"/>
      <c r="H188" s="103"/>
      <c r="I188" s="90">
        <f t="shared" si="21"/>
        <v>0</v>
      </c>
      <c r="J188" s="90">
        <f t="shared" si="22"/>
        <v>0</v>
      </c>
      <c r="K188" s="91">
        <f t="shared" si="23"/>
        <v>0.72916666666666674</v>
      </c>
      <c r="L188" s="91">
        <f t="shared" si="24"/>
        <v>3.333333333333333</v>
      </c>
      <c r="M188" s="29">
        <f t="shared" si="28"/>
        <v>12</v>
      </c>
      <c r="N188" s="92">
        <f t="shared" si="25"/>
        <v>0</v>
      </c>
      <c r="O188" s="104">
        <f t="shared" si="26"/>
        <v>1.016</v>
      </c>
      <c r="P188" s="105">
        <f t="shared" si="27"/>
        <v>0</v>
      </c>
    </row>
    <row r="189" spans="2:16" x14ac:dyDescent="0.25">
      <c r="B189" s="88" t="s">
        <v>18</v>
      </c>
      <c r="C189" s="106">
        <f t="shared" si="20"/>
        <v>2019</v>
      </c>
      <c r="D189" s="101">
        <v>43748</v>
      </c>
      <c r="E189" s="102"/>
      <c r="F189" s="103"/>
      <c r="G189" s="103"/>
      <c r="H189" s="103"/>
      <c r="I189" s="90">
        <f t="shared" si="21"/>
        <v>0</v>
      </c>
      <c r="J189" s="90">
        <f t="shared" si="22"/>
        <v>0</v>
      </c>
      <c r="K189" s="91">
        <f t="shared" si="23"/>
        <v>0.72916666666666674</v>
      </c>
      <c r="L189" s="91">
        <f t="shared" si="24"/>
        <v>3.333333333333333</v>
      </c>
      <c r="M189" s="29">
        <f t="shared" si="28"/>
        <v>12</v>
      </c>
      <c r="N189" s="92">
        <f t="shared" si="25"/>
        <v>0</v>
      </c>
      <c r="O189" s="104">
        <f t="shared" si="26"/>
        <v>1.016</v>
      </c>
      <c r="P189" s="105">
        <f t="shared" si="27"/>
        <v>0</v>
      </c>
    </row>
    <row r="190" spans="2:16" x14ac:dyDescent="0.25">
      <c r="B190" s="88" t="s">
        <v>18</v>
      </c>
      <c r="C190" s="106">
        <f t="shared" si="20"/>
        <v>2019</v>
      </c>
      <c r="D190" s="101">
        <v>43749</v>
      </c>
      <c r="E190" s="102"/>
      <c r="F190" s="103"/>
      <c r="G190" s="103"/>
      <c r="H190" s="103"/>
      <c r="I190" s="90">
        <f t="shared" si="21"/>
        <v>0</v>
      </c>
      <c r="J190" s="90">
        <f t="shared" si="22"/>
        <v>0</v>
      </c>
      <c r="K190" s="91">
        <f t="shared" si="23"/>
        <v>0.72916666666666674</v>
      </c>
      <c r="L190" s="91">
        <f t="shared" si="24"/>
        <v>3.333333333333333</v>
      </c>
      <c r="M190" s="29">
        <f t="shared" si="28"/>
        <v>12</v>
      </c>
      <c r="N190" s="92">
        <f t="shared" si="25"/>
        <v>0</v>
      </c>
      <c r="O190" s="104">
        <f t="shared" si="26"/>
        <v>1.016</v>
      </c>
      <c r="P190" s="105">
        <f t="shared" si="27"/>
        <v>0</v>
      </c>
    </row>
    <row r="191" spans="2:16" x14ac:dyDescent="0.25">
      <c r="B191" s="88" t="s">
        <v>18</v>
      </c>
      <c r="C191" s="106">
        <f t="shared" si="20"/>
        <v>2019</v>
      </c>
      <c r="D191" s="101">
        <v>43750</v>
      </c>
      <c r="E191" s="102"/>
      <c r="F191" s="103"/>
      <c r="G191" s="103"/>
      <c r="H191" s="103"/>
      <c r="I191" s="90">
        <f t="shared" si="21"/>
        <v>0</v>
      </c>
      <c r="J191" s="90">
        <f t="shared" si="22"/>
        <v>0</v>
      </c>
      <c r="K191" s="91">
        <f t="shared" si="23"/>
        <v>0.72916666666666674</v>
      </c>
      <c r="L191" s="91">
        <f t="shared" si="24"/>
        <v>3.333333333333333</v>
      </c>
      <c r="M191" s="29">
        <f t="shared" si="28"/>
        <v>12</v>
      </c>
      <c r="N191" s="92">
        <f t="shared" si="25"/>
        <v>0</v>
      </c>
      <c r="O191" s="104">
        <f t="shared" si="26"/>
        <v>1.016</v>
      </c>
      <c r="P191" s="105">
        <f t="shared" si="27"/>
        <v>0</v>
      </c>
    </row>
    <row r="192" spans="2:16" x14ac:dyDescent="0.25">
      <c r="B192" s="88" t="s">
        <v>18</v>
      </c>
      <c r="C192" s="106">
        <f t="shared" si="20"/>
        <v>2019</v>
      </c>
      <c r="D192" s="101">
        <v>43751</v>
      </c>
      <c r="E192" s="102"/>
      <c r="F192" s="103"/>
      <c r="G192" s="103"/>
      <c r="H192" s="103"/>
      <c r="I192" s="90">
        <f t="shared" si="21"/>
        <v>0</v>
      </c>
      <c r="J192" s="90">
        <f t="shared" si="22"/>
        <v>0</v>
      </c>
      <c r="K192" s="91">
        <f t="shared" si="23"/>
        <v>0.72916666666666674</v>
      </c>
      <c r="L192" s="91">
        <f t="shared" si="24"/>
        <v>3.333333333333333</v>
      </c>
      <c r="M192" s="29">
        <f t="shared" si="28"/>
        <v>12</v>
      </c>
      <c r="N192" s="92">
        <f t="shared" si="25"/>
        <v>0</v>
      </c>
      <c r="O192" s="104">
        <f t="shared" si="26"/>
        <v>1.016</v>
      </c>
      <c r="P192" s="105">
        <f t="shared" si="27"/>
        <v>0</v>
      </c>
    </row>
    <row r="193" spans="2:16" x14ac:dyDescent="0.25">
      <c r="B193" s="88" t="s">
        <v>18</v>
      </c>
      <c r="C193" s="106">
        <f t="shared" si="20"/>
        <v>2019</v>
      </c>
      <c r="D193" s="101">
        <v>43752</v>
      </c>
      <c r="E193" s="102"/>
      <c r="F193" s="103"/>
      <c r="G193" s="103"/>
      <c r="H193" s="103"/>
      <c r="I193" s="90">
        <f t="shared" si="21"/>
        <v>0</v>
      </c>
      <c r="J193" s="90">
        <f t="shared" si="22"/>
        <v>0</v>
      </c>
      <c r="K193" s="91">
        <f t="shared" si="23"/>
        <v>0.72916666666666674</v>
      </c>
      <c r="L193" s="91">
        <f t="shared" si="24"/>
        <v>3.333333333333333</v>
      </c>
      <c r="M193" s="29">
        <f t="shared" si="28"/>
        <v>12</v>
      </c>
      <c r="N193" s="92">
        <f t="shared" si="25"/>
        <v>0</v>
      </c>
      <c r="O193" s="104">
        <f t="shared" si="26"/>
        <v>1.016</v>
      </c>
      <c r="P193" s="105">
        <f t="shared" si="27"/>
        <v>0</v>
      </c>
    </row>
    <row r="194" spans="2:16" x14ac:dyDescent="0.25">
      <c r="B194" s="88" t="s">
        <v>18</v>
      </c>
      <c r="C194" s="106">
        <f t="shared" si="20"/>
        <v>2019</v>
      </c>
      <c r="D194" s="101">
        <v>43753</v>
      </c>
      <c r="E194" s="102">
        <v>0.39583333333333331</v>
      </c>
      <c r="F194" s="103">
        <v>0.41666666666666669</v>
      </c>
      <c r="G194" s="103">
        <v>0.39583333333333331</v>
      </c>
      <c r="H194" s="103">
        <v>0.41666666666666669</v>
      </c>
      <c r="I194" s="90">
        <f t="shared" si="21"/>
        <v>0.50000000000000089</v>
      </c>
      <c r="J194" s="90">
        <f t="shared" si="22"/>
        <v>0.50000000000000089</v>
      </c>
      <c r="K194" s="91">
        <f t="shared" si="23"/>
        <v>0.72916666666666674</v>
      </c>
      <c r="L194" s="91">
        <f t="shared" si="24"/>
        <v>3.333333333333333</v>
      </c>
      <c r="M194" s="29">
        <f t="shared" si="28"/>
        <v>12</v>
      </c>
      <c r="N194" s="92">
        <f t="shared" si="25"/>
        <v>0.50000000000000089</v>
      </c>
      <c r="O194" s="104">
        <f t="shared" si="26"/>
        <v>1.016</v>
      </c>
      <c r="P194" s="105">
        <f t="shared" si="27"/>
        <v>4.267200000000007</v>
      </c>
    </row>
    <row r="195" spans="2:16" x14ac:dyDescent="0.25">
      <c r="B195" s="88" t="s">
        <v>18</v>
      </c>
      <c r="C195" s="106">
        <f t="shared" si="20"/>
        <v>2019</v>
      </c>
      <c r="D195" s="101">
        <v>43754</v>
      </c>
      <c r="E195" s="102"/>
      <c r="F195" s="103"/>
      <c r="G195" s="103"/>
      <c r="H195" s="103"/>
      <c r="I195" s="90">
        <f t="shared" si="21"/>
        <v>0</v>
      </c>
      <c r="J195" s="90">
        <f t="shared" si="22"/>
        <v>0</v>
      </c>
      <c r="K195" s="91">
        <f t="shared" si="23"/>
        <v>0.72916666666666674</v>
      </c>
      <c r="L195" s="91">
        <f t="shared" si="24"/>
        <v>3.333333333333333</v>
      </c>
      <c r="M195" s="29">
        <f t="shared" si="28"/>
        <v>12</v>
      </c>
      <c r="N195" s="92">
        <f t="shared" si="25"/>
        <v>0</v>
      </c>
      <c r="O195" s="104">
        <f t="shared" si="26"/>
        <v>1.016</v>
      </c>
      <c r="P195" s="105">
        <f t="shared" si="27"/>
        <v>0</v>
      </c>
    </row>
    <row r="196" spans="2:16" x14ac:dyDescent="0.25">
      <c r="B196" s="88" t="s">
        <v>18</v>
      </c>
      <c r="C196" s="106">
        <f t="shared" si="20"/>
        <v>2019</v>
      </c>
      <c r="D196" s="101">
        <v>43755</v>
      </c>
      <c r="E196" s="102"/>
      <c r="F196" s="103"/>
      <c r="G196" s="103"/>
      <c r="H196" s="103"/>
      <c r="I196" s="90">
        <f t="shared" si="21"/>
        <v>0</v>
      </c>
      <c r="J196" s="90">
        <f t="shared" si="22"/>
        <v>0</v>
      </c>
      <c r="K196" s="91">
        <f t="shared" si="23"/>
        <v>0.72916666666666674</v>
      </c>
      <c r="L196" s="91">
        <f t="shared" si="24"/>
        <v>3.333333333333333</v>
      </c>
      <c r="M196" s="29">
        <f t="shared" si="28"/>
        <v>12</v>
      </c>
      <c r="N196" s="92">
        <f t="shared" si="25"/>
        <v>0</v>
      </c>
      <c r="O196" s="104">
        <f t="shared" si="26"/>
        <v>1.016</v>
      </c>
      <c r="P196" s="105">
        <f t="shared" si="27"/>
        <v>0</v>
      </c>
    </row>
    <row r="197" spans="2:16" x14ac:dyDescent="0.25">
      <c r="B197" s="88" t="s">
        <v>18</v>
      </c>
      <c r="C197" s="106">
        <f t="shared" si="20"/>
        <v>2019</v>
      </c>
      <c r="D197" s="101">
        <v>43756</v>
      </c>
      <c r="E197" s="102"/>
      <c r="F197" s="103"/>
      <c r="G197" s="103"/>
      <c r="H197" s="103"/>
      <c r="I197" s="90">
        <f t="shared" si="21"/>
        <v>0</v>
      </c>
      <c r="J197" s="90">
        <f t="shared" si="22"/>
        <v>0</v>
      </c>
      <c r="K197" s="91">
        <f t="shared" si="23"/>
        <v>0.72916666666666674</v>
      </c>
      <c r="L197" s="91">
        <f t="shared" si="24"/>
        <v>3.333333333333333</v>
      </c>
      <c r="M197" s="29">
        <f t="shared" si="28"/>
        <v>12</v>
      </c>
      <c r="N197" s="92">
        <f t="shared" si="25"/>
        <v>0</v>
      </c>
      <c r="O197" s="104">
        <f t="shared" si="26"/>
        <v>1.016</v>
      </c>
      <c r="P197" s="105">
        <f t="shared" si="27"/>
        <v>0</v>
      </c>
    </row>
    <row r="198" spans="2:16" x14ac:dyDescent="0.25">
      <c r="B198" s="88" t="s">
        <v>18</v>
      </c>
      <c r="C198" s="106">
        <f t="shared" si="20"/>
        <v>2019</v>
      </c>
      <c r="D198" s="101">
        <v>43757</v>
      </c>
      <c r="E198" s="102"/>
      <c r="F198" s="103"/>
      <c r="G198" s="103"/>
      <c r="H198" s="103"/>
      <c r="I198" s="90">
        <f t="shared" si="21"/>
        <v>0</v>
      </c>
      <c r="J198" s="90">
        <f t="shared" si="22"/>
        <v>0</v>
      </c>
      <c r="K198" s="91">
        <f t="shared" si="23"/>
        <v>0.72916666666666674</v>
      </c>
      <c r="L198" s="91">
        <f t="shared" si="24"/>
        <v>3.333333333333333</v>
      </c>
      <c r="M198" s="29">
        <f t="shared" si="28"/>
        <v>12</v>
      </c>
      <c r="N198" s="92">
        <f t="shared" si="25"/>
        <v>0</v>
      </c>
      <c r="O198" s="104">
        <f t="shared" si="26"/>
        <v>1.016</v>
      </c>
      <c r="P198" s="105">
        <f t="shared" si="27"/>
        <v>0</v>
      </c>
    </row>
    <row r="199" spans="2:16" x14ac:dyDescent="0.25">
      <c r="B199" s="88" t="s">
        <v>18</v>
      </c>
      <c r="C199" s="106">
        <f t="shared" si="20"/>
        <v>2019</v>
      </c>
      <c r="D199" s="101">
        <v>43758</v>
      </c>
      <c r="E199" s="102"/>
      <c r="F199" s="103"/>
      <c r="G199" s="103"/>
      <c r="H199" s="103"/>
      <c r="I199" s="90">
        <f t="shared" si="21"/>
        <v>0</v>
      </c>
      <c r="J199" s="90">
        <f t="shared" si="22"/>
        <v>0</v>
      </c>
      <c r="K199" s="91">
        <f t="shared" si="23"/>
        <v>0.72916666666666674</v>
      </c>
      <c r="L199" s="91">
        <f t="shared" si="24"/>
        <v>3.333333333333333</v>
      </c>
      <c r="M199" s="29">
        <f t="shared" si="28"/>
        <v>12</v>
      </c>
      <c r="N199" s="92">
        <f t="shared" si="25"/>
        <v>0</v>
      </c>
      <c r="O199" s="104">
        <f t="shared" si="26"/>
        <v>1.016</v>
      </c>
      <c r="P199" s="105">
        <f t="shared" si="27"/>
        <v>0</v>
      </c>
    </row>
    <row r="200" spans="2:16" x14ac:dyDescent="0.25">
      <c r="B200" s="88" t="s">
        <v>18</v>
      </c>
      <c r="C200" s="106">
        <f t="shared" si="20"/>
        <v>2019</v>
      </c>
      <c r="D200" s="101">
        <v>43759</v>
      </c>
      <c r="E200" s="102">
        <v>0.52083333333333337</v>
      </c>
      <c r="F200" s="103">
        <v>0.54166666666666663</v>
      </c>
      <c r="G200" s="103">
        <v>0.52083333333333337</v>
      </c>
      <c r="H200" s="103">
        <v>0.54166666666666663</v>
      </c>
      <c r="I200" s="90">
        <f t="shared" si="21"/>
        <v>0.49999999999999822</v>
      </c>
      <c r="J200" s="90">
        <f t="shared" si="22"/>
        <v>0.49999999999999822</v>
      </c>
      <c r="K200" s="91">
        <f t="shared" si="23"/>
        <v>0.72916666666666674</v>
      </c>
      <c r="L200" s="91">
        <f t="shared" si="24"/>
        <v>3.333333333333333</v>
      </c>
      <c r="M200" s="29">
        <f t="shared" si="28"/>
        <v>12</v>
      </c>
      <c r="N200" s="92">
        <f t="shared" si="25"/>
        <v>0.49999999999999822</v>
      </c>
      <c r="O200" s="104">
        <f t="shared" si="26"/>
        <v>1.016</v>
      </c>
      <c r="P200" s="105">
        <f t="shared" si="27"/>
        <v>4.2671999999999848</v>
      </c>
    </row>
    <row r="201" spans="2:16" x14ac:dyDescent="0.25">
      <c r="B201" s="88" t="s">
        <v>18</v>
      </c>
      <c r="C201" s="106">
        <f t="shared" si="20"/>
        <v>2019</v>
      </c>
      <c r="D201" s="101">
        <v>43760</v>
      </c>
      <c r="E201" s="102"/>
      <c r="F201" s="103"/>
      <c r="G201" s="103"/>
      <c r="H201" s="103"/>
      <c r="I201" s="90">
        <f t="shared" si="21"/>
        <v>0</v>
      </c>
      <c r="J201" s="90">
        <f t="shared" si="22"/>
        <v>0</v>
      </c>
      <c r="K201" s="91">
        <f t="shared" si="23"/>
        <v>0.72916666666666674</v>
      </c>
      <c r="L201" s="91">
        <f t="shared" si="24"/>
        <v>3.333333333333333</v>
      </c>
      <c r="M201" s="29">
        <f t="shared" si="28"/>
        <v>12</v>
      </c>
      <c r="N201" s="92">
        <f t="shared" si="25"/>
        <v>0</v>
      </c>
      <c r="O201" s="104">
        <f t="shared" si="26"/>
        <v>1.016</v>
      </c>
      <c r="P201" s="105">
        <f t="shared" si="27"/>
        <v>0</v>
      </c>
    </row>
    <row r="202" spans="2:16" x14ac:dyDescent="0.25">
      <c r="B202" s="88" t="s">
        <v>18</v>
      </c>
      <c r="C202" s="106">
        <f t="shared" si="20"/>
        <v>2019</v>
      </c>
      <c r="D202" s="101">
        <v>43761</v>
      </c>
      <c r="E202" s="102"/>
      <c r="F202" s="103"/>
      <c r="G202" s="103"/>
      <c r="H202" s="103"/>
      <c r="I202" s="90">
        <f t="shared" si="21"/>
        <v>0</v>
      </c>
      <c r="J202" s="90">
        <f t="shared" si="22"/>
        <v>0</v>
      </c>
      <c r="K202" s="91">
        <f t="shared" si="23"/>
        <v>0.72916666666666674</v>
      </c>
      <c r="L202" s="91">
        <f t="shared" si="24"/>
        <v>3.333333333333333</v>
      </c>
      <c r="M202" s="29">
        <f t="shared" si="28"/>
        <v>12</v>
      </c>
      <c r="N202" s="92">
        <f t="shared" si="25"/>
        <v>0</v>
      </c>
      <c r="O202" s="104">
        <f t="shared" si="26"/>
        <v>1.016</v>
      </c>
      <c r="P202" s="105">
        <f t="shared" si="27"/>
        <v>0</v>
      </c>
    </row>
    <row r="203" spans="2:16" x14ac:dyDescent="0.25">
      <c r="B203" s="88" t="s">
        <v>18</v>
      </c>
      <c r="C203" s="106">
        <f t="shared" si="20"/>
        <v>2019</v>
      </c>
      <c r="D203" s="101">
        <v>43762</v>
      </c>
      <c r="E203" s="102"/>
      <c r="F203" s="103"/>
      <c r="G203" s="103"/>
      <c r="H203" s="103"/>
      <c r="I203" s="90">
        <f t="shared" si="21"/>
        <v>0</v>
      </c>
      <c r="J203" s="90">
        <f t="shared" si="22"/>
        <v>0</v>
      </c>
      <c r="K203" s="91">
        <f t="shared" si="23"/>
        <v>0.72916666666666674</v>
      </c>
      <c r="L203" s="91">
        <f t="shared" si="24"/>
        <v>3.333333333333333</v>
      </c>
      <c r="M203" s="29">
        <f t="shared" si="28"/>
        <v>12</v>
      </c>
      <c r="N203" s="92">
        <f t="shared" si="25"/>
        <v>0</v>
      </c>
      <c r="O203" s="104">
        <f t="shared" si="26"/>
        <v>1.016</v>
      </c>
      <c r="P203" s="105">
        <f t="shared" si="27"/>
        <v>0</v>
      </c>
    </row>
    <row r="204" spans="2:16" x14ac:dyDescent="0.25">
      <c r="B204" s="88" t="s">
        <v>18</v>
      </c>
      <c r="C204" s="106">
        <f t="shared" si="20"/>
        <v>2019</v>
      </c>
      <c r="D204" s="101">
        <v>43763</v>
      </c>
      <c r="E204" s="102"/>
      <c r="F204" s="103"/>
      <c r="G204" s="103"/>
      <c r="H204" s="103"/>
      <c r="I204" s="90">
        <f t="shared" si="21"/>
        <v>0</v>
      </c>
      <c r="J204" s="90">
        <f t="shared" si="22"/>
        <v>0</v>
      </c>
      <c r="K204" s="91">
        <f t="shared" si="23"/>
        <v>0.72916666666666674</v>
      </c>
      <c r="L204" s="91">
        <f t="shared" si="24"/>
        <v>3.333333333333333</v>
      </c>
      <c r="M204" s="29">
        <f t="shared" si="28"/>
        <v>12</v>
      </c>
      <c r="N204" s="92">
        <f t="shared" si="25"/>
        <v>0</v>
      </c>
      <c r="O204" s="104">
        <f t="shared" si="26"/>
        <v>1.016</v>
      </c>
      <c r="P204" s="105">
        <f t="shared" si="27"/>
        <v>0</v>
      </c>
    </row>
    <row r="205" spans="2:16" x14ac:dyDescent="0.25">
      <c r="B205" s="88" t="s">
        <v>18</v>
      </c>
      <c r="C205" s="106">
        <f t="shared" si="20"/>
        <v>2019</v>
      </c>
      <c r="D205" s="101">
        <v>43764</v>
      </c>
      <c r="E205" s="102">
        <v>0.75</v>
      </c>
      <c r="F205" s="103">
        <v>0.77083333333333337</v>
      </c>
      <c r="G205" s="103">
        <v>0.75</v>
      </c>
      <c r="H205" s="103">
        <v>0.77083333333333337</v>
      </c>
      <c r="I205" s="90">
        <f t="shared" si="21"/>
        <v>0.50000000000000089</v>
      </c>
      <c r="J205" s="90">
        <f t="shared" si="22"/>
        <v>0.50000000000000089</v>
      </c>
      <c r="K205" s="91">
        <f t="shared" si="23"/>
        <v>0.72916666666666674</v>
      </c>
      <c r="L205" s="91">
        <f t="shared" si="24"/>
        <v>3.333333333333333</v>
      </c>
      <c r="M205" s="29">
        <f t="shared" si="28"/>
        <v>12</v>
      </c>
      <c r="N205" s="92">
        <f t="shared" si="25"/>
        <v>0.50000000000000089</v>
      </c>
      <c r="O205" s="104">
        <f t="shared" si="26"/>
        <v>1.016</v>
      </c>
      <c r="P205" s="105">
        <f t="shared" si="27"/>
        <v>4.267200000000007</v>
      </c>
    </row>
    <row r="206" spans="2:16" x14ac:dyDescent="0.25">
      <c r="B206" s="88" t="s">
        <v>18</v>
      </c>
      <c r="C206" s="106">
        <f t="shared" si="20"/>
        <v>2019</v>
      </c>
      <c r="D206" s="101">
        <v>43765</v>
      </c>
      <c r="E206" s="102"/>
      <c r="F206" s="103"/>
      <c r="G206" s="103"/>
      <c r="H206" s="103"/>
      <c r="I206" s="90">
        <f t="shared" si="21"/>
        <v>0</v>
      </c>
      <c r="J206" s="90">
        <f t="shared" si="22"/>
        <v>0</v>
      </c>
      <c r="K206" s="91">
        <f t="shared" si="23"/>
        <v>0.72916666666666674</v>
      </c>
      <c r="L206" s="91">
        <f t="shared" si="24"/>
        <v>3.333333333333333</v>
      </c>
      <c r="M206" s="29">
        <f t="shared" si="28"/>
        <v>12</v>
      </c>
      <c r="N206" s="92">
        <f t="shared" si="25"/>
        <v>0</v>
      </c>
      <c r="O206" s="104">
        <f t="shared" si="26"/>
        <v>1.016</v>
      </c>
      <c r="P206" s="105">
        <f t="shared" si="27"/>
        <v>0</v>
      </c>
    </row>
    <row r="207" spans="2:16" x14ac:dyDescent="0.25">
      <c r="B207" s="88" t="s">
        <v>18</v>
      </c>
      <c r="C207" s="106">
        <f t="shared" si="20"/>
        <v>2019</v>
      </c>
      <c r="D207" s="101">
        <v>43766</v>
      </c>
      <c r="E207" s="102"/>
      <c r="F207" s="103"/>
      <c r="G207" s="103"/>
      <c r="H207" s="103"/>
      <c r="I207" s="90">
        <f t="shared" si="21"/>
        <v>0</v>
      </c>
      <c r="J207" s="90">
        <f t="shared" si="22"/>
        <v>0</v>
      </c>
      <c r="K207" s="91">
        <f t="shared" si="23"/>
        <v>0.72916666666666674</v>
      </c>
      <c r="L207" s="91">
        <f t="shared" si="24"/>
        <v>3.333333333333333</v>
      </c>
      <c r="M207" s="29">
        <f t="shared" si="28"/>
        <v>12</v>
      </c>
      <c r="N207" s="92">
        <f t="shared" si="25"/>
        <v>0</v>
      </c>
      <c r="O207" s="104">
        <f t="shared" si="26"/>
        <v>1.016</v>
      </c>
      <c r="P207" s="105">
        <f t="shared" si="27"/>
        <v>0</v>
      </c>
    </row>
    <row r="208" spans="2:16" x14ac:dyDescent="0.25">
      <c r="B208" s="88" t="s">
        <v>18</v>
      </c>
      <c r="C208" s="106">
        <f t="shared" si="20"/>
        <v>2019</v>
      </c>
      <c r="D208" s="101">
        <v>43767</v>
      </c>
      <c r="E208" s="102"/>
      <c r="F208" s="103"/>
      <c r="G208" s="103"/>
      <c r="H208" s="103"/>
      <c r="I208" s="90">
        <f t="shared" si="21"/>
        <v>0</v>
      </c>
      <c r="J208" s="90">
        <f t="shared" si="22"/>
        <v>0</v>
      </c>
      <c r="K208" s="91">
        <f t="shared" si="23"/>
        <v>0.72916666666666674</v>
      </c>
      <c r="L208" s="91">
        <f t="shared" si="24"/>
        <v>3.333333333333333</v>
      </c>
      <c r="M208" s="29">
        <f t="shared" si="28"/>
        <v>12</v>
      </c>
      <c r="N208" s="92">
        <f t="shared" si="25"/>
        <v>0</v>
      </c>
      <c r="O208" s="104">
        <f t="shared" si="26"/>
        <v>1.016</v>
      </c>
      <c r="P208" s="105">
        <f t="shared" si="27"/>
        <v>0</v>
      </c>
    </row>
    <row r="209" spans="2:16" x14ac:dyDescent="0.25">
      <c r="B209" s="88" t="s">
        <v>18</v>
      </c>
      <c r="C209" s="106">
        <f t="shared" si="20"/>
        <v>2019</v>
      </c>
      <c r="D209" s="101">
        <v>43768</v>
      </c>
      <c r="E209" s="102"/>
      <c r="F209" s="103"/>
      <c r="G209" s="103"/>
      <c r="H209" s="103"/>
      <c r="I209" s="90">
        <f t="shared" si="21"/>
        <v>0</v>
      </c>
      <c r="J209" s="90">
        <f t="shared" si="22"/>
        <v>0</v>
      </c>
      <c r="K209" s="91">
        <f t="shared" si="23"/>
        <v>0.72916666666666674</v>
      </c>
      <c r="L209" s="91">
        <f t="shared" si="24"/>
        <v>3.333333333333333</v>
      </c>
      <c r="M209" s="29">
        <f t="shared" si="28"/>
        <v>12</v>
      </c>
      <c r="N209" s="92">
        <f t="shared" si="25"/>
        <v>0</v>
      </c>
      <c r="O209" s="104">
        <f t="shared" si="26"/>
        <v>1.016</v>
      </c>
      <c r="P209" s="105">
        <f t="shared" si="27"/>
        <v>0</v>
      </c>
    </row>
    <row r="210" spans="2:16" x14ac:dyDescent="0.25">
      <c r="B210" s="88" t="s">
        <v>18</v>
      </c>
      <c r="C210" s="106">
        <f t="shared" si="20"/>
        <v>2019</v>
      </c>
      <c r="D210" s="101">
        <v>43769</v>
      </c>
      <c r="E210" s="102">
        <v>0.66666666666666663</v>
      </c>
      <c r="F210" s="103">
        <v>0.6875</v>
      </c>
      <c r="G210" s="103">
        <v>0.66666666666666663</v>
      </c>
      <c r="H210" s="103">
        <v>0.6875</v>
      </c>
      <c r="I210" s="90">
        <f t="shared" si="21"/>
        <v>0.50000000000000089</v>
      </c>
      <c r="J210" s="90">
        <f t="shared" si="22"/>
        <v>0.50000000000000089</v>
      </c>
      <c r="K210" s="91">
        <f t="shared" si="23"/>
        <v>0.72916666666666674</v>
      </c>
      <c r="L210" s="91">
        <f t="shared" si="24"/>
        <v>3.333333333333333</v>
      </c>
      <c r="M210" s="29">
        <f t="shared" si="28"/>
        <v>12</v>
      </c>
      <c r="N210" s="92">
        <f t="shared" si="25"/>
        <v>0.50000000000000089</v>
      </c>
      <c r="O210" s="104">
        <f t="shared" si="26"/>
        <v>1.016</v>
      </c>
      <c r="P210" s="105">
        <f t="shared" si="27"/>
        <v>4.267200000000007</v>
      </c>
    </row>
    <row r="211" spans="2:16" x14ac:dyDescent="0.25">
      <c r="B211" s="88" t="s">
        <v>18</v>
      </c>
      <c r="C211" s="106">
        <f t="shared" si="20"/>
        <v>2019</v>
      </c>
      <c r="D211" s="101">
        <v>43770</v>
      </c>
      <c r="E211" s="102"/>
      <c r="F211" s="103"/>
      <c r="G211" s="103"/>
      <c r="H211" s="103"/>
      <c r="I211" s="90">
        <f t="shared" si="21"/>
        <v>0</v>
      </c>
      <c r="J211" s="90">
        <f t="shared" si="22"/>
        <v>0</v>
      </c>
      <c r="K211" s="91">
        <f t="shared" si="23"/>
        <v>0.72916666666666674</v>
      </c>
      <c r="L211" s="91">
        <f t="shared" si="24"/>
        <v>3.333333333333333</v>
      </c>
      <c r="M211" s="29">
        <f t="shared" si="28"/>
        <v>12</v>
      </c>
      <c r="N211" s="92">
        <f t="shared" si="25"/>
        <v>0</v>
      </c>
      <c r="O211" s="104">
        <f t="shared" si="26"/>
        <v>1.016</v>
      </c>
      <c r="P211" s="105">
        <f t="shared" si="27"/>
        <v>0</v>
      </c>
    </row>
    <row r="212" spans="2:16" x14ac:dyDescent="0.25">
      <c r="B212" s="88" t="s">
        <v>18</v>
      </c>
      <c r="C212" s="106">
        <f t="shared" si="20"/>
        <v>2019</v>
      </c>
      <c r="D212" s="101">
        <v>43771</v>
      </c>
      <c r="E212" s="102"/>
      <c r="F212" s="103"/>
      <c r="G212" s="103"/>
      <c r="H212" s="103"/>
      <c r="I212" s="90">
        <f t="shared" si="21"/>
        <v>0</v>
      </c>
      <c r="J212" s="90">
        <f t="shared" si="22"/>
        <v>0</v>
      </c>
      <c r="K212" s="91">
        <f t="shared" si="23"/>
        <v>0.72916666666666674</v>
      </c>
      <c r="L212" s="91">
        <f t="shared" si="24"/>
        <v>3.333333333333333</v>
      </c>
      <c r="M212" s="29">
        <f t="shared" si="28"/>
        <v>12</v>
      </c>
      <c r="N212" s="92">
        <f t="shared" si="25"/>
        <v>0</v>
      </c>
      <c r="O212" s="104">
        <f t="shared" si="26"/>
        <v>1.016</v>
      </c>
      <c r="P212" s="105">
        <f t="shared" si="27"/>
        <v>0</v>
      </c>
    </row>
    <row r="213" spans="2:16" x14ac:dyDescent="0.25">
      <c r="B213" s="88" t="s">
        <v>18</v>
      </c>
      <c r="C213" s="106">
        <f t="shared" si="20"/>
        <v>2019</v>
      </c>
      <c r="D213" s="101">
        <v>43772</v>
      </c>
      <c r="E213" s="102"/>
      <c r="F213" s="103"/>
      <c r="G213" s="103"/>
      <c r="H213" s="103"/>
      <c r="I213" s="90">
        <f t="shared" si="21"/>
        <v>0</v>
      </c>
      <c r="J213" s="90">
        <f t="shared" si="22"/>
        <v>0</v>
      </c>
      <c r="K213" s="91">
        <f t="shared" si="23"/>
        <v>0.72916666666666674</v>
      </c>
      <c r="L213" s="91">
        <f t="shared" si="24"/>
        <v>3.333333333333333</v>
      </c>
      <c r="M213" s="29">
        <f t="shared" si="28"/>
        <v>12</v>
      </c>
      <c r="N213" s="92">
        <f t="shared" si="25"/>
        <v>0</v>
      </c>
      <c r="O213" s="104">
        <f t="shared" si="26"/>
        <v>1.016</v>
      </c>
      <c r="P213" s="105">
        <f t="shared" si="27"/>
        <v>0</v>
      </c>
    </row>
    <row r="214" spans="2:16" x14ac:dyDescent="0.25">
      <c r="B214" s="88" t="s">
        <v>18</v>
      </c>
      <c r="C214" s="106">
        <f t="shared" si="20"/>
        <v>2019</v>
      </c>
      <c r="D214" s="101">
        <v>43773</v>
      </c>
      <c r="E214" s="102"/>
      <c r="F214" s="103"/>
      <c r="G214" s="103"/>
      <c r="H214" s="103"/>
      <c r="I214" s="90">
        <f t="shared" si="21"/>
        <v>0</v>
      </c>
      <c r="J214" s="90">
        <f t="shared" si="22"/>
        <v>0</v>
      </c>
      <c r="K214" s="91">
        <f t="shared" si="23"/>
        <v>0.72916666666666674</v>
      </c>
      <c r="L214" s="91">
        <f t="shared" si="24"/>
        <v>3.333333333333333</v>
      </c>
      <c r="M214" s="29">
        <f t="shared" si="28"/>
        <v>12</v>
      </c>
      <c r="N214" s="92">
        <f t="shared" si="25"/>
        <v>0</v>
      </c>
      <c r="O214" s="104">
        <f t="shared" si="26"/>
        <v>1.016</v>
      </c>
      <c r="P214" s="105">
        <f t="shared" si="27"/>
        <v>0</v>
      </c>
    </row>
    <row r="215" spans="2:16" x14ac:dyDescent="0.25">
      <c r="B215" s="88" t="s">
        <v>18</v>
      </c>
      <c r="C215" s="106">
        <f t="shared" si="20"/>
        <v>2019</v>
      </c>
      <c r="D215" s="101">
        <v>43774</v>
      </c>
      <c r="E215" s="102">
        <v>0.39583333333333331</v>
      </c>
      <c r="F215" s="103">
        <v>0.41666666666666669</v>
      </c>
      <c r="G215" s="103">
        <v>0.39583333333333331</v>
      </c>
      <c r="H215" s="103">
        <v>0.41666666666666669</v>
      </c>
      <c r="I215" s="90">
        <f t="shared" si="21"/>
        <v>0.50000000000000089</v>
      </c>
      <c r="J215" s="90">
        <f t="shared" si="22"/>
        <v>0.50000000000000089</v>
      </c>
      <c r="K215" s="91">
        <f t="shared" si="23"/>
        <v>0.72916666666666674</v>
      </c>
      <c r="L215" s="91">
        <f t="shared" si="24"/>
        <v>3.333333333333333</v>
      </c>
      <c r="M215" s="29">
        <f t="shared" si="28"/>
        <v>12</v>
      </c>
      <c r="N215" s="92">
        <f t="shared" si="25"/>
        <v>0.50000000000000089</v>
      </c>
      <c r="O215" s="104">
        <f t="shared" si="26"/>
        <v>1.016</v>
      </c>
      <c r="P215" s="105">
        <f t="shared" si="27"/>
        <v>4.267200000000007</v>
      </c>
    </row>
    <row r="216" spans="2:16" x14ac:dyDescent="0.25">
      <c r="B216" s="88" t="s">
        <v>18</v>
      </c>
      <c r="C216" s="106">
        <f t="shared" si="20"/>
        <v>2019</v>
      </c>
      <c r="D216" s="101">
        <v>43775</v>
      </c>
      <c r="E216" s="102"/>
      <c r="F216" s="103"/>
      <c r="G216" s="103"/>
      <c r="H216" s="103"/>
      <c r="I216" s="90">
        <f t="shared" si="21"/>
        <v>0</v>
      </c>
      <c r="J216" s="90">
        <f t="shared" si="22"/>
        <v>0</v>
      </c>
      <c r="K216" s="91">
        <f t="shared" si="23"/>
        <v>0.72916666666666674</v>
      </c>
      <c r="L216" s="91">
        <f t="shared" si="24"/>
        <v>3.333333333333333</v>
      </c>
      <c r="M216" s="29">
        <f t="shared" si="28"/>
        <v>12</v>
      </c>
      <c r="N216" s="92">
        <f t="shared" si="25"/>
        <v>0</v>
      </c>
      <c r="O216" s="104">
        <f t="shared" si="26"/>
        <v>1.016</v>
      </c>
      <c r="P216" s="105">
        <f t="shared" si="27"/>
        <v>0</v>
      </c>
    </row>
    <row r="217" spans="2:16" x14ac:dyDescent="0.25">
      <c r="B217" s="88" t="s">
        <v>18</v>
      </c>
      <c r="C217" s="106">
        <f t="shared" si="20"/>
        <v>2019</v>
      </c>
      <c r="D217" s="101">
        <v>43776</v>
      </c>
      <c r="E217" s="102"/>
      <c r="F217" s="103"/>
      <c r="G217" s="103"/>
      <c r="H217" s="103"/>
      <c r="I217" s="90">
        <f t="shared" si="21"/>
        <v>0</v>
      </c>
      <c r="J217" s="90">
        <f t="shared" si="22"/>
        <v>0</v>
      </c>
      <c r="K217" s="91">
        <f t="shared" si="23"/>
        <v>0.72916666666666674</v>
      </c>
      <c r="L217" s="91">
        <f t="shared" si="24"/>
        <v>3.333333333333333</v>
      </c>
      <c r="M217" s="29">
        <f t="shared" si="28"/>
        <v>12</v>
      </c>
      <c r="N217" s="92">
        <f t="shared" si="25"/>
        <v>0</v>
      </c>
      <c r="O217" s="104">
        <f t="shared" si="26"/>
        <v>1.016</v>
      </c>
      <c r="P217" s="105">
        <f t="shared" si="27"/>
        <v>0</v>
      </c>
    </row>
    <row r="218" spans="2:16" x14ac:dyDescent="0.25">
      <c r="B218" s="88" t="s">
        <v>18</v>
      </c>
      <c r="C218" s="106">
        <f t="shared" si="20"/>
        <v>2019</v>
      </c>
      <c r="D218" s="101">
        <v>43777</v>
      </c>
      <c r="E218" s="102"/>
      <c r="F218" s="103"/>
      <c r="G218" s="103"/>
      <c r="H218" s="103"/>
      <c r="I218" s="90">
        <f t="shared" si="21"/>
        <v>0</v>
      </c>
      <c r="J218" s="90">
        <f t="shared" si="22"/>
        <v>0</v>
      </c>
      <c r="K218" s="91">
        <f t="shared" si="23"/>
        <v>0.72916666666666674</v>
      </c>
      <c r="L218" s="91">
        <f t="shared" si="24"/>
        <v>3.333333333333333</v>
      </c>
      <c r="M218" s="29">
        <f t="shared" si="28"/>
        <v>12</v>
      </c>
      <c r="N218" s="92">
        <f t="shared" si="25"/>
        <v>0</v>
      </c>
      <c r="O218" s="104">
        <f t="shared" si="26"/>
        <v>1.016</v>
      </c>
      <c r="P218" s="105">
        <f t="shared" si="27"/>
        <v>0</v>
      </c>
    </row>
    <row r="219" spans="2:16" x14ac:dyDescent="0.25">
      <c r="B219" s="88" t="s">
        <v>18</v>
      </c>
      <c r="C219" s="106">
        <f t="shared" ref="C219:C282" si="29">YEAR(D219)</f>
        <v>2019</v>
      </c>
      <c r="D219" s="101">
        <v>43778</v>
      </c>
      <c r="E219" s="102"/>
      <c r="F219" s="103"/>
      <c r="G219" s="103"/>
      <c r="H219" s="103"/>
      <c r="I219" s="90">
        <f t="shared" ref="I219:I282" si="30">((F219-E219)-INT($D$20))*24</f>
        <v>0</v>
      </c>
      <c r="J219" s="90">
        <f t="shared" ref="J219:J282" si="31">((H219-G219)-INT($D$20))*24</f>
        <v>0</v>
      </c>
      <c r="K219" s="91">
        <f t="shared" ref="K219:K282" si="32">VLOOKUP(B219,$B$5:$J$17,5,FALSE)</f>
        <v>0.72916666666666674</v>
      </c>
      <c r="L219" s="91">
        <f t="shared" ref="L219:L282" si="33">VLOOKUP(B219,$B$5:$J$17,6,FALSE)</f>
        <v>3.333333333333333</v>
      </c>
      <c r="M219" s="29">
        <f t="shared" si="28"/>
        <v>12</v>
      </c>
      <c r="N219" s="92">
        <f t="shared" ref="N219:N282" si="34">I219</f>
        <v>0</v>
      </c>
      <c r="O219" s="104">
        <f t="shared" ref="O219:O282" si="35">$D$21/1000</f>
        <v>1.016</v>
      </c>
      <c r="P219" s="105">
        <f t="shared" ref="P219:P282" si="36">M219*N219*O219*0.7</f>
        <v>0</v>
      </c>
    </row>
    <row r="220" spans="2:16" x14ac:dyDescent="0.25">
      <c r="B220" s="88" t="s">
        <v>18</v>
      </c>
      <c r="C220" s="106">
        <f t="shared" si="29"/>
        <v>2019</v>
      </c>
      <c r="D220" s="101">
        <v>43779</v>
      </c>
      <c r="E220" s="102">
        <v>0.54166666666666663</v>
      </c>
      <c r="F220" s="103">
        <v>0.5625</v>
      </c>
      <c r="G220" s="103">
        <v>0.54166666666666663</v>
      </c>
      <c r="H220" s="103">
        <v>0.5625</v>
      </c>
      <c r="I220" s="90">
        <f t="shared" si="30"/>
        <v>0.50000000000000089</v>
      </c>
      <c r="J220" s="90">
        <f t="shared" si="31"/>
        <v>0.50000000000000089</v>
      </c>
      <c r="K220" s="91">
        <f t="shared" si="32"/>
        <v>0.72916666666666674</v>
      </c>
      <c r="L220" s="91">
        <f t="shared" si="33"/>
        <v>3.333333333333333</v>
      </c>
      <c r="M220" s="29">
        <f t="shared" ref="M220:M283" si="37">VLOOKUP(B220,$I$5:$J$17,2,FALSE)</f>
        <v>12</v>
      </c>
      <c r="N220" s="92">
        <f t="shared" si="34"/>
        <v>0.50000000000000089</v>
      </c>
      <c r="O220" s="104">
        <f t="shared" si="35"/>
        <v>1.016</v>
      </c>
      <c r="P220" s="105">
        <f t="shared" si="36"/>
        <v>4.267200000000007</v>
      </c>
    </row>
    <row r="221" spans="2:16" x14ac:dyDescent="0.25">
      <c r="B221" s="88" t="s">
        <v>18</v>
      </c>
      <c r="C221" s="106">
        <f t="shared" si="29"/>
        <v>2019</v>
      </c>
      <c r="D221" s="101">
        <v>43780</v>
      </c>
      <c r="E221" s="102"/>
      <c r="F221" s="103"/>
      <c r="G221" s="103"/>
      <c r="H221" s="103"/>
      <c r="I221" s="90">
        <f t="shared" si="30"/>
        <v>0</v>
      </c>
      <c r="J221" s="90">
        <f t="shared" si="31"/>
        <v>0</v>
      </c>
      <c r="K221" s="91">
        <f t="shared" si="32"/>
        <v>0.72916666666666674</v>
      </c>
      <c r="L221" s="91">
        <f t="shared" si="33"/>
        <v>3.333333333333333</v>
      </c>
      <c r="M221" s="29">
        <f t="shared" si="37"/>
        <v>12</v>
      </c>
      <c r="N221" s="92">
        <f t="shared" si="34"/>
        <v>0</v>
      </c>
      <c r="O221" s="104">
        <f t="shared" si="35"/>
        <v>1.016</v>
      </c>
      <c r="P221" s="105">
        <f t="shared" si="36"/>
        <v>0</v>
      </c>
    </row>
    <row r="222" spans="2:16" x14ac:dyDescent="0.25">
      <c r="B222" s="88" t="s">
        <v>18</v>
      </c>
      <c r="C222" s="106">
        <f t="shared" si="29"/>
        <v>2019</v>
      </c>
      <c r="D222" s="101">
        <v>43781</v>
      </c>
      <c r="E222" s="102"/>
      <c r="F222" s="103"/>
      <c r="G222" s="103"/>
      <c r="H222" s="103"/>
      <c r="I222" s="90">
        <f t="shared" si="30"/>
        <v>0</v>
      </c>
      <c r="J222" s="90">
        <f t="shared" si="31"/>
        <v>0</v>
      </c>
      <c r="K222" s="91">
        <f t="shared" si="32"/>
        <v>0.72916666666666674</v>
      </c>
      <c r="L222" s="91">
        <f t="shared" si="33"/>
        <v>3.333333333333333</v>
      </c>
      <c r="M222" s="29">
        <f t="shared" si="37"/>
        <v>12</v>
      </c>
      <c r="N222" s="92">
        <f t="shared" si="34"/>
        <v>0</v>
      </c>
      <c r="O222" s="104">
        <f t="shared" si="35"/>
        <v>1.016</v>
      </c>
      <c r="P222" s="105">
        <f t="shared" si="36"/>
        <v>0</v>
      </c>
    </row>
    <row r="223" spans="2:16" x14ac:dyDescent="0.25">
      <c r="B223" s="88" t="s">
        <v>18</v>
      </c>
      <c r="C223" s="106">
        <f t="shared" si="29"/>
        <v>2019</v>
      </c>
      <c r="D223" s="101">
        <v>43782</v>
      </c>
      <c r="E223" s="102"/>
      <c r="F223" s="103"/>
      <c r="G223" s="103"/>
      <c r="H223" s="103"/>
      <c r="I223" s="90">
        <f t="shared" si="30"/>
        <v>0</v>
      </c>
      <c r="J223" s="90">
        <f t="shared" si="31"/>
        <v>0</v>
      </c>
      <c r="K223" s="91">
        <f t="shared" si="32"/>
        <v>0.72916666666666674</v>
      </c>
      <c r="L223" s="91">
        <f t="shared" si="33"/>
        <v>3.333333333333333</v>
      </c>
      <c r="M223" s="29">
        <f t="shared" si="37"/>
        <v>12</v>
      </c>
      <c r="N223" s="92">
        <f t="shared" si="34"/>
        <v>0</v>
      </c>
      <c r="O223" s="104">
        <f t="shared" si="35"/>
        <v>1.016</v>
      </c>
      <c r="P223" s="105">
        <f t="shared" si="36"/>
        <v>0</v>
      </c>
    </row>
    <row r="224" spans="2:16" x14ac:dyDescent="0.25">
      <c r="B224" s="88" t="s">
        <v>18</v>
      </c>
      <c r="C224" s="106">
        <f t="shared" si="29"/>
        <v>2019</v>
      </c>
      <c r="D224" s="101">
        <v>43783</v>
      </c>
      <c r="E224" s="102"/>
      <c r="F224" s="103"/>
      <c r="G224" s="103"/>
      <c r="H224" s="103"/>
      <c r="I224" s="90">
        <f t="shared" si="30"/>
        <v>0</v>
      </c>
      <c r="J224" s="90">
        <f t="shared" si="31"/>
        <v>0</v>
      </c>
      <c r="K224" s="91">
        <f t="shared" si="32"/>
        <v>0.72916666666666674</v>
      </c>
      <c r="L224" s="91">
        <f t="shared" si="33"/>
        <v>3.333333333333333</v>
      </c>
      <c r="M224" s="29">
        <f t="shared" si="37"/>
        <v>12</v>
      </c>
      <c r="N224" s="92">
        <f t="shared" si="34"/>
        <v>0</v>
      </c>
      <c r="O224" s="104">
        <f t="shared" si="35"/>
        <v>1.016</v>
      </c>
      <c r="P224" s="105">
        <f t="shared" si="36"/>
        <v>0</v>
      </c>
    </row>
    <row r="225" spans="2:16" x14ac:dyDescent="0.25">
      <c r="B225" s="88" t="s">
        <v>18</v>
      </c>
      <c r="C225" s="106">
        <f t="shared" si="29"/>
        <v>2019</v>
      </c>
      <c r="D225" s="101">
        <v>43784</v>
      </c>
      <c r="E225" s="102">
        <v>0.70833333333333337</v>
      </c>
      <c r="F225" s="103">
        <v>0.72916666666666663</v>
      </c>
      <c r="G225" s="103">
        <v>0.70833333333333337</v>
      </c>
      <c r="H225" s="103">
        <v>0.72916666666666663</v>
      </c>
      <c r="I225" s="90">
        <f t="shared" si="30"/>
        <v>0.49999999999999822</v>
      </c>
      <c r="J225" s="90">
        <f t="shared" si="31"/>
        <v>0.49999999999999822</v>
      </c>
      <c r="K225" s="91">
        <f t="shared" si="32"/>
        <v>0.72916666666666674</v>
      </c>
      <c r="L225" s="91">
        <f t="shared" si="33"/>
        <v>3.333333333333333</v>
      </c>
      <c r="M225" s="29">
        <f t="shared" si="37"/>
        <v>12</v>
      </c>
      <c r="N225" s="92">
        <f t="shared" si="34"/>
        <v>0.49999999999999822</v>
      </c>
      <c r="O225" s="104">
        <f t="shared" si="35"/>
        <v>1.016</v>
      </c>
      <c r="P225" s="105">
        <f t="shared" si="36"/>
        <v>4.2671999999999848</v>
      </c>
    </row>
    <row r="226" spans="2:16" x14ac:dyDescent="0.25">
      <c r="B226" s="88" t="s">
        <v>18</v>
      </c>
      <c r="C226" s="106">
        <f t="shared" si="29"/>
        <v>2019</v>
      </c>
      <c r="D226" s="101">
        <v>43785</v>
      </c>
      <c r="E226" s="102"/>
      <c r="F226" s="103"/>
      <c r="G226" s="103"/>
      <c r="H226" s="103"/>
      <c r="I226" s="90">
        <f t="shared" si="30"/>
        <v>0</v>
      </c>
      <c r="J226" s="90">
        <f t="shared" si="31"/>
        <v>0</v>
      </c>
      <c r="K226" s="91">
        <f t="shared" si="32"/>
        <v>0.72916666666666674</v>
      </c>
      <c r="L226" s="91">
        <f t="shared" si="33"/>
        <v>3.333333333333333</v>
      </c>
      <c r="M226" s="29">
        <f t="shared" si="37"/>
        <v>12</v>
      </c>
      <c r="N226" s="92">
        <f t="shared" si="34"/>
        <v>0</v>
      </c>
      <c r="O226" s="104">
        <f t="shared" si="35"/>
        <v>1.016</v>
      </c>
      <c r="P226" s="105">
        <f t="shared" si="36"/>
        <v>0</v>
      </c>
    </row>
    <row r="227" spans="2:16" x14ac:dyDescent="0.25">
      <c r="B227" s="88" t="s">
        <v>18</v>
      </c>
      <c r="C227" s="106">
        <f t="shared" si="29"/>
        <v>2019</v>
      </c>
      <c r="D227" s="101">
        <v>43786</v>
      </c>
      <c r="E227" s="102"/>
      <c r="F227" s="103"/>
      <c r="G227" s="103"/>
      <c r="H227" s="103"/>
      <c r="I227" s="90">
        <f t="shared" si="30"/>
        <v>0</v>
      </c>
      <c r="J227" s="90">
        <f t="shared" si="31"/>
        <v>0</v>
      </c>
      <c r="K227" s="91">
        <f t="shared" si="32"/>
        <v>0.72916666666666674</v>
      </c>
      <c r="L227" s="91">
        <f t="shared" si="33"/>
        <v>3.333333333333333</v>
      </c>
      <c r="M227" s="29">
        <f t="shared" si="37"/>
        <v>12</v>
      </c>
      <c r="N227" s="92">
        <f t="shared" si="34"/>
        <v>0</v>
      </c>
      <c r="O227" s="104">
        <f t="shared" si="35"/>
        <v>1.016</v>
      </c>
      <c r="P227" s="105">
        <f t="shared" si="36"/>
        <v>0</v>
      </c>
    </row>
    <row r="228" spans="2:16" x14ac:dyDescent="0.25">
      <c r="B228" s="88" t="s">
        <v>18</v>
      </c>
      <c r="C228" s="106">
        <f t="shared" si="29"/>
        <v>2019</v>
      </c>
      <c r="D228" s="101">
        <v>43787</v>
      </c>
      <c r="E228" s="102"/>
      <c r="F228" s="103"/>
      <c r="G228" s="103"/>
      <c r="H228" s="103"/>
      <c r="I228" s="90">
        <f t="shared" si="30"/>
        <v>0</v>
      </c>
      <c r="J228" s="90">
        <f t="shared" si="31"/>
        <v>0</v>
      </c>
      <c r="K228" s="91">
        <f t="shared" si="32"/>
        <v>0.72916666666666674</v>
      </c>
      <c r="L228" s="91">
        <f t="shared" si="33"/>
        <v>3.333333333333333</v>
      </c>
      <c r="M228" s="29">
        <f t="shared" si="37"/>
        <v>12</v>
      </c>
      <c r="N228" s="92">
        <f t="shared" si="34"/>
        <v>0</v>
      </c>
      <c r="O228" s="104">
        <f t="shared" si="35"/>
        <v>1.016</v>
      </c>
      <c r="P228" s="105">
        <f t="shared" si="36"/>
        <v>0</v>
      </c>
    </row>
    <row r="229" spans="2:16" x14ac:dyDescent="0.25">
      <c r="B229" s="88" t="s">
        <v>18</v>
      </c>
      <c r="C229" s="106">
        <f t="shared" si="29"/>
        <v>2019</v>
      </c>
      <c r="D229" s="101">
        <v>43788</v>
      </c>
      <c r="E229" s="102"/>
      <c r="F229" s="103"/>
      <c r="G229" s="103"/>
      <c r="H229" s="103"/>
      <c r="I229" s="90">
        <f t="shared" si="30"/>
        <v>0</v>
      </c>
      <c r="J229" s="90">
        <f t="shared" si="31"/>
        <v>0</v>
      </c>
      <c r="K229" s="91">
        <f t="shared" si="32"/>
        <v>0.72916666666666674</v>
      </c>
      <c r="L229" s="91">
        <f t="shared" si="33"/>
        <v>3.333333333333333</v>
      </c>
      <c r="M229" s="29">
        <f t="shared" si="37"/>
        <v>12</v>
      </c>
      <c r="N229" s="92">
        <f t="shared" si="34"/>
        <v>0</v>
      </c>
      <c r="O229" s="104">
        <f t="shared" si="35"/>
        <v>1.016</v>
      </c>
      <c r="P229" s="105">
        <f t="shared" si="36"/>
        <v>0</v>
      </c>
    </row>
    <row r="230" spans="2:16" x14ac:dyDescent="0.25">
      <c r="B230" s="88" t="s">
        <v>18</v>
      </c>
      <c r="C230" s="106">
        <f t="shared" si="29"/>
        <v>2019</v>
      </c>
      <c r="D230" s="101">
        <v>43789</v>
      </c>
      <c r="E230" s="102"/>
      <c r="F230" s="103"/>
      <c r="G230" s="103"/>
      <c r="H230" s="103"/>
      <c r="I230" s="90">
        <f t="shared" si="30"/>
        <v>0</v>
      </c>
      <c r="J230" s="90">
        <f t="shared" si="31"/>
        <v>0</v>
      </c>
      <c r="K230" s="91">
        <f t="shared" si="32"/>
        <v>0.72916666666666674</v>
      </c>
      <c r="L230" s="91">
        <f t="shared" si="33"/>
        <v>3.333333333333333</v>
      </c>
      <c r="M230" s="29">
        <f t="shared" si="37"/>
        <v>12</v>
      </c>
      <c r="N230" s="92">
        <f t="shared" si="34"/>
        <v>0</v>
      </c>
      <c r="O230" s="104">
        <f t="shared" si="35"/>
        <v>1.016</v>
      </c>
      <c r="P230" s="105">
        <f t="shared" si="36"/>
        <v>0</v>
      </c>
    </row>
    <row r="231" spans="2:16" x14ac:dyDescent="0.25">
      <c r="B231" s="88" t="s">
        <v>18</v>
      </c>
      <c r="C231" s="106">
        <f t="shared" si="29"/>
        <v>2019</v>
      </c>
      <c r="D231" s="101">
        <v>43790</v>
      </c>
      <c r="E231" s="102"/>
      <c r="F231" s="103"/>
      <c r="G231" s="103"/>
      <c r="H231" s="103"/>
      <c r="I231" s="90">
        <f t="shared" si="30"/>
        <v>0</v>
      </c>
      <c r="J231" s="90">
        <f t="shared" si="31"/>
        <v>0</v>
      </c>
      <c r="K231" s="91">
        <f t="shared" si="32"/>
        <v>0.72916666666666674</v>
      </c>
      <c r="L231" s="91">
        <f t="shared" si="33"/>
        <v>3.333333333333333</v>
      </c>
      <c r="M231" s="29">
        <f t="shared" si="37"/>
        <v>12</v>
      </c>
      <c r="N231" s="92">
        <f t="shared" si="34"/>
        <v>0</v>
      </c>
      <c r="O231" s="104">
        <f t="shared" si="35"/>
        <v>1.016</v>
      </c>
      <c r="P231" s="105">
        <f t="shared" si="36"/>
        <v>0</v>
      </c>
    </row>
    <row r="232" spans="2:16" x14ac:dyDescent="0.25">
      <c r="B232" s="88" t="s">
        <v>18</v>
      </c>
      <c r="C232" s="106">
        <f t="shared" si="29"/>
        <v>2019</v>
      </c>
      <c r="D232" s="101">
        <v>43791</v>
      </c>
      <c r="E232" s="102">
        <v>0.54166666666666663</v>
      </c>
      <c r="F232" s="103">
        <v>0.5625</v>
      </c>
      <c r="G232" s="103">
        <v>0.54166666666666663</v>
      </c>
      <c r="H232" s="103">
        <v>0.5625</v>
      </c>
      <c r="I232" s="90">
        <f t="shared" si="30"/>
        <v>0.50000000000000089</v>
      </c>
      <c r="J232" s="90">
        <f t="shared" si="31"/>
        <v>0.50000000000000089</v>
      </c>
      <c r="K232" s="91">
        <f t="shared" si="32"/>
        <v>0.72916666666666674</v>
      </c>
      <c r="L232" s="91">
        <f t="shared" si="33"/>
        <v>3.333333333333333</v>
      </c>
      <c r="M232" s="29">
        <f t="shared" si="37"/>
        <v>12</v>
      </c>
      <c r="N232" s="92">
        <f t="shared" si="34"/>
        <v>0.50000000000000089</v>
      </c>
      <c r="O232" s="104">
        <f t="shared" si="35"/>
        <v>1.016</v>
      </c>
      <c r="P232" s="105">
        <f t="shared" si="36"/>
        <v>4.267200000000007</v>
      </c>
    </row>
    <row r="233" spans="2:16" x14ac:dyDescent="0.25">
      <c r="B233" s="88" t="s">
        <v>18</v>
      </c>
      <c r="C233" s="106">
        <f t="shared" si="29"/>
        <v>2019</v>
      </c>
      <c r="D233" s="101">
        <v>43792</v>
      </c>
      <c r="E233" s="102"/>
      <c r="F233" s="103"/>
      <c r="G233" s="103"/>
      <c r="H233" s="103"/>
      <c r="I233" s="90">
        <f t="shared" si="30"/>
        <v>0</v>
      </c>
      <c r="J233" s="90">
        <f t="shared" si="31"/>
        <v>0</v>
      </c>
      <c r="K233" s="91">
        <f t="shared" si="32"/>
        <v>0.72916666666666674</v>
      </c>
      <c r="L233" s="91">
        <f t="shared" si="33"/>
        <v>3.333333333333333</v>
      </c>
      <c r="M233" s="29">
        <f t="shared" si="37"/>
        <v>12</v>
      </c>
      <c r="N233" s="92">
        <f t="shared" si="34"/>
        <v>0</v>
      </c>
      <c r="O233" s="104">
        <f t="shared" si="35"/>
        <v>1.016</v>
      </c>
      <c r="P233" s="105">
        <f t="shared" si="36"/>
        <v>0</v>
      </c>
    </row>
    <row r="234" spans="2:16" x14ac:dyDescent="0.25">
      <c r="B234" s="88" t="s">
        <v>18</v>
      </c>
      <c r="C234" s="106">
        <f t="shared" si="29"/>
        <v>2019</v>
      </c>
      <c r="D234" s="101">
        <v>43793</v>
      </c>
      <c r="E234" s="102"/>
      <c r="F234" s="103"/>
      <c r="G234" s="103"/>
      <c r="H234" s="103"/>
      <c r="I234" s="90">
        <f t="shared" si="30"/>
        <v>0</v>
      </c>
      <c r="J234" s="90">
        <f t="shared" si="31"/>
        <v>0</v>
      </c>
      <c r="K234" s="91">
        <f t="shared" si="32"/>
        <v>0.72916666666666674</v>
      </c>
      <c r="L234" s="91">
        <f t="shared" si="33"/>
        <v>3.333333333333333</v>
      </c>
      <c r="M234" s="29">
        <f t="shared" si="37"/>
        <v>12</v>
      </c>
      <c r="N234" s="92">
        <f t="shared" si="34"/>
        <v>0</v>
      </c>
      <c r="O234" s="104">
        <f t="shared" si="35"/>
        <v>1.016</v>
      </c>
      <c r="P234" s="105">
        <f t="shared" si="36"/>
        <v>0</v>
      </c>
    </row>
    <row r="235" spans="2:16" x14ac:dyDescent="0.25">
      <c r="B235" s="88" t="s">
        <v>18</v>
      </c>
      <c r="C235" s="106">
        <f t="shared" si="29"/>
        <v>2019</v>
      </c>
      <c r="D235" s="101">
        <v>43794</v>
      </c>
      <c r="E235" s="102"/>
      <c r="F235" s="103"/>
      <c r="G235" s="103"/>
      <c r="H235" s="103"/>
      <c r="I235" s="90">
        <f t="shared" si="30"/>
        <v>0</v>
      </c>
      <c r="J235" s="90">
        <f t="shared" si="31"/>
        <v>0</v>
      </c>
      <c r="K235" s="91">
        <f t="shared" si="32"/>
        <v>0.72916666666666674</v>
      </c>
      <c r="L235" s="91">
        <f t="shared" si="33"/>
        <v>3.333333333333333</v>
      </c>
      <c r="M235" s="29">
        <f t="shared" si="37"/>
        <v>12</v>
      </c>
      <c r="N235" s="92">
        <f t="shared" si="34"/>
        <v>0</v>
      </c>
      <c r="O235" s="104">
        <f t="shared" si="35"/>
        <v>1.016</v>
      </c>
      <c r="P235" s="105">
        <f t="shared" si="36"/>
        <v>0</v>
      </c>
    </row>
    <row r="236" spans="2:16" x14ac:dyDescent="0.25">
      <c r="B236" s="88" t="s">
        <v>18</v>
      </c>
      <c r="C236" s="106">
        <f t="shared" si="29"/>
        <v>2019</v>
      </c>
      <c r="D236" s="101">
        <v>43795</v>
      </c>
      <c r="E236" s="102"/>
      <c r="F236" s="103"/>
      <c r="G236" s="103"/>
      <c r="H236" s="103"/>
      <c r="I236" s="90">
        <f t="shared" si="30"/>
        <v>0</v>
      </c>
      <c r="J236" s="90">
        <f t="shared" si="31"/>
        <v>0</v>
      </c>
      <c r="K236" s="91">
        <f t="shared" si="32"/>
        <v>0.72916666666666674</v>
      </c>
      <c r="L236" s="91">
        <f t="shared" si="33"/>
        <v>3.333333333333333</v>
      </c>
      <c r="M236" s="29">
        <f t="shared" si="37"/>
        <v>12</v>
      </c>
      <c r="N236" s="92">
        <f t="shared" si="34"/>
        <v>0</v>
      </c>
      <c r="O236" s="104">
        <f t="shared" si="35"/>
        <v>1.016</v>
      </c>
      <c r="P236" s="105">
        <f t="shared" si="36"/>
        <v>0</v>
      </c>
    </row>
    <row r="237" spans="2:16" x14ac:dyDescent="0.25">
      <c r="B237" s="88" t="s">
        <v>18</v>
      </c>
      <c r="C237" s="106">
        <f t="shared" si="29"/>
        <v>2019</v>
      </c>
      <c r="D237" s="101">
        <v>43796</v>
      </c>
      <c r="E237" s="102"/>
      <c r="F237" s="103"/>
      <c r="G237" s="103"/>
      <c r="H237" s="103"/>
      <c r="I237" s="90">
        <f t="shared" si="30"/>
        <v>0</v>
      </c>
      <c r="J237" s="90">
        <f t="shared" si="31"/>
        <v>0</v>
      </c>
      <c r="K237" s="91">
        <f t="shared" si="32"/>
        <v>0.72916666666666674</v>
      </c>
      <c r="L237" s="91">
        <f t="shared" si="33"/>
        <v>3.333333333333333</v>
      </c>
      <c r="M237" s="29">
        <f t="shared" si="37"/>
        <v>12</v>
      </c>
      <c r="N237" s="92">
        <f t="shared" si="34"/>
        <v>0</v>
      </c>
      <c r="O237" s="104">
        <f t="shared" si="35"/>
        <v>1.016</v>
      </c>
      <c r="P237" s="105">
        <f t="shared" si="36"/>
        <v>0</v>
      </c>
    </row>
    <row r="238" spans="2:16" x14ac:dyDescent="0.25">
      <c r="B238" s="88" t="s">
        <v>18</v>
      </c>
      <c r="C238" s="106">
        <f t="shared" si="29"/>
        <v>2019</v>
      </c>
      <c r="D238" s="101">
        <v>43797</v>
      </c>
      <c r="E238" s="102">
        <v>0.66666666666666663</v>
      </c>
      <c r="F238" s="103">
        <v>0.6875</v>
      </c>
      <c r="G238" s="103">
        <v>0.66666666666666663</v>
      </c>
      <c r="H238" s="103">
        <v>0.6875</v>
      </c>
      <c r="I238" s="90">
        <f t="shared" si="30"/>
        <v>0.50000000000000089</v>
      </c>
      <c r="J238" s="90">
        <f t="shared" si="31"/>
        <v>0.50000000000000089</v>
      </c>
      <c r="K238" s="91">
        <f t="shared" si="32"/>
        <v>0.72916666666666674</v>
      </c>
      <c r="L238" s="91">
        <f t="shared" si="33"/>
        <v>3.333333333333333</v>
      </c>
      <c r="M238" s="29">
        <f t="shared" si="37"/>
        <v>12</v>
      </c>
      <c r="N238" s="92">
        <f t="shared" si="34"/>
        <v>0.50000000000000089</v>
      </c>
      <c r="O238" s="104">
        <f t="shared" si="35"/>
        <v>1.016</v>
      </c>
      <c r="P238" s="105">
        <f t="shared" si="36"/>
        <v>4.267200000000007</v>
      </c>
    </row>
    <row r="239" spans="2:16" x14ac:dyDescent="0.25">
      <c r="B239" s="88" t="s">
        <v>18</v>
      </c>
      <c r="C239" s="106">
        <f t="shared" si="29"/>
        <v>2019</v>
      </c>
      <c r="D239" s="101">
        <v>43798</v>
      </c>
      <c r="E239" s="102"/>
      <c r="F239" s="103"/>
      <c r="G239" s="103"/>
      <c r="H239" s="103"/>
      <c r="I239" s="90">
        <f t="shared" si="30"/>
        <v>0</v>
      </c>
      <c r="J239" s="90">
        <f t="shared" si="31"/>
        <v>0</v>
      </c>
      <c r="K239" s="91">
        <f t="shared" si="32"/>
        <v>0.72916666666666674</v>
      </c>
      <c r="L239" s="91">
        <f t="shared" si="33"/>
        <v>3.333333333333333</v>
      </c>
      <c r="M239" s="29">
        <f t="shared" si="37"/>
        <v>12</v>
      </c>
      <c r="N239" s="92">
        <f t="shared" si="34"/>
        <v>0</v>
      </c>
      <c r="O239" s="104">
        <f t="shared" si="35"/>
        <v>1.016</v>
      </c>
      <c r="P239" s="105">
        <f t="shared" si="36"/>
        <v>0</v>
      </c>
    </row>
    <row r="240" spans="2:16" x14ac:dyDescent="0.25">
      <c r="B240" s="88" t="s">
        <v>18</v>
      </c>
      <c r="C240" s="106">
        <f t="shared" si="29"/>
        <v>2019</v>
      </c>
      <c r="D240" s="101">
        <v>43799</v>
      </c>
      <c r="E240" s="102"/>
      <c r="F240" s="103"/>
      <c r="G240" s="103"/>
      <c r="H240" s="103"/>
      <c r="I240" s="90">
        <f t="shared" si="30"/>
        <v>0</v>
      </c>
      <c r="J240" s="90">
        <f t="shared" si="31"/>
        <v>0</v>
      </c>
      <c r="K240" s="91">
        <f t="shared" si="32"/>
        <v>0.72916666666666674</v>
      </c>
      <c r="L240" s="91">
        <f t="shared" si="33"/>
        <v>3.333333333333333</v>
      </c>
      <c r="M240" s="29">
        <f t="shared" si="37"/>
        <v>12</v>
      </c>
      <c r="N240" s="92">
        <f t="shared" si="34"/>
        <v>0</v>
      </c>
      <c r="O240" s="104">
        <f t="shared" si="35"/>
        <v>1.016</v>
      </c>
      <c r="P240" s="105">
        <f t="shared" si="36"/>
        <v>0</v>
      </c>
    </row>
    <row r="241" spans="2:16" x14ac:dyDescent="0.25">
      <c r="B241" s="88" t="s">
        <v>18</v>
      </c>
      <c r="C241" s="106">
        <f t="shared" si="29"/>
        <v>2019</v>
      </c>
      <c r="D241" s="101">
        <v>43800</v>
      </c>
      <c r="E241" s="102"/>
      <c r="F241" s="103"/>
      <c r="G241" s="103"/>
      <c r="H241" s="103"/>
      <c r="I241" s="90">
        <f t="shared" si="30"/>
        <v>0</v>
      </c>
      <c r="J241" s="90">
        <f t="shared" si="31"/>
        <v>0</v>
      </c>
      <c r="K241" s="91">
        <f t="shared" si="32"/>
        <v>0.72916666666666674</v>
      </c>
      <c r="L241" s="91">
        <f t="shared" si="33"/>
        <v>3.333333333333333</v>
      </c>
      <c r="M241" s="29">
        <f t="shared" si="37"/>
        <v>12</v>
      </c>
      <c r="N241" s="92">
        <f t="shared" si="34"/>
        <v>0</v>
      </c>
      <c r="O241" s="104">
        <f t="shared" si="35"/>
        <v>1.016</v>
      </c>
      <c r="P241" s="105">
        <f t="shared" si="36"/>
        <v>0</v>
      </c>
    </row>
    <row r="242" spans="2:16" x14ac:dyDescent="0.25">
      <c r="B242" s="88" t="s">
        <v>18</v>
      </c>
      <c r="C242" s="106">
        <f t="shared" si="29"/>
        <v>2019</v>
      </c>
      <c r="D242" s="101">
        <v>43801</v>
      </c>
      <c r="E242" s="102"/>
      <c r="F242" s="103"/>
      <c r="G242" s="103"/>
      <c r="H242" s="103"/>
      <c r="I242" s="90">
        <f t="shared" si="30"/>
        <v>0</v>
      </c>
      <c r="J242" s="90">
        <f t="shared" si="31"/>
        <v>0</v>
      </c>
      <c r="K242" s="91">
        <f t="shared" si="32"/>
        <v>0.72916666666666674</v>
      </c>
      <c r="L242" s="91">
        <f t="shared" si="33"/>
        <v>3.333333333333333</v>
      </c>
      <c r="M242" s="29">
        <f t="shared" si="37"/>
        <v>12</v>
      </c>
      <c r="N242" s="92">
        <f t="shared" si="34"/>
        <v>0</v>
      </c>
      <c r="O242" s="104">
        <f t="shared" si="35"/>
        <v>1.016</v>
      </c>
      <c r="P242" s="105">
        <f t="shared" si="36"/>
        <v>0</v>
      </c>
    </row>
    <row r="243" spans="2:16" x14ac:dyDescent="0.25">
      <c r="B243" s="88" t="s">
        <v>18</v>
      </c>
      <c r="C243" s="106">
        <f t="shared" si="29"/>
        <v>2019</v>
      </c>
      <c r="D243" s="101">
        <v>43802</v>
      </c>
      <c r="E243" s="102"/>
      <c r="F243" s="103"/>
      <c r="G243" s="103"/>
      <c r="H243" s="103"/>
      <c r="I243" s="90">
        <f t="shared" si="30"/>
        <v>0</v>
      </c>
      <c r="J243" s="90">
        <f t="shared" si="31"/>
        <v>0</v>
      </c>
      <c r="K243" s="91">
        <f t="shared" si="32"/>
        <v>0.72916666666666674</v>
      </c>
      <c r="L243" s="91">
        <f t="shared" si="33"/>
        <v>3.333333333333333</v>
      </c>
      <c r="M243" s="29">
        <f t="shared" si="37"/>
        <v>12</v>
      </c>
      <c r="N243" s="92">
        <f t="shared" si="34"/>
        <v>0</v>
      </c>
      <c r="O243" s="104">
        <f t="shared" si="35"/>
        <v>1.016</v>
      </c>
      <c r="P243" s="105">
        <f t="shared" si="36"/>
        <v>0</v>
      </c>
    </row>
    <row r="244" spans="2:16" x14ac:dyDescent="0.25">
      <c r="B244" s="88" t="s">
        <v>18</v>
      </c>
      <c r="C244" s="106">
        <f t="shared" si="29"/>
        <v>2019</v>
      </c>
      <c r="D244" s="101">
        <v>43803</v>
      </c>
      <c r="E244" s="102">
        <v>0.52083333333333337</v>
      </c>
      <c r="F244" s="103">
        <v>0.54166666666666663</v>
      </c>
      <c r="G244" s="103">
        <v>0.52083333333333337</v>
      </c>
      <c r="H244" s="103">
        <v>0.54166666666666663</v>
      </c>
      <c r="I244" s="90">
        <f t="shared" si="30"/>
        <v>0.49999999999999822</v>
      </c>
      <c r="J244" s="90">
        <f t="shared" si="31"/>
        <v>0.49999999999999822</v>
      </c>
      <c r="K244" s="91">
        <f t="shared" si="32"/>
        <v>0.72916666666666674</v>
      </c>
      <c r="L244" s="91">
        <f t="shared" si="33"/>
        <v>3.333333333333333</v>
      </c>
      <c r="M244" s="29">
        <f t="shared" si="37"/>
        <v>12</v>
      </c>
      <c r="N244" s="92">
        <f t="shared" si="34"/>
        <v>0.49999999999999822</v>
      </c>
      <c r="O244" s="104">
        <f t="shared" si="35"/>
        <v>1.016</v>
      </c>
      <c r="P244" s="105">
        <f t="shared" si="36"/>
        <v>4.2671999999999848</v>
      </c>
    </row>
    <row r="245" spans="2:16" x14ac:dyDescent="0.25">
      <c r="B245" s="88" t="s">
        <v>18</v>
      </c>
      <c r="C245" s="106">
        <f t="shared" si="29"/>
        <v>2019</v>
      </c>
      <c r="D245" s="101">
        <v>43804</v>
      </c>
      <c r="E245" s="102"/>
      <c r="F245" s="103"/>
      <c r="G245" s="103"/>
      <c r="H245" s="103"/>
      <c r="I245" s="90">
        <f t="shared" si="30"/>
        <v>0</v>
      </c>
      <c r="J245" s="90">
        <f t="shared" si="31"/>
        <v>0</v>
      </c>
      <c r="K245" s="91">
        <f t="shared" si="32"/>
        <v>0.72916666666666674</v>
      </c>
      <c r="L245" s="91">
        <f t="shared" si="33"/>
        <v>3.333333333333333</v>
      </c>
      <c r="M245" s="29">
        <f t="shared" si="37"/>
        <v>12</v>
      </c>
      <c r="N245" s="92">
        <f t="shared" si="34"/>
        <v>0</v>
      </c>
      <c r="O245" s="104">
        <f t="shared" si="35"/>
        <v>1.016</v>
      </c>
      <c r="P245" s="105">
        <f t="shared" si="36"/>
        <v>0</v>
      </c>
    </row>
    <row r="246" spans="2:16" x14ac:dyDescent="0.25">
      <c r="B246" s="88" t="s">
        <v>18</v>
      </c>
      <c r="C246" s="106">
        <f t="shared" si="29"/>
        <v>2019</v>
      </c>
      <c r="D246" s="101">
        <v>43805</v>
      </c>
      <c r="E246" s="102"/>
      <c r="F246" s="103"/>
      <c r="G246" s="103"/>
      <c r="H246" s="103"/>
      <c r="I246" s="90">
        <f t="shared" si="30"/>
        <v>0</v>
      </c>
      <c r="J246" s="90">
        <f t="shared" si="31"/>
        <v>0</v>
      </c>
      <c r="K246" s="91">
        <f t="shared" si="32"/>
        <v>0.72916666666666674</v>
      </c>
      <c r="L246" s="91">
        <f t="shared" si="33"/>
        <v>3.333333333333333</v>
      </c>
      <c r="M246" s="29">
        <f t="shared" si="37"/>
        <v>12</v>
      </c>
      <c r="N246" s="92">
        <f t="shared" si="34"/>
        <v>0</v>
      </c>
      <c r="O246" s="104">
        <f t="shared" si="35"/>
        <v>1.016</v>
      </c>
      <c r="P246" s="105">
        <f t="shared" si="36"/>
        <v>0</v>
      </c>
    </row>
    <row r="247" spans="2:16" x14ac:dyDescent="0.25">
      <c r="B247" s="88" t="s">
        <v>18</v>
      </c>
      <c r="C247" s="106">
        <f t="shared" si="29"/>
        <v>2019</v>
      </c>
      <c r="D247" s="101">
        <v>43806</v>
      </c>
      <c r="E247" s="102"/>
      <c r="F247" s="103"/>
      <c r="G247" s="103"/>
      <c r="H247" s="103"/>
      <c r="I247" s="90">
        <f t="shared" si="30"/>
        <v>0</v>
      </c>
      <c r="J247" s="90">
        <f t="shared" si="31"/>
        <v>0</v>
      </c>
      <c r="K247" s="91">
        <f t="shared" si="32"/>
        <v>0.72916666666666674</v>
      </c>
      <c r="L247" s="91">
        <f t="shared" si="33"/>
        <v>3.333333333333333</v>
      </c>
      <c r="M247" s="29">
        <f t="shared" si="37"/>
        <v>12</v>
      </c>
      <c r="N247" s="92">
        <f t="shared" si="34"/>
        <v>0</v>
      </c>
      <c r="O247" s="104">
        <f t="shared" si="35"/>
        <v>1.016</v>
      </c>
      <c r="P247" s="105">
        <f t="shared" si="36"/>
        <v>0</v>
      </c>
    </row>
    <row r="248" spans="2:16" x14ac:dyDescent="0.25">
      <c r="B248" s="88" t="s">
        <v>18</v>
      </c>
      <c r="C248" s="106">
        <f t="shared" si="29"/>
        <v>2019</v>
      </c>
      <c r="D248" s="101">
        <v>43807</v>
      </c>
      <c r="E248" s="102"/>
      <c r="F248" s="103"/>
      <c r="G248" s="103"/>
      <c r="H248" s="103"/>
      <c r="I248" s="90">
        <f t="shared" si="30"/>
        <v>0</v>
      </c>
      <c r="J248" s="90">
        <f t="shared" si="31"/>
        <v>0</v>
      </c>
      <c r="K248" s="91">
        <f t="shared" si="32"/>
        <v>0.72916666666666674</v>
      </c>
      <c r="L248" s="91">
        <f t="shared" si="33"/>
        <v>3.333333333333333</v>
      </c>
      <c r="M248" s="29">
        <f t="shared" si="37"/>
        <v>12</v>
      </c>
      <c r="N248" s="92">
        <f t="shared" si="34"/>
        <v>0</v>
      </c>
      <c r="O248" s="104">
        <f t="shared" si="35"/>
        <v>1.016</v>
      </c>
      <c r="P248" s="105">
        <f t="shared" si="36"/>
        <v>0</v>
      </c>
    </row>
    <row r="249" spans="2:16" x14ac:dyDescent="0.25">
      <c r="B249" s="88" t="s">
        <v>18</v>
      </c>
      <c r="C249" s="106">
        <f t="shared" si="29"/>
        <v>2019</v>
      </c>
      <c r="D249" s="101">
        <v>43808</v>
      </c>
      <c r="E249" s="102"/>
      <c r="F249" s="103"/>
      <c r="G249" s="103"/>
      <c r="H249" s="103"/>
      <c r="I249" s="90">
        <f t="shared" si="30"/>
        <v>0</v>
      </c>
      <c r="J249" s="90">
        <f t="shared" si="31"/>
        <v>0</v>
      </c>
      <c r="K249" s="91">
        <f t="shared" si="32"/>
        <v>0.72916666666666674</v>
      </c>
      <c r="L249" s="91">
        <f t="shared" si="33"/>
        <v>3.333333333333333</v>
      </c>
      <c r="M249" s="29">
        <f t="shared" si="37"/>
        <v>12</v>
      </c>
      <c r="N249" s="92">
        <f t="shared" si="34"/>
        <v>0</v>
      </c>
      <c r="O249" s="104">
        <f t="shared" si="35"/>
        <v>1.016</v>
      </c>
      <c r="P249" s="105">
        <f t="shared" si="36"/>
        <v>0</v>
      </c>
    </row>
    <row r="250" spans="2:16" x14ac:dyDescent="0.25">
      <c r="B250" s="88" t="s">
        <v>18</v>
      </c>
      <c r="C250" s="106">
        <f t="shared" si="29"/>
        <v>2019</v>
      </c>
      <c r="D250" s="101">
        <v>43809</v>
      </c>
      <c r="E250" s="102"/>
      <c r="F250" s="103"/>
      <c r="G250" s="103"/>
      <c r="H250" s="103"/>
      <c r="I250" s="90">
        <f t="shared" si="30"/>
        <v>0</v>
      </c>
      <c r="J250" s="90">
        <f t="shared" si="31"/>
        <v>0</v>
      </c>
      <c r="K250" s="91">
        <f t="shared" si="32"/>
        <v>0.72916666666666674</v>
      </c>
      <c r="L250" s="91">
        <f t="shared" si="33"/>
        <v>3.333333333333333</v>
      </c>
      <c r="M250" s="29">
        <f t="shared" si="37"/>
        <v>12</v>
      </c>
      <c r="N250" s="92">
        <f t="shared" si="34"/>
        <v>0</v>
      </c>
      <c r="O250" s="104">
        <f t="shared" si="35"/>
        <v>1.016</v>
      </c>
      <c r="P250" s="105">
        <f t="shared" si="36"/>
        <v>0</v>
      </c>
    </row>
    <row r="251" spans="2:16" x14ac:dyDescent="0.25">
      <c r="B251" s="88" t="s">
        <v>18</v>
      </c>
      <c r="C251" s="106">
        <f t="shared" si="29"/>
        <v>2019</v>
      </c>
      <c r="D251" s="101">
        <v>43810</v>
      </c>
      <c r="E251" s="102"/>
      <c r="F251" s="103"/>
      <c r="G251" s="103"/>
      <c r="H251" s="103"/>
      <c r="I251" s="90">
        <f t="shared" si="30"/>
        <v>0</v>
      </c>
      <c r="J251" s="90">
        <f t="shared" si="31"/>
        <v>0</v>
      </c>
      <c r="K251" s="91">
        <f t="shared" si="32"/>
        <v>0.72916666666666674</v>
      </c>
      <c r="L251" s="91">
        <f t="shared" si="33"/>
        <v>3.333333333333333</v>
      </c>
      <c r="M251" s="29">
        <f t="shared" si="37"/>
        <v>12</v>
      </c>
      <c r="N251" s="92">
        <f t="shared" si="34"/>
        <v>0</v>
      </c>
      <c r="O251" s="104">
        <f t="shared" si="35"/>
        <v>1.016</v>
      </c>
      <c r="P251" s="105">
        <f t="shared" si="36"/>
        <v>0</v>
      </c>
    </row>
    <row r="252" spans="2:16" x14ac:dyDescent="0.25">
      <c r="B252" s="88" t="s">
        <v>18</v>
      </c>
      <c r="C252" s="106">
        <f t="shared" si="29"/>
        <v>2019</v>
      </c>
      <c r="D252" s="101">
        <v>43811</v>
      </c>
      <c r="E252" s="102">
        <v>0.4375</v>
      </c>
      <c r="F252" s="103">
        <v>0.45833333333333331</v>
      </c>
      <c r="G252" s="103">
        <v>0.4375</v>
      </c>
      <c r="H252" s="103">
        <v>0.45833333333333331</v>
      </c>
      <c r="I252" s="90">
        <f t="shared" si="30"/>
        <v>0.49999999999999956</v>
      </c>
      <c r="J252" s="90">
        <f t="shared" si="31"/>
        <v>0.49999999999999956</v>
      </c>
      <c r="K252" s="91">
        <f t="shared" si="32"/>
        <v>0.72916666666666674</v>
      </c>
      <c r="L252" s="91">
        <f t="shared" si="33"/>
        <v>3.333333333333333</v>
      </c>
      <c r="M252" s="29">
        <f t="shared" si="37"/>
        <v>12</v>
      </c>
      <c r="N252" s="92">
        <f t="shared" si="34"/>
        <v>0.49999999999999956</v>
      </c>
      <c r="O252" s="104">
        <f t="shared" si="35"/>
        <v>1.016</v>
      </c>
      <c r="P252" s="105">
        <f t="shared" si="36"/>
        <v>4.2671999999999963</v>
      </c>
    </row>
    <row r="253" spans="2:16" x14ac:dyDescent="0.25">
      <c r="B253" s="88" t="s">
        <v>18</v>
      </c>
      <c r="C253" s="106">
        <f t="shared" si="29"/>
        <v>2019</v>
      </c>
      <c r="D253" s="101">
        <v>43812</v>
      </c>
      <c r="E253" s="102"/>
      <c r="F253" s="103"/>
      <c r="G253" s="103"/>
      <c r="H253" s="103"/>
      <c r="I253" s="90">
        <f t="shared" si="30"/>
        <v>0</v>
      </c>
      <c r="J253" s="90">
        <f t="shared" si="31"/>
        <v>0</v>
      </c>
      <c r="K253" s="91">
        <f t="shared" si="32"/>
        <v>0.72916666666666674</v>
      </c>
      <c r="L253" s="91">
        <f t="shared" si="33"/>
        <v>3.333333333333333</v>
      </c>
      <c r="M253" s="29">
        <f t="shared" si="37"/>
        <v>12</v>
      </c>
      <c r="N253" s="92">
        <f t="shared" si="34"/>
        <v>0</v>
      </c>
      <c r="O253" s="104">
        <f t="shared" si="35"/>
        <v>1.016</v>
      </c>
      <c r="P253" s="105">
        <f t="shared" si="36"/>
        <v>0</v>
      </c>
    </row>
    <row r="254" spans="2:16" x14ac:dyDescent="0.25">
      <c r="B254" s="88" t="s">
        <v>18</v>
      </c>
      <c r="C254" s="106">
        <f t="shared" si="29"/>
        <v>2019</v>
      </c>
      <c r="D254" s="101">
        <v>43813</v>
      </c>
      <c r="E254" s="102"/>
      <c r="F254" s="103"/>
      <c r="G254" s="103"/>
      <c r="H254" s="103"/>
      <c r="I254" s="90">
        <f t="shared" si="30"/>
        <v>0</v>
      </c>
      <c r="J254" s="90">
        <f t="shared" si="31"/>
        <v>0</v>
      </c>
      <c r="K254" s="91">
        <f t="shared" si="32"/>
        <v>0.72916666666666674</v>
      </c>
      <c r="L254" s="91">
        <f t="shared" si="33"/>
        <v>3.333333333333333</v>
      </c>
      <c r="M254" s="29">
        <f t="shared" si="37"/>
        <v>12</v>
      </c>
      <c r="N254" s="92">
        <f t="shared" si="34"/>
        <v>0</v>
      </c>
      <c r="O254" s="104">
        <f t="shared" si="35"/>
        <v>1.016</v>
      </c>
      <c r="P254" s="105">
        <f t="shared" si="36"/>
        <v>0</v>
      </c>
    </row>
    <row r="255" spans="2:16" x14ac:dyDescent="0.25">
      <c r="B255" s="88" t="s">
        <v>18</v>
      </c>
      <c r="C255" s="106">
        <f t="shared" si="29"/>
        <v>2019</v>
      </c>
      <c r="D255" s="101">
        <v>43814</v>
      </c>
      <c r="E255" s="102"/>
      <c r="F255" s="103"/>
      <c r="G255" s="103"/>
      <c r="H255" s="103"/>
      <c r="I255" s="90">
        <f t="shared" si="30"/>
        <v>0</v>
      </c>
      <c r="J255" s="90">
        <f t="shared" si="31"/>
        <v>0</v>
      </c>
      <c r="K255" s="91">
        <f t="shared" si="32"/>
        <v>0.72916666666666674</v>
      </c>
      <c r="L255" s="91">
        <f t="shared" si="33"/>
        <v>3.333333333333333</v>
      </c>
      <c r="M255" s="29">
        <f t="shared" si="37"/>
        <v>12</v>
      </c>
      <c r="N255" s="92">
        <f t="shared" si="34"/>
        <v>0</v>
      </c>
      <c r="O255" s="104">
        <f t="shared" si="35"/>
        <v>1.016</v>
      </c>
      <c r="P255" s="105">
        <f t="shared" si="36"/>
        <v>0</v>
      </c>
    </row>
    <row r="256" spans="2:16" x14ac:dyDescent="0.25">
      <c r="B256" s="88" t="s">
        <v>18</v>
      </c>
      <c r="C256" s="106">
        <f t="shared" si="29"/>
        <v>2019</v>
      </c>
      <c r="D256" s="101">
        <v>43815</v>
      </c>
      <c r="E256" s="102"/>
      <c r="F256" s="103"/>
      <c r="G256" s="103"/>
      <c r="H256" s="103"/>
      <c r="I256" s="90">
        <f t="shared" si="30"/>
        <v>0</v>
      </c>
      <c r="J256" s="90">
        <f t="shared" si="31"/>
        <v>0</v>
      </c>
      <c r="K256" s="91">
        <f t="shared" si="32"/>
        <v>0.72916666666666674</v>
      </c>
      <c r="L256" s="91">
        <f t="shared" si="33"/>
        <v>3.333333333333333</v>
      </c>
      <c r="M256" s="29">
        <f t="shared" si="37"/>
        <v>12</v>
      </c>
      <c r="N256" s="92">
        <f t="shared" si="34"/>
        <v>0</v>
      </c>
      <c r="O256" s="104">
        <f t="shared" si="35"/>
        <v>1.016</v>
      </c>
      <c r="P256" s="105">
        <f t="shared" si="36"/>
        <v>0</v>
      </c>
    </row>
    <row r="257" spans="2:16" x14ac:dyDescent="0.25">
      <c r="B257" s="88" t="s">
        <v>18</v>
      </c>
      <c r="C257" s="106">
        <f t="shared" si="29"/>
        <v>2019</v>
      </c>
      <c r="D257" s="101">
        <v>43816</v>
      </c>
      <c r="E257" s="102">
        <v>0.66666666666666663</v>
      </c>
      <c r="F257" s="103">
        <v>0.6875</v>
      </c>
      <c r="G257" s="103">
        <v>0.66666666666666663</v>
      </c>
      <c r="H257" s="103">
        <v>0.6875</v>
      </c>
      <c r="I257" s="90">
        <f t="shared" si="30"/>
        <v>0.50000000000000089</v>
      </c>
      <c r="J257" s="90">
        <f t="shared" si="31"/>
        <v>0.50000000000000089</v>
      </c>
      <c r="K257" s="91">
        <f t="shared" si="32"/>
        <v>0.72916666666666674</v>
      </c>
      <c r="L257" s="91">
        <f t="shared" si="33"/>
        <v>3.333333333333333</v>
      </c>
      <c r="M257" s="29">
        <f t="shared" si="37"/>
        <v>12</v>
      </c>
      <c r="N257" s="92">
        <f t="shared" si="34"/>
        <v>0.50000000000000089</v>
      </c>
      <c r="O257" s="104">
        <f t="shared" si="35"/>
        <v>1.016</v>
      </c>
      <c r="P257" s="105">
        <f t="shared" si="36"/>
        <v>4.267200000000007</v>
      </c>
    </row>
    <row r="258" spans="2:16" x14ac:dyDescent="0.25">
      <c r="B258" s="88" t="s">
        <v>18</v>
      </c>
      <c r="C258" s="106">
        <f t="shared" si="29"/>
        <v>2019</v>
      </c>
      <c r="D258" s="101">
        <v>43817</v>
      </c>
      <c r="E258" s="102"/>
      <c r="F258" s="103"/>
      <c r="G258" s="103"/>
      <c r="H258" s="103"/>
      <c r="I258" s="90">
        <f t="shared" si="30"/>
        <v>0</v>
      </c>
      <c r="J258" s="90">
        <f t="shared" si="31"/>
        <v>0</v>
      </c>
      <c r="K258" s="91">
        <f t="shared" si="32"/>
        <v>0.72916666666666674</v>
      </c>
      <c r="L258" s="91">
        <f t="shared" si="33"/>
        <v>3.333333333333333</v>
      </c>
      <c r="M258" s="29">
        <f t="shared" si="37"/>
        <v>12</v>
      </c>
      <c r="N258" s="92">
        <f t="shared" si="34"/>
        <v>0</v>
      </c>
      <c r="O258" s="104">
        <f t="shared" si="35"/>
        <v>1.016</v>
      </c>
      <c r="P258" s="105">
        <f t="shared" si="36"/>
        <v>0</v>
      </c>
    </row>
    <row r="259" spans="2:16" x14ac:dyDescent="0.25">
      <c r="B259" s="88" t="s">
        <v>18</v>
      </c>
      <c r="C259" s="106">
        <f t="shared" si="29"/>
        <v>2019</v>
      </c>
      <c r="D259" s="101">
        <v>43818</v>
      </c>
      <c r="E259" s="102"/>
      <c r="F259" s="103"/>
      <c r="G259" s="103"/>
      <c r="H259" s="103"/>
      <c r="I259" s="90">
        <f t="shared" si="30"/>
        <v>0</v>
      </c>
      <c r="J259" s="90">
        <f t="shared" si="31"/>
        <v>0</v>
      </c>
      <c r="K259" s="91">
        <f t="shared" si="32"/>
        <v>0.72916666666666674</v>
      </c>
      <c r="L259" s="91">
        <f t="shared" si="33"/>
        <v>3.333333333333333</v>
      </c>
      <c r="M259" s="29">
        <f t="shared" si="37"/>
        <v>12</v>
      </c>
      <c r="N259" s="92">
        <f t="shared" si="34"/>
        <v>0</v>
      </c>
      <c r="O259" s="104">
        <f t="shared" si="35"/>
        <v>1.016</v>
      </c>
      <c r="P259" s="105">
        <f t="shared" si="36"/>
        <v>0</v>
      </c>
    </row>
    <row r="260" spans="2:16" x14ac:dyDescent="0.25">
      <c r="B260" s="88" t="s">
        <v>18</v>
      </c>
      <c r="C260" s="106">
        <f t="shared" si="29"/>
        <v>2019</v>
      </c>
      <c r="D260" s="101">
        <v>43819</v>
      </c>
      <c r="E260" s="102"/>
      <c r="F260" s="103"/>
      <c r="G260" s="103"/>
      <c r="H260" s="103"/>
      <c r="I260" s="90">
        <f t="shared" si="30"/>
        <v>0</v>
      </c>
      <c r="J260" s="90">
        <f t="shared" si="31"/>
        <v>0</v>
      </c>
      <c r="K260" s="91">
        <f t="shared" si="32"/>
        <v>0.72916666666666674</v>
      </c>
      <c r="L260" s="91">
        <f t="shared" si="33"/>
        <v>3.333333333333333</v>
      </c>
      <c r="M260" s="29">
        <f t="shared" si="37"/>
        <v>12</v>
      </c>
      <c r="N260" s="92">
        <f t="shared" si="34"/>
        <v>0</v>
      </c>
      <c r="O260" s="104">
        <f t="shared" si="35"/>
        <v>1.016</v>
      </c>
      <c r="P260" s="105">
        <f t="shared" si="36"/>
        <v>0</v>
      </c>
    </row>
    <row r="261" spans="2:16" x14ac:dyDescent="0.25">
      <c r="B261" s="88" t="s">
        <v>18</v>
      </c>
      <c r="C261" s="106">
        <f t="shared" si="29"/>
        <v>2019</v>
      </c>
      <c r="D261" s="101">
        <v>43820</v>
      </c>
      <c r="E261" s="102"/>
      <c r="F261" s="103"/>
      <c r="G261" s="103"/>
      <c r="H261" s="103"/>
      <c r="I261" s="90">
        <f t="shared" si="30"/>
        <v>0</v>
      </c>
      <c r="J261" s="90">
        <f t="shared" si="31"/>
        <v>0</v>
      </c>
      <c r="K261" s="91">
        <f t="shared" si="32"/>
        <v>0.72916666666666674</v>
      </c>
      <c r="L261" s="91">
        <f t="shared" si="33"/>
        <v>3.333333333333333</v>
      </c>
      <c r="M261" s="29">
        <f t="shared" si="37"/>
        <v>12</v>
      </c>
      <c r="N261" s="92">
        <f t="shared" si="34"/>
        <v>0</v>
      </c>
      <c r="O261" s="104">
        <f t="shared" si="35"/>
        <v>1.016</v>
      </c>
      <c r="P261" s="105">
        <f t="shared" si="36"/>
        <v>0</v>
      </c>
    </row>
    <row r="262" spans="2:16" x14ac:dyDescent="0.25">
      <c r="B262" s="88" t="s">
        <v>18</v>
      </c>
      <c r="C262" s="106">
        <f t="shared" si="29"/>
        <v>2019</v>
      </c>
      <c r="D262" s="101">
        <v>43821</v>
      </c>
      <c r="E262" s="102"/>
      <c r="F262" s="103"/>
      <c r="G262" s="103"/>
      <c r="H262" s="103"/>
      <c r="I262" s="90">
        <f t="shared" si="30"/>
        <v>0</v>
      </c>
      <c r="J262" s="90">
        <f t="shared" si="31"/>
        <v>0</v>
      </c>
      <c r="K262" s="91">
        <f t="shared" si="32"/>
        <v>0.72916666666666674</v>
      </c>
      <c r="L262" s="91">
        <f t="shared" si="33"/>
        <v>3.333333333333333</v>
      </c>
      <c r="M262" s="29">
        <f t="shared" si="37"/>
        <v>12</v>
      </c>
      <c r="N262" s="92">
        <f t="shared" si="34"/>
        <v>0</v>
      </c>
      <c r="O262" s="104">
        <f t="shared" si="35"/>
        <v>1.016</v>
      </c>
      <c r="P262" s="105">
        <f t="shared" si="36"/>
        <v>0</v>
      </c>
    </row>
    <row r="263" spans="2:16" x14ac:dyDescent="0.25">
      <c r="B263" s="88" t="s">
        <v>18</v>
      </c>
      <c r="C263" s="106">
        <f t="shared" si="29"/>
        <v>2019</v>
      </c>
      <c r="D263" s="101">
        <v>43822</v>
      </c>
      <c r="E263" s="102">
        <v>0.66666666666666663</v>
      </c>
      <c r="F263" s="103">
        <v>0.6875</v>
      </c>
      <c r="G263" s="103">
        <v>0.66666666666666663</v>
      </c>
      <c r="H263" s="103">
        <v>0.6875</v>
      </c>
      <c r="I263" s="90">
        <f t="shared" si="30"/>
        <v>0.50000000000000089</v>
      </c>
      <c r="J263" s="90">
        <f t="shared" si="31"/>
        <v>0.50000000000000089</v>
      </c>
      <c r="K263" s="91">
        <f t="shared" si="32"/>
        <v>0.72916666666666674</v>
      </c>
      <c r="L263" s="91">
        <f t="shared" si="33"/>
        <v>3.333333333333333</v>
      </c>
      <c r="M263" s="29">
        <f t="shared" si="37"/>
        <v>12</v>
      </c>
      <c r="N263" s="92">
        <f t="shared" si="34"/>
        <v>0.50000000000000089</v>
      </c>
      <c r="O263" s="104">
        <f t="shared" si="35"/>
        <v>1.016</v>
      </c>
      <c r="P263" s="105">
        <f t="shared" si="36"/>
        <v>4.267200000000007</v>
      </c>
    </row>
    <row r="264" spans="2:16" x14ac:dyDescent="0.25">
      <c r="B264" s="88" t="s">
        <v>18</v>
      </c>
      <c r="C264" s="106">
        <f t="shared" si="29"/>
        <v>2019</v>
      </c>
      <c r="D264" s="101">
        <v>43823</v>
      </c>
      <c r="E264" s="102"/>
      <c r="F264" s="103"/>
      <c r="G264" s="103"/>
      <c r="H264" s="103"/>
      <c r="I264" s="90">
        <f t="shared" si="30"/>
        <v>0</v>
      </c>
      <c r="J264" s="90">
        <f t="shared" si="31"/>
        <v>0</v>
      </c>
      <c r="K264" s="91">
        <f t="shared" si="32"/>
        <v>0.72916666666666674</v>
      </c>
      <c r="L264" s="91">
        <f t="shared" si="33"/>
        <v>3.333333333333333</v>
      </c>
      <c r="M264" s="29">
        <f t="shared" si="37"/>
        <v>12</v>
      </c>
      <c r="N264" s="92">
        <f t="shared" si="34"/>
        <v>0</v>
      </c>
      <c r="O264" s="104">
        <f t="shared" si="35"/>
        <v>1.016</v>
      </c>
      <c r="P264" s="105">
        <f t="shared" si="36"/>
        <v>0</v>
      </c>
    </row>
    <row r="265" spans="2:16" x14ac:dyDescent="0.25">
      <c r="B265" s="88" t="s">
        <v>18</v>
      </c>
      <c r="C265" s="106">
        <f t="shared" si="29"/>
        <v>2019</v>
      </c>
      <c r="D265" s="101">
        <v>43824</v>
      </c>
      <c r="E265" s="102"/>
      <c r="F265" s="103"/>
      <c r="G265" s="103"/>
      <c r="H265" s="103"/>
      <c r="I265" s="90">
        <f t="shared" si="30"/>
        <v>0</v>
      </c>
      <c r="J265" s="90">
        <f t="shared" si="31"/>
        <v>0</v>
      </c>
      <c r="K265" s="91">
        <f t="shared" si="32"/>
        <v>0.72916666666666674</v>
      </c>
      <c r="L265" s="91">
        <f t="shared" si="33"/>
        <v>3.333333333333333</v>
      </c>
      <c r="M265" s="29">
        <f t="shared" si="37"/>
        <v>12</v>
      </c>
      <c r="N265" s="92">
        <f t="shared" si="34"/>
        <v>0</v>
      </c>
      <c r="O265" s="104">
        <f t="shared" si="35"/>
        <v>1.016</v>
      </c>
      <c r="P265" s="105">
        <f t="shared" si="36"/>
        <v>0</v>
      </c>
    </row>
    <row r="266" spans="2:16" x14ac:dyDescent="0.25">
      <c r="B266" s="88" t="s">
        <v>18</v>
      </c>
      <c r="C266" s="106">
        <f t="shared" si="29"/>
        <v>2019</v>
      </c>
      <c r="D266" s="101">
        <v>43825</v>
      </c>
      <c r="E266" s="102"/>
      <c r="F266" s="103"/>
      <c r="G266" s="103"/>
      <c r="H266" s="103"/>
      <c r="I266" s="90">
        <f t="shared" si="30"/>
        <v>0</v>
      </c>
      <c r="J266" s="90">
        <f t="shared" si="31"/>
        <v>0</v>
      </c>
      <c r="K266" s="91">
        <f t="shared" si="32"/>
        <v>0.72916666666666674</v>
      </c>
      <c r="L266" s="91">
        <f t="shared" si="33"/>
        <v>3.333333333333333</v>
      </c>
      <c r="M266" s="29">
        <f t="shared" si="37"/>
        <v>12</v>
      </c>
      <c r="N266" s="92">
        <f t="shared" si="34"/>
        <v>0</v>
      </c>
      <c r="O266" s="104">
        <f t="shared" si="35"/>
        <v>1.016</v>
      </c>
      <c r="P266" s="105">
        <f t="shared" si="36"/>
        <v>0</v>
      </c>
    </row>
    <row r="267" spans="2:16" x14ac:dyDescent="0.25">
      <c r="B267" s="88" t="s">
        <v>18</v>
      </c>
      <c r="C267" s="106">
        <f t="shared" si="29"/>
        <v>2019</v>
      </c>
      <c r="D267" s="101">
        <v>43826</v>
      </c>
      <c r="E267" s="102"/>
      <c r="F267" s="103"/>
      <c r="G267" s="103"/>
      <c r="H267" s="103"/>
      <c r="I267" s="90">
        <f t="shared" si="30"/>
        <v>0</v>
      </c>
      <c r="J267" s="90">
        <f t="shared" si="31"/>
        <v>0</v>
      </c>
      <c r="K267" s="91">
        <f t="shared" si="32"/>
        <v>0.72916666666666674</v>
      </c>
      <c r="L267" s="91">
        <f t="shared" si="33"/>
        <v>3.333333333333333</v>
      </c>
      <c r="M267" s="29">
        <f t="shared" si="37"/>
        <v>12</v>
      </c>
      <c r="N267" s="92">
        <f t="shared" si="34"/>
        <v>0</v>
      </c>
      <c r="O267" s="104">
        <f t="shared" si="35"/>
        <v>1.016</v>
      </c>
      <c r="P267" s="105">
        <f t="shared" si="36"/>
        <v>0</v>
      </c>
    </row>
    <row r="268" spans="2:16" x14ac:dyDescent="0.25">
      <c r="B268" s="88" t="s">
        <v>18</v>
      </c>
      <c r="C268" s="106">
        <f t="shared" si="29"/>
        <v>2019</v>
      </c>
      <c r="D268" s="101">
        <v>43827</v>
      </c>
      <c r="E268" s="102"/>
      <c r="F268" s="103"/>
      <c r="G268" s="103"/>
      <c r="H268" s="103"/>
      <c r="I268" s="90">
        <f t="shared" si="30"/>
        <v>0</v>
      </c>
      <c r="J268" s="90">
        <f t="shared" si="31"/>
        <v>0</v>
      </c>
      <c r="K268" s="91">
        <f t="shared" si="32"/>
        <v>0.72916666666666674</v>
      </c>
      <c r="L268" s="91">
        <f t="shared" si="33"/>
        <v>3.333333333333333</v>
      </c>
      <c r="M268" s="29">
        <f t="shared" si="37"/>
        <v>12</v>
      </c>
      <c r="N268" s="92">
        <f t="shared" si="34"/>
        <v>0</v>
      </c>
      <c r="O268" s="104">
        <f t="shared" si="35"/>
        <v>1.016</v>
      </c>
      <c r="P268" s="105">
        <f t="shared" si="36"/>
        <v>0</v>
      </c>
    </row>
    <row r="269" spans="2:16" x14ac:dyDescent="0.25">
      <c r="B269" s="88" t="s">
        <v>18</v>
      </c>
      <c r="C269" s="106">
        <f t="shared" si="29"/>
        <v>2019</v>
      </c>
      <c r="D269" s="101">
        <v>43828</v>
      </c>
      <c r="E269" s="102">
        <v>0.52083333333333337</v>
      </c>
      <c r="F269" s="103">
        <v>0.54166666666666663</v>
      </c>
      <c r="G269" s="103">
        <v>0.52083333333333337</v>
      </c>
      <c r="H269" s="103">
        <v>0.54166666666666663</v>
      </c>
      <c r="I269" s="90">
        <f t="shared" si="30"/>
        <v>0.49999999999999822</v>
      </c>
      <c r="J269" s="90">
        <f t="shared" si="31"/>
        <v>0.49999999999999822</v>
      </c>
      <c r="K269" s="91">
        <f t="shared" si="32"/>
        <v>0.72916666666666674</v>
      </c>
      <c r="L269" s="91">
        <f t="shared" si="33"/>
        <v>3.333333333333333</v>
      </c>
      <c r="M269" s="29">
        <f t="shared" si="37"/>
        <v>12</v>
      </c>
      <c r="N269" s="92">
        <f t="shared" si="34"/>
        <v>0.49999999999999822</v>
      </c>
      <c r="O269" s="104">
        <f t="shared" si="35"/>
        <v>1.016</v>
      </c>
      <c r="P269" s="105">
        <f t="shared" si="36"/>
        <v>4.2671999999999848</v>
      </c>
    </row>
    <row r="270" spans="2:16" x14ac:dyDescent="0.25">
      <c r="B270" s="88" t="s">
        <v>18</v>
      </c>
      <c r="C270" s="106">
        <f t="shared" si="29"/>
        <v>2019</v>
      </c>
      <c r="D270" s="101">
        <v>43829</v>
      </c>
      <c r="E270" s="102"/>
      <c r="F270" s="103"/>
      <c r="G270" s="103"/>
      <c r="H270" s="103"/>
      <c r="I270" s="90">
        <f t="shared" si="30"/>
        <v>0</v>
      </c>
      <c r="J270" s="90">
        <f t="shared" si="31"/>
        <v>0</v>
      </c>
      <c r="K270" s="91">
        <f t="shared" si="32"/>
        <v>0.72916666666666674</v>
      </c>
      <c r="L270" s="91">
        <f t="shared" si="33"/>
        <v>3.333333333333333</v>
      </c>
      <c r="M270" s="29">
        <f t="shared" si="37"/>
        <v>12</v>
      </c>
      <c r="N270" s="92">
        <f t="shared" si="34"/>
        <v>0</v>
      </c>
      <c r="O270" s="104">
        <f t="shared" si="35"/>
        <v>1.016</v>
      </c>
      <c r="P270" s="105">
        <f t="shared" si="36"/>
        <v>0</v>
      </c>
    </row>
    <row r="271" spans="2:16" x14ac:dyDescent="0.25">
      <c r="B271" s="88" t="s">
        <v>18</v>
      </c>
      <c r="C271" s="106">
        <f t="shared" si="29"/>
        <v>2019</v>
      </c>
      <c r="D271" s="101">
        <v>43830</v>
      </c>
      <c r="E271" s="102"/>
      <c r="F271" s="103"/>
      <c r="G271" s="103"/>
      <c r="H271" s="103"/>
      <c r="I271" s="90">
        <f t="shared" si="30"/>
        <v>0</v>
      </c>
      <c r="J271" s="90">
        <f t="shared" si="31"/>
        <v>0</v>
      </c>
      <c r="K271" s="91">
        <f t="shared" si="32"/>
        <v>0.72916666666666674</v>
      </c>
      <c r="L271" s="91">
        <f t="shared" si="33"/>
        <v>3.333333333333333</v>
      </c>
      <c r="M271" s="29">
        <f t="shared" si="37"/>
        <v>12</v>
      </c>
      <c r="N271" s="92">
        <f t="shared" si="34"/>
        <v>0</v>
      </c>
      <c r="O271" s="104">
        <f t="shared" si="35"/>
        <v>1.016</v>
      </c>
      <c r="P271" s="105">
        <f t="shared" si="36"/>
        <v>0</v>
      </c>
    </row>
    <row r="272" spans="2:16" x14ac:dyDescent="0.25">
      <c r="B272" s="88" t="s">
        <v>18</v>
      </c>
      <c r="C272" s="106">
        <f t="shared" si="29"/>
        <v>2020</v>
      </c>
      <c r="D272" s="101">
        <v>43831</v>
      </c>
      <c r="E272" s="102"/>
      <c r="F272" s="103"/>
      <c r="G272" s="103"/>
      <c r="H272" s="103"/>
      <c r="I272" s="90">
        <f t="shared" si="30"/>
        <v>0</v>
      </c>
      <c r="J272" s="90">
        <f t="shared" si="31"/>
        <v>0</v>
      </c>
      <c r="K272" s="91">
        <f t="shared" si="32"/>
        <v>0.72916666666666674</v>
      </c>
      <c r="L272" s="91">
        <f t="shared" si="33"/>
        <v>3.333333333333333</v>
      </c>
      <c r="M272" s="29">
        <f t="shared" si="37"/>
        <v>12</v>
      </c>
      <c r="N272" s="92">
        <f t="shared" si="34"/>
        <v>0</v>
      </c>
      <c r="O272" s="104">
        <f t="shared" si="35"/>
        <v>1.016</v>
      </c>
      <c r="P272" s="105">
        <f t="shared" si="36"/>
        <v>0</v>
      </c>
    </row>
    <row r="273" spans="2:16" x14ac:dyDescent="0.25">
      <c r="B273" s="88" t="s">
        <v>18</v>
      </c>
      <c r="C273" s="106">
        <f t="shared" si="29"/>
        <v>2020</v>
      </c>
      <c r="D273" s="101">
        <v>43832</v>
      </c>
      <c r="E273" s="102"/>
      <c r="F273" s="103"/>
      <c r="G273" s="103"/>
      <c r="H273" s="103"/>
      <c r="I273" s="90">
        <f t="shared" si="30"/>
        <v>0</v>
      </c>
      <c r="J273" s="90">
        <f t="shared" si="31"/>
        <v>0</v>
      </c>
      <c r="K273" s="91">
        <f t="shared" si="32"/>
        <v>0.72916666666666674</v>
      </c>
      <c r="L273" s="91">
        <f t="shared" si="33"/>
        <v>3.333333333333333</v>
      </c>
      <c r="M273" s="29">
        <f t="shared" si="37"/>
        <v>12</v>
      </c>
      <c r="N273" s="92">
        <f t="shared" si="34"/>
        <v>0</v>
      </c>
      <c r="O273" s="104">
        <f t="shared" si="35"/>
        <v>1.016</v>
      </c>
      <c r="P273" s="105">
        <f t="shared" si="36"/>
        <v>0</v>
      </c>
    </row>
    <row r="274" spans="2:16" x14ac:dyDescent="0.25">
      <c r="B274" s="88" t="s">
        <v>18</v>
      </c>
      <c r="C274" s="106">
        <f t="shared" si="29"/>
        <v>2020</v>
      </c>
      <c r="D274" s="101">
        <v>43833</v>
      </c>
      <c r="E274" s="102">
        <v>0.70833333333333337</v>
      </c>
      <c r="F274" s="103">
        <v>0.72916666666666663</v>
      </c>
      <c r="G274" s="103">
        <v>0.70833333333333337</v>
      </c>
      <c r="H274" s="103">
        <v>0.72916666666666663</v>
      </c>
      <c r="I274" s="90">
        <f t="shared" si="30"/>
        <v>0.49999999999999822</v>
      </c>
      <c r="J274" s="90">
        <f t="shared" si="31"/>
        <v>0.49999999999999822</v>
      </c>
      <c r="K274" s="91">
        <f t="shared" si="32"/>
        <v>0.72916666666666674</v>
      </c>
      <c r="L274" s="91">
        <f t="shared" si="33"/>
        <v>3.333333333333333</v>
      </c>
      <c r="M274" s="29">
        <f t="shared" si="37"/>
        <v>12</v>
      </c>
      <c r="N274" s="92">
        <f t="shared" si="34"/>
        <v>0.49999999999999822</v>
      </c>
      <c r="O274" s="104">
        <f t="shared" si="35"/>
        <v>1.016</v>
      </c>
      <c r="P274" s="105">
        <f t="shared" si="36"/>
        <v>4.2671999999999848</v>
      </c>
    </row>
    <row r="275" spans="2:16" x14ac:dyDescent="0.25">
      <c r="B275" s="88" t="s">
        <v>18</v>
      </c>
      <c r="C275" s="106">
        <f t="shared" si="29"/>
        <v>2020</v>
      </c>
      <c r="D275" s="101">
        <v>43834</v>
      </c>
      <c r="E275" s="102"/>
      <c r="F275" s="103"/>
      <c r="G275" s="103"/>
      <c r="H275" s="103"/>
      <c r="I275" s="90">
        <f t="shared" si="30"/>
        <v>0</v>
      </c>
      <c r="J275" s="90">
        <f t="shared" si="31"/>
        <v>0</v>
      </c>
      <c r="K275" s="91">
        <f t="shared" si="32"/>
        <v>0.72916666666666674</v>
      </c>
      <c r="L275" s="91">
        <f t="shared" si="33"/>
        <v>3.333333333333333</v>
      </c>
      <c r="M275" s="29">
        <f t="shared" si="37"/>
        <v>12</v>
      </c>
      <c r="N275" s="92">
        <f t="shared" si="34"/>
        <v>0</v>
      </c>
      <c r="O275" s="104">
        <f t="shared" si="35"/>
        <v>1.016</v>
      </c>
      <c r="P275" s="105">
        <f t="shared" si="36"/>
        <v>0</v>
      </c>
    </row>
    <row r="276" spans="2:16" x14ac:dyDescent="0.25">
      <c r="B276" s="88" t="s">
        <v>18</v>
      </c>
      <c r="C276" s="106">
        <f t="shared" si="29"/>
        <v>2020</v>
      </c>
      <c r="D276" s="101">
        <v>43835</v>
      </c>
      <c r="E276" s="102"/>
      <c r="F276" s="103"/>
      <c r="G276" s="103"/>
      <c r="H276" s="103"/>
      <c r="I276" s="90">
        <f t="shared" si="30"/>
        <v>0</v>
      </c>
      <c r="J276" s="90">
        <f t="shared" si="31"/>
        <v>0</v>
      </c>
      <c r="K276" s="91">
        <f t="shared" si="32"/>
        <v>0.72916666666666674</v>
      </c>
      <c r="L276" s="91">
        <f t="shared" si="33"/>
        <v>3.333333333333333</v>
      </c>
      <c r="M276" s="29">
        <f t="shared" si="37"/>
        <v>12</v>
      </c>
      <c r="N276" s="92">
        <f t="shared" si="34"/>
        <v>0</v>
      </c>
      <c r="O276" s="104">
        <f t="shared" si="35"/>
        <v>1.016</v>
      </c>
      <c r="P276" s="105">
        <f t="shared" si="36"/>
        <v>0</v>
      </c>
    </row>
    <row r="277" spans="2:16" x14ac:dyDescent="0.25">
      <c r="B277" s="88" t="s">
        <v>18</v>
      </c>
      <c r="C277" s="106">
        <f t="shared" si="29"/>
        <v>2020</v>
      </c>
      <c r="D277" s="101">
        <v>43836</v>
      </c>
      <c r="E277" s="102"/>
      <c r="F277" s="103"/>
      <c r="G277" s="103"/>
      <c r="H277" s="103"/>
      <c r="I277" s="90">
        <f t="shared" si="30"/>
        <v>0</v>
      </c>
      <c r="J277" s="90">
        <f t="shared" si="31"/>
        <v>0</v>
      </c>
      <c r="K277" s="91">
        <f t="shared" si="32"/>
        <v>0.72916666666666674</v>
      </c>
      <c r="L277" s="91">
        <f t="shared" si="33"/>
        <v>3.333333333333333</v>
      </c>
      <c r="M277" s="29">
        <f t="shared" si="37"/>
        <v>12</v>
      </c>
      <c r="N277" s="92">
        <f t="shared" si="34"/>
        <v>0</v>
      </c>
      <c r="O277" s="104">
        <f t="shared" si="35"/>
        <v>1.016</v>
      </c>
      <c r="P277" s="105">
        <f t="shared" si="36"/>
        <v>0</v>
      </c>
    </row>
    <row r="278" spans="2:16" x14ac:dyDescent="0.25">
      <c r="B278" s="88" t="s">
        <v>18</v>
      </c>
      <c r="C278" s="106">
        <f t="shared" si="29"/>
        <v>2020</v>
      </c>
      <c r="D278" s="101">
        <v>43837</v>
      </c>
      <c r="E278" s="102">
        <v>0.54166666666666663</v>
      </c>
      <c r="F278" s="103">
        <v>0.5625</v>
      </c>
      <c r="G278" s="103">
        <v>0.54166666666666663</v>
      </c>
      <c r="H278" s="103">
        <v>0.5625</v>
      </c>
      <c r="I278" s="90">
        <f t="shared" si="30"/>
        <v>0.50000000000000089</v>
      </c>
      <c r="J278" s="90">
        <f t="shared" si="31"/>
        <v>0.50000000000000089</v>
      </c>
      <c r="K278" s="91">
        <f t="shared" si="32"/>
        <v>0.72916666666666674</v>
      </c>
      <c r="L278" s="91">
        <f t="shared" si="33"/>
        <v>3.333333333333333</v>
      </c>
      <c r="M278" s="29">
        <f t="shared" si="37"/>
        <v>12</v>
      </c>
      <c r="N278" s="92">
        <f t="shared" si="34"/>
        <v>0.50000000000000089</v>
      </c>
      <c r="O278" s="104">
        <f t="shared" si="35"/>
        <v>1.016</v>
      </c>
      <c r="P278" s="105">
        <f t="shared" si="36"/>
        <v>4.267200000000007</v>
      </c>
    </row>
    <row r="279" spans="2:16" x14ac:dyDescent="0.25">
      <c r="B279" s="88" t="s">
        <v>18</v>
      </c>
      <c r="C279" s="106">
        <f t="shared" si="29"/>
        <v>2020</v>
      </c>
      <c r="D279" s="101">
        <v>43838</v>
      </c>
      <c r="E279" s="102"/>
      <c r="F279" s="103"/>
      <c r="G279" s="103"/>
      <c r="H279" s="103"/>
      <c r="I279" s="90">
        <f t="shared" si="30"/>
        <v>0</v>
      </c>
      <c r="J279" s="90">
        <f t="shared" si="31"/>
        <v>0</v>
      </c>
      <c r="K279" s="91">
        <f t="shared" si="32"/>
        <v>0.72916666666666674</v>
      </c>
      <c r="L279" s="91">
        <f t="shared" si="33"/>
        <v>3.333333333333333</v>
      </c>
      <c r="M279" s="29">
        <f t="shared" si="37"/>
        <v>12</v>
      </c>
      <c r="N279" s="92">
        <f t="shared" si="34"/>
        <v>0</v>
      </c>
      <c r="O279" s="104">
        <f t="shared" si="35"/>
        <v>1.016</v>
      </c>
      <c r="P279" s="105">
        <f t="shared" si="36"/>
        <v>0</v>
      </c>
    </row>
    <row r="280" spans="2:16" x14ac:dyDescent="0.25">
      <c r="B280" s="88" t="s">
        <v>18</v>
      </c>
      <c r="C280" s="106">
        <f t="shared" si="29"/>
        <v>2020</v>
      </c>
      <c r="D280" s="101">
        <v>43839</v>
      </c>
      <c r="E280" s="102"/>
      <c r="F280" s="103"/>
      <c r="G280" s="103"/>
      <c r="H280" s="103"/>
      <c r="I280" s="90">
        <f t="shared" si="30"/>
        <v>0</v>
      </c>
      <c r="J280" s="90">
        <f t="shared" si="31"/>
        <v>0</v>
      </c>
      <c r="K280" s="91">
        <f t="shared" si="32"/>
        <v>0.72916666666666674</v>
      </c>
      <c r="L280" s="91">
        <f t="shared" si="33"/>
        <v>3.333333333333333</v>
      </c>
      <c r="M280" s="29">
        <f t="shared" si="37"/>
        <v>12</v>
      </c>
      <c r="N280" s="92">
        <f t="shared" si="34"/>
        <v>0</v>
      </c>
      <c r="O280" s="104">
        <f t="shared" si="35"/>
        <v>1.016</v>
      </c>
      <c r="P280" s="105">
        <f t="shared" si="36"/>
        <v>0</v>
      </c>
    </row>
    <row r="281" spans="2:16" x14ac:dyDescent="0.25">
      <c r="B281" s="88" t="s">
        <v>18</v>
      </c>
      <c r="C281" s="106">
        <f t="shared" si="29"/>
        <v>2020</v>
      </c>
      <c r="D281" s="101">
        <v>43840</v>
      </c>
      <c r="E281" s="102"/>
      <c r="F281" s="103"/>
      <c r="G281" s="103"/>
      <c r="H281" s="103"/>
      <c r="I281" s="90">
        <f t="shared" si="30"/>
        <v>0</v>
      </c>
      <c r="J281" s="90">
        <f t="shared" si="31"/>
        <v>0</v>
      </c>
      <c r="K281" s="91">
        <f t="shared" si="32"/>
        <v>0.72916666666666674</v>
      </c>
      <c r="L281" s="91">
        <f t="shared" si="33"/>
        <v>3.333333333333333</v>
      </c>
      <c r="M281" s="29">
        <f t="shared" si="37"/>
        <v>12</v>
      </c>
      <c r="N281" s="92">
        <f t="shared" si="34"/>
        <v>0</v>
      </c>
      <c r="O281" s="104">
        <f t="shared" si="35"/>
        <v>1.016</v>
      </c>
      <c r="P281" s="105">
        <f t="shared" si="36"/>
        <v>0</v>
      </c>
    </row>
    <row r="282" spans="2:16" x14ac:dyDescent="0.25">
      <c r="B282" s="88" t="s">
        <v>18</v>
      </c>
      <c r="C282" s="106">
        <f t="shared" si="29"/>
        <v>2020</v>
      </c>
      <c r="D282" s="101">
        <v>43841</v>
      </c>
      <c r="E282" s="102"/>
      <c r="F282" s="103"/>
      <c r="G282" s="103"/>
      <c r="H282" s="103"/>
      <c r="I282" s="90">
        <f t="shared" si="30"/>
        <v>0</v>
      </c>
      <c r="J282" s="90">
        <f t="shared" si="31"/>
        <v>0</v>
      </c>
      <c r="K282" s="91">
        <f t="shared" si="32"/>
        <v>0.72916666666666674</v>
      </c>
      <c r="L282" s="91">
        <f t="shared" si="33"/>
        <v>3.333333333333333</v>
      </c>
      <c r="M282" s="29">
        <f t="shared" si="37"/>
        <v>12</v>
      </c>
      <c r="N282" s="92">
        <f t="shared" si="34"/>
        <v>0</v>
      </c>
      <c r="O282" s="104">
        <f t="shared" si="35"/>
        <v>1.016</v>
      </c>
      <c r="P282" s="105">
        <f t="shared" si="36"/>
        <v>0</v>
      </c>
    </row>
    <row r="283" spans="2:16" x14ac:dyDescent="0.25">
      <c r="B283" s="88" t="s">
        <v>18</v>
      </c>
      <c r="C283" s="106">
        <f t="shared" ref="C283:C346" si="38">YEAR(D283)</f>
        <v>2020</v>
      </c>
      <c r="D283" s="101">
        <v>43842</v>
      </c>
      <c r="E283" s="102"/>
      <c r="F283" s="103"/>
      <c r="G283" s="103"/>
      <c r="H283" s="103"/>
      <c r="I283" s="90">
        <f t="shared" ref="I283:I346" si="39">((F283-E283)-INT($D$20))*24</f>
        <v>0</v>
      </c>
      <c r="J283" s="90">
        <f t="shared" ref="J283:J346" si="40">((H283-G283)-INT($D$20))*24</f>
        <v>0</v>
      </c>
      <c r="K283" s="91">
        <f t="shared" ref="K283:K346" si="41">VLOOKUP(B283,$B$5:$J$17,5,FALSE)</f>
        <v>0.72916666666666674</v>
      </c>
      <c r="L283" s="91">
        <f t="shared" ref="L283:L346" si="42">VLOOKUP(B283,$B$5:$J$17,6,FALSE)</f>
        <v>3.333333333333333</v>
      </c>
      <c r="M283" s="29">
        <f t="shared" si="37"/>
        <v>12</v>
      </c>
      <c r="N283" s="92">
        <f t="shared" ref="N283:N346" si="43">I283</f>
        <v>0</v>
      </c>
      <c r="O283" s="104">
        <f t="shared" ref="O283:O346" si="44">$D$21/1000</f>
        <v>1.016</v>
      </c>
      <c r="P283" s="105">
        <f t="shared" ref="P283:P346" si="45">M283*N283*O283*0.7</f>
        <v>0</v>
      </c>
    </row>
    <row r="284" spans="2:16" x14ac:dyDescent="0.25">
      <c r="B284" s="88" t="s">
        <v>18</v>
      </c>
      <c r="C284" s="106">
        <f t="shared" si="38"/>
        <v>2020</v>
      </c>
      <c r="D284" s="101">
        <v>43843</v>
      </c>
      <c r="E284" s="102"/>
      <c r="F284" s="103"/>
      <c r="G284" s="103"/>
      <c r="H284" s="103"/>
      <c r="I284" s="90">
        <f t="shared" si="39"/>
        <v>0</v>
      </c>
      <c r="J284" s="90">
        <f t="shared" si="40"/>
        <v>0</v>
      </c>
      <c r="K284" s="91">
        <f t="shared" si="41"/>
        <v>0.72916666666666674</v>
      </c>
      <c r="L284" s="91">
        <f t="shared" si="42"/>
        <v>3.333333333333333</v>
      </c>
      <c r="M284" s="29">
        <f t="shared" ref="M284:M347" si="46">VLOOKUP(B284,$I$5:$J$17,2,FALSE)</f>
        <v>12</v>
      </c>
      <c r="N284" s="92">
        <f t="shared" si="43"/>
        <v>0</v>
      </c>
      <c r="O284" s="104">
        <f t="shared" si="44"/>
        <v>1.016</v>
      </c>
      <c r="P284" s="105">
        <f t="shared" si="45"/>
        <v>0</v>
      </c>
    </row>
    <row r="285" spans="2:16" x14ac:dyDescent="0.25">
      <c r="B285" s="88" t="s">
        <v>18</v>
      </c>
      <c r="C285" s="106">
        <f t="shared" si="38"/>
        <v>2020</v>
      </c>
      <c r="D285" s="101">
        <v>43844</v>
      </c>
      <c r="E285" s="102"/>
      <c r="F285" s="103"/>
      <c r="G285" s="103"/>
      <c r="H285" s="103"/>
      <c r="I285" s="90">
        <f t="shared" si="39"/>
        <v>0</v>
      </c>
      <c r="J285" s="90">
        <f t="shared" si="40"/>
        <v>0</v>
      </c>
      <c r="K285" s="91">
        <f t="shared" si="41"/>
        <v>0.72916666666666674</v>
      </c>
      <c r="L285" s="91">
        <f t="shared" si="42"/>
        <v>3.333333333333333</v>
      </c>
      <c r="M285" s="29">
        <f t="shared" si="46"/>
        <v>12</v>
      </c>
      <c r="N285" s="92">
        <f t="shared" si="43"/>
        <v>0</v>
      </c>
      <c r="O285" s="104">
        <f t="shared" si="44"/>
        <v>1.016</v>
      </c>
      <c r="P285" s="105">
        <f t="shared" si="45"/>
        <v>0</v>
      </c>
    </row>
    <row r="286" spans="2:16" x14ac:dyDescent="0.25">
      <c r="B286" s="88" t="s">
        <v>18</v>
      </c>
      <c r="C286" s="106">
        <f t="shared" si="38"/>
        <v>2020</v>
      </c>
      <c r="D286" s="101">
        <v>43845</v>
      </c>
      <c r="E286" s="102">
        <v>0.52083333333333337</v>
      </c>
      <c r="F286" s="103">
        <v>0.54166666666666663</v>
      </c>
      <c r="G286" s="103">
        <v>0.52083333333333337</v>
      </c>
      <c r="H286" s="103">
        <v>0.54166666666666663</v>
      </c>
      <c r="I286" s="90">
        <f t="shared" si="39"/>
        <v>0.49999999999999822</v>
      </c>
      <c r="J286" s="90">
        <f t="shared" si="40"/>
        <v>0.49999999999999822</v>
      </c>
      <c r="K286" s="91">
        <f t="shared" si="41"/>
        <v>0.72916666666666674</v>
      </c>
      <c r="L286" s="91">
        <f t="shared" si="42"/>
        <v>3.333333333333333</v>
      </c>
      <c r="M286" s="29">
        <f t="shared" si="46"/>
        <v>12</v>
      </c>
      <c r="N286" s="92">
        <f t="shared" si="43"/>
        <v>0.49999999999999822</v>
      </c>
      <c r="O286" s="104">
        <f t="shared" si="44"/>
        <v>1.016</v>
      </c>
      <c r="P286" s="105">
        <f t="shared" si="45"/>
        <v>4.2671999999999848</v>
      </c>
    </row>
    <row r="287" spans="2:16" x14ac:dyDescent="0.25">
      <c r="B287" s="88" t="s">
        <v>18</v>
      </c>
      <c r="C287" s="106">
        <f t="shared" si="38"/>
        <v>2020</v>
      </c>
      <c r="D287" s="101">
        <v>43846</v>
      </c>
      <c r="E287" s="102"/>
      <c r="F287" s="103"/>
      <c r="G287" s="103"/>
      <c r="H287" s="103"/>
      <c r="I287" s="90">
        <f t="shared" si="39"/>
        <v>0</v>
      </c>
      <c r="J287" s="90">
        <f t="shared" si="40"/>
        <v>0</v>
      </c>
      <c r="K287" s="91">
        <f t="shared" si="41"/>
        <v>0.72916666666666674</v>
      </c>
      <c r="L287" s="91">
        <f t="shared" si="42"/>
        <v>3.333333333333333</v>
      </c>
      <c r="M287" s="29">
        <f t="shared" si="46"/>
        <v>12</v>
      </c>
      <c r="N287" s="92">
        <f t="shared" si="43"/>
        <v>0</v>
      </c>
      <c r="O287" s="104">
        <f t="shared" si="44"/>
        <v>1.016</v>
      </c>
      <c r="P287" s="105">
        <f t="shared" si="45"/>
        <v>0</v>
      </c>
    </row>
    <row r="288" spans="2:16" x14ac:dyDescent="0.25">
      <c r="B288" s="88" t="s">
        <v>18</v>
      </c>
      <c r="C288" s="106">
        <f t="shared" si="38"/>
        <v>2020</v>
      </c>
      <c r="D288" s="101">
        <v>43847</v>
      </c>
      <c r="E288" s="102"/>
      <c r="F288" s="103"/>
      <c r="G288" s="103"/>
      <c r="H288" s="103"/>
      <c r="I288" s="90">
        <f t="shared" si="39"/>
        <v>0</v>
      </c>
      <c r="J288" s="90">
        <f t="shared" si="40"/>
        <v>0</v>
      </c>
      <c r="K288" s="91">
        <f t="shared" si="41"/>
        <v>0.72916666666666674</v>
      </c>
      <c r="L288" s="91">
        <f t="shared" si="42"/>
        <v>3.333333333333333</v>
      </c>
      <c r="M288" s="29">
        <f t="shared" si="46"/>
        <v>12</v>
      </c>
      <c r="N288" s="92">
        <f t="shared" si="43"/>
        <v>0</v>
      </c>
      <c r="O288" s="104">
        <f t="shared" si="44"/>
        <v>1.016</v>
      </c>
      <c r="P288" s="105">
        <f t="shared" si="45"/>
        <v>0</v>
      </c>
    </row>
    <row r="289" spans="2:16" x14ac:dyDescent="0.25">
      <c r="B289" s="88" t="s">
        <v>18</v>
      </c>
      <c r="C289" s="106">
        <f t="shared" si="38"/>
        <v>2020</v>
      </c>
      <c r="D289" s="101">
        <v>43848</v>
      </c>
      <c r="E289" s="102"/>
      <c r="F289" s="103"/>
      <c r="G289" s="103"/>
      <c r="H289" s="103"/>
      <c r="I289" s="90">
        <f t="shared" si="39"/>
        <v>0</v>
      </c>
      <c r="J289" s="90">
        <f t="shared" si="40"/>
        <v>0</v>
      </c>
      <c r="K289" s="91">
        <f t="shared" si="41"/>
        <v>0.72916666666666674</v>
      </c>
      <c r="L289" s="91">
        <f t="shared" si="42"/>
        <v>3.333333333333333</v>
      </c>
      <c r="M289" s="29">
        <f t="shared" si="46"/>
        <v>12</v>
      </c>
      <c r="N289" s="92">
        <f t="shared" si="43"/>
        <v>0</v>
      </c>
      <c r="O289" s="104">
        <f t="shared" si="44"/>
        <v>1.016</v>
      </c>
      <c r="P289" s="105">
        <f t="shared" si="45"/>
        <v>0</v>
      </c>
    </row>
    <row r="290" spans="2:16" x14ac:dyDescent="0.25">
      <c r="B290" s="88" t="s">
        <v>18</v>
      </c>
      <c r="C290" s="106">
        <f t="shared" si="38"/>
        <v>2020</v>
      </c>
      <c r="D290" s="101">
        <v>43849</v>
      </c>
      <c r="E290" s="102"/>
      <c r="F290" s="103"/>
      <c r="G290" s="103"/>
      <c r="H290" s="103"/>
      <c r="I290" s="90">
        <f t="shared" si="39"/>
        <v>0</v>
      </c>
      <c r="J290" s="90">
        <f t="shared" si="40"/>
        <v>0</v>
      </c>
      <c r="K290" s="91">
        <f t="shared" si="41"/>
        <v>0.72916666666666674</v>
      </c>
      <c r="L290" s="91">
        <f t="shared" si="42"/>
        <v>3.333333333333333</v>
      </c>
      <c r="M290" s="29">
        <f t="shared" si="46"/>
        <v>12</v>
      </c>
      <c r="N290" s="92">
        <f t="shared" si="43"/>
        <v>0</v>
      </c>
      <c r="O290" s="104">
        <f t="shared" si="44"/>
        <v>1.016</v>
      </c>
      <c r="P290" s="105">
        <f t="shared" si="45"/>
        <v>0</v>
      </c>
    </row>
    <row r="291" spans="2:16" x14ac:dyDescent="0.25">
      <c r="B291" s="88" t="s">
        <v>18</v>
      </c>
      <c r="C291" s="106">
        <f t="shared" si="38"/>
        <v>2020</v>
      </c>
      <c r="D291" s="101">
        <v>43850</v>
      </c>
      <c r="E291" s="102">
        <v>0.70833333333333337</v>
      </c>
      <c r="F291" s="103">
        <v>0.72916666666666663</v>
      </c>
      <c r="G291" s="103">
        <v>0.70833333333333337</v>
      </c>
      <c r="H291" s="103">
        <v>0.72916666666666663</v>
      </c>
      <c r="I291" s="90">
        <f t="shared" si="39"/>
        <v>0.49999999999999822</v>
      </c>
      <c r="J291" s="90">
        <f t="shared" si="40"/>
        <v>0.49999999999999822</v>
      </c>
      <c r="K291" s="91">
        <f t="shared" si="41"/>
        <v>0.72916666666666674</v>
      </c>
      <c r="L291" s="91">
        <f t="shared" si="42"/>
        <v>3.333333333333333</v>
      </c>
      <c r="M291" s="29">
        <f t="shared" si="46"/>
        <v>12</v>
      </c>
      <c r="N291" s="92">
        <f t="shared" si="43"/>
        <v>0.49999999999999822</v>
      </c>
      <c r="O291" s="104">
        <f t="shared" si="44"/>
        <v>1.016</v>
      </c>
      <c r="P291" s="105">
        <f t="shared" si="45"/>
        <v>4.2671999999999848</v>
      </c>
    </row>
    <row r="292" spans="2:16" x14ac:dyDescent="0.25">
      <c r="B292" s="88" t="s">
        <v>18</v>
      </c>
      <c r="C292" s="106">
        <f t="shared" si="38"/>
        <v>2020</v>
      </c>
      <c r="D292" s="101">
        <v>43851</v>
      </c>
      <c r="E292" s="102"/>
      <c r="F292" s="103"/>
      <c r="G292" s="103"/>
      <c r="H292" s="103"/>
      <c r="I292" s="90">
        <f t="shared" si="39"/>
        <v>0</v>
      </c>
      <c r="J292" s="90">
        <f t="shared" si="40"/>
        <v>0</v>
      </c>
      <c r="K292" s="91">
        <f t="shared" si="41"/>
        <v>0.72916666666666674</v>
      </c>
      <c r="L292" s="91">
        <f t="shared" si="42"/>
        <v>3.333333333333333</v>
      </c>
      <c r="M292" s="29">
        <f t="shared" si="46"/>
        <v>12</v>
      </c>
      <c r="N292" s="92">
        <f t="shared" si="43"/>
        <v>0</v>
      </c>
      <c r="O292" s="104">
        <f t="shared" si="44"/>
        <v>1.016</v>
      </c>
      <c r="P292" s="105">
        <f t="shared" si="45"/>
        <v>0</v>
      </c>
    </row>
    <row r="293" spans="2:16" x14ac:dyDescent="0.25">
      <c r="B293" s="88" t="s">
        <v>18</v>
      </c>
      <c r="C293" s="106">
        <f t="shared" si="38"/>
        <v>2020</v>
      </c>
      <c r="D293" s="101">
        <v>43852</v>
      </c>
      <c r="E293" s="102"/>
      <c r="F293" s="103"/>
      <c r="G293" s="103"/>
      <c r="H293" s="103"/>
      <c r="I293" s="90">
        <f t="shared" si="39"/>
        <v>0</v>
      </c>
      <c r="J293" s="90">
        <f t="shared" si="40"/>
        <v>0</v>
      </c>
      <c r="K293" s="91">
        <f t="shared" si="41"/>
        <v>0.72916666666666674</v>
      </c>
      <c r="L293" s="91">
        <f t="shared" si="42"/>
        <v>3.333333333333333</v>
      </c>
      <c r="M293" s="29">
        <f t="shared" si="46"/>
        <v>12</v>
      </c>
      <c r="N293" s="92">
        <f t="shared" si="43"/>
        <v>0</v>
      </c>
      <c r="O293" s="104">
        <f t="shared" si="44"/>
        <v>1.016</v>
      </c>
      <c r="P293" s="105">
        <f t="shared" si="45"/>
        <v>0</v>
      </c>
    </row>
    <row r="294" spans="2:16" x14ac:dyDescent="0.25">
      <c r="B294" s="88" t="s">
        <v>18</v>
      </c>
      <c r="C294" s="106">
        <f t="shared" si="38"/>
        <v>2020</v>
      </c>
      <c r="D294" s="101">
        <v>43853</v>
      </c>
      <c r="E294" s="102"/>
      <c r="F294" s="103"/>
      <c r="G294" s="103"/>
      <c r="H294" s="103"/>
      <c r="I294" s="90">
        <f t="shared" si="39"/>
        <v>0</v>
      </c>
      <c r="J294" s="90">
        <f t="shared" si="40"/>
        <v>0</v>
      </c>
      <c r="K294" s="91">
        <f t="shared" si="41"/>
        <v>0.72916666666666674</v>
      </c>
      <c r="L294" s="91">
        <f t="shared" si="42"/>
        <v>3.333333333333333</v>
      </c>
      <c r="M294" s="29">
        <f t="shared" si="46"/>
        <v>12</v>
      </c>
      <c r="N294" s="92">
        <f t="shared" si="43"/>
        <v>0</v>
      </c>
      <c r="O294" s="104">
        <f t="shared" si="44"/>
        <v>1.016</v>
      </c>
      <c r="P294" s="105">
        <f t="shared" si="45"/>
        <v>0</v>
      </c>
    </row>
    <row r="295" spans="2:16" x14ac:dyDescent="0.25">
      <c r="B295" s="88" t="s">
        <v>18</v>
      </c>
      <c r="C295" s="106">
        <f t="shared" si="38"/>
        <v>2020</v>
      </c>
      <c r="D295" s="101">
        <v>43854</v>
      </c>
      <c r="E295" s="102"/>
      <c r="F295" s="103"/>
      <c r="G295" s="103"/>
      <c r="H295" s="103"/>
      <c r="I295" s="90">
        <f t="shared" si="39"/>
        <v>0</v>
      </c>
      <c r="J295" s="90">
        <f t="shared" si="40"/>
        <v>0</v>
      </c>
      <c r="K295" s="91">
        <f t="shared" si="41"/>
        <v>0.72916666666666674</v>
      </c>
      <c r="L295" s="91">
        <f t="shared" si="42"/>
        <v>3.333333333333333</v>
      </c>
      <c r="M295" s="29">
        <f t="shared" si="46"/>
        <v>12</v>
      </c>
      <c r="N295" s="92">
        <f t="shared" si="43"/>
        <v>0</v>
      </c>
      <c r="O295" s="104">
        <f t="shared" si="44"/>
        <v>1.016</v>
      </c>
      <c r="P295" s="105">
        <f t="shared" si="45"/>
        <v>0</v>
      </c>
    </row>
    <row r="296" spans="2:16" x14ac:dyDescent="0.25">
      <c r="B296" s="88" t="s">
        <v>18</v>
      </c>
      <c r="C296" s="106">
        <f t="shared" si="38"/>
        <v>2020</v>
      </c>
      <c r="D296" s="101">
        <v>43855</v>
      </c>
      <c r="E296" s="102">
        <v>0.4375</v>
      </c>
      <c r="F296" s="103">
        <v>0.45833333333333331</v>
      </c>
      <c r="G296" s="103">
        <v>0.4375</v>
      </c>
      <c r="H296" s="103">
        <v>0.45833333333333331</v>
      </c>
      <c r="I296" s="90">
        <f t="shared" si="39"/>
        <v>0.49999999999999956</v>
      </c>
      <c r="J296" s="90">
        <f t="shared" si="40"/>
        <v>0.49999999999999956</v>
      </c>
      <c r="K296" s="91">
        <f t="shared" si="41"/>
        <v>0.72916666666666674</v>
      </c>
      <c r="L296" s="91">
        <f t="shared" si="42"/>
        <v>3.333333333333333</v>
      </c>
      <c r="M296" s="29">
        <f t="shared" si="46"/>
        <v>12</v>
      </c>
      <c r="N296" s="92">
        <f t="shared" si="43"/>
        <v>0.49999999999999956</v>
      </c>
      <c r="O296" s="104">
        <f t="shared" si="44"/>
        <v>1.016</v>
      </c>
      <c r="P296" s="105">
        <f t="shared" si="45"/>
        <v>4.2671999999999963</v>
      </c>
    </row>
    <row r="297" spans="2:16" x14ac:dyDescent="0.25">
      <c r="B297" s="88" t="s">
        <v>18</v>
      </c>
      <c r="C297" s="106">
        <f t="shared" si="38"/>
        <v>2020</v>
      </c>
      <c r="D297" s="101">
        <v>43856</v>
      </c>
      <c r="E297" s="102"/>
      <c r="F297" s="103"/>
      <c r="G297" s="103"/>
      <c r="H297" s="103"/>
      <c r="I297" s="90">
        <f t="shared" si="39"/>
        <v>0</v>
      </c>
      <c r="J297" s="90">
        <f t="shared" si="40"/>
        <v>0</v>
      </c>
      <c r="K297" s="91">
        <f t="shared" si="41"/>
        <v>0.72916666666666674</v>
      </c>
      <c r="L297" s="91">
        <f t="shared" si="42"/>
        <v>3.333333333333333</v>
      </c>
      <c r="M297" s="29">
        <f t="shared" si="46"/>
        <v>12</v>
      </c>
      <c r="N297" s="92">
        <f t="shared" si="43"/>
        <v>0</v>
      </c>
      <c r="O297" s="104">
        <f t="shared" si="44"/>
        <v>1.016</v>
      </c>
      <c r="P297" s="105">
        <f t="shared" si="45"/>
        <v>0</v>
      </c>
    </row>
    <row r="298" spans="2:16" x14ac:dyDescent="0.25">
      <c r="B298" s="88" t="s">
        <v>18</v>
      </c>
      <c r="C298" s="106">
        <f t="shared" si="38"/>
        <v>2020</v>
      </c>
      <c r="D298" s="101">
        <v>43857</v>
      </c>
      <c r="E298" s="102"/>
      <c r="F298" s="103"/>
      <c r="G298" s="103"/>
      <c r="H298" s="103"/>
      <c r="I298" s="90">
        <f t="shared" si="39"/>
        <v>0</v>
      </c>
      <c r="J298" s="90">
        <f t="shared" si="40"/>
        <v>0</v>
      </c>
      <c r="K298" s="91">
        <f t="shared" si="41"/>
        <v>0.72916666666666674</v>
      </c>
      <c r="L298" s="91">
        <f t="shared" si="42"/>
        <v>3.333333333333333</v>
      </c>
      <c r="M298" s="29">
        <f t="shared" si="46"/>
        <v>12</v>
      </c>
      <c r="N298" s="92">
        <f t="shared" si="43"/>
        <v>0</v>
      </c>
      <c r="O298" s="104">
        <f t="shared" si="44"/>
        <v>1.016</v>
      </c>
      <c r="P298" s="105">
        <f t="shared" si="45"/>
        <v>0</v>
      </c>
    </row>
    <row r="299" spans="2:16" x14ac:dyDescent="0.25">
      <c r="B299" s="88" t="s">
        <v>18</v>
      </c>
      <c r="C299" s="106">
        <f t="shared" si="38"/>
        <v>2020</v>
      </c>
      <c r="D299" s="101">
        <v>43858</v>
      </c>
      <c r="E299" s="102">
        <v>0.6875</v>
      </c>
      <c r="F299" s="103">
        <v>0.70833333333333337</v>
      </c>
      <c r="G299" s="103">
        <v>0.6875</v>
      </c>
      <c r="H299" s="103">
        <v>0.70833333333333337</v>
      </c>
      <c r="I299" s="90">
        <f t="shared" si="39"/>
        <v>0.50000000000000089</v>
      </c>
      <c r="J299" s="90">
        <f t="shared" si="40"/>
        <v>0.50000000000000089</v>
      </c>
      <c r="K299" s="91">
        <f t="shared" si="41"/>
        <v>0.72916666666666674</v>
      </c>
      <c r="L299" s="91">
        <f t="shared" si="42"/>
        <v>3.333333333333333</v>
      </c>
      <c r="M299" s="29">
        <f t="shared" si="46"/>
        <v>12</v>
      </c>
      <c r="N299" s="92">
        <f t="shared" si="43"/>
        <v>0.50000000000000089</v>
      </c>
      <c r="O299" s="104">
        <f t="shared" si="44"/>
        <v>1.016</v>
      </c>
      <c r="P299" s="105">
        <f t="shared" si="45"/>
        <v>4.267200000000007</v>
      </c>
    </row>
    <row r="300" spans="2:16" x14ac:dyDescent="0.25">
      <c r="B300" s="88" t="s">
        <v>18</v>
      </c>
      <c r="C300" s="106">
        <f t="shared" si="38"/>
        <v>2020</v>
      </c>
      <c r="D300" s="101">
        <v>43859</v>
      </c>
      <c r="E300" s="102"/>
      <c r="F300" s="103"/>
      <c r="G300" s="103"/>
      <c r="H300" s="103"/>
      <c r="I300" s="90">
        <f t="shared" si="39"/>
        <v>0</v>
      </c>
      <c r="J300" s="90">
        <f t="shared" si="40"/>
        <v>0</v>
      </c>
      <c r="K300" s="91">
        <f t="shared" si="41"/>
        <v>0.72916666666666674</v>
      </c>
      <c r="L300" s="91">
        <f t="shared" si="42"/>
        <v>3.333333333333333</v>
      </c>
      <c r="M300" s="29">
        <f t="shared" si="46"/>
        <v>12</v>
      </c>
      <c r="N300" s="92">
        <f t="shared" si="43"/>
        <v>0</v>
      </c>
      <c r="O300" s="104">
        <f t="shared" si="44"/>
        <v>1.016</v>
      </c>
      <c r="P300" s="105">
        <f t="shared" si="45"/>
        <v>0</v>
      </c>
    </row>
    <row r="301" spans="2:16" x14ac:dyDescent="0.25">
      <c r="B301" s="88" t="s">
        <v>18</v>
      </c>
      <c r="C301" s="106">
        <f t="shared" si="38"/>
        <v>2020</v>
      </c>
      <c r="D301" s="101">
        <v>43860</v>
      </c>
      <c r="E301" s="102">
        <v>0.52083333333333337</v>
      </c>
      <c r="F301" s="103">
        <v>0.54166666666666663</v>
      </c>
      <c r="G301" s="103">
        <v>0.52083333333333337</v>
      </c>
      <c r="H301" s="103">
        <v>0.54166666666666663</v>
      </c>
      <c r="I301" s="90">
        <f t="shared" si="39"/>
        <v>0.49999999999999822</v>
      </c>
      <c r="J301" s="90">
        <f t="shared" si="40"/>
        <v>0.49999999999999822</v>
      </c>
      <c r="K301" s="91">
        <f t="shared" si="41"/>
        <v>0.72916666666666674</v>
      </c>
      <c r="L301" s="91">
        <f t="shared" si="42"/>
        <v>3.333333333333333</v>
      </c>
      <c r="M301" s="29">
        <f t="shared" si="46"/>
        <v>12</v>
      </c>
      <c r="N301" s="92">
        <f t="shared" si="43"/>
        <v>0.49999999999999822</v>
      </c>
      <c r="O301" s="104">
        <f t="shared" si="44"/>
        <v>1.016</v>
      </c>
      <c r="P301" s="105">
        <f t="shared" si="45"/>
        <v>4.2671999999999848</v>
      </c>
    </row>
    <row r="302" spans="2:16" x14ac:dyDescent="0.25">
      <c r="B302" s="88" t="s">
        <v>18</v>
      </c>
      <c r="C302" s="106">
        <f t="shared" si="38"/>
        <v>2020</v>
      </c>
      <c r="D302" s="101">
        <v>43861</v>
      </c>
      <c r="E302" s="102"/>
      <c r="F302" s="103"/>
      <c r="G302" s="103"/>
      <c r="H302" s="103"/>
      <c r="I302" s="90">
        <f t="shared" si="39"/>
        <v>0</v>
      </c>
      <c r="J302" s="90">
        <f t="shared" si="40"/>
        <v>0</v>
      </c>
      <c r="K302" s="91">
        <f t="shared" si="41"/>
        <v>0.72916666666666674</v>
      </c>
      <c r="L302" s="91">
        <f t="shared" si="42"/>
        <v>3.333333333333333</v>
      </c>
      <c r="M302" s="29">
        <f t="shared" si="46"/>
        <v>12</v>
      </c>
      <c r="N302" s="92">
        <f t="shared" si="43"/>
        <v>0</v>
      </c>
      <c r="O302" s="104">
        <f t="shared" si="44"/>
        <v>1.016</v>
      </c>
      <c r="P302" s="105">
        <f t="shared" si="45"/>
        <v>0</v>
      </c>
    </row>
    <row r="303" spans="2:16" x14ac:dyDescent="0.25">
      <c r="B303" s="88" t="s">
        <v>18</v>
      </c>
      <c r="C303" s="106">
        <f t="shared" si="38"/>
        <v>2020</v>
      </c>
      <c r="D303" s="101">
        <v>43862</v>
      </c>
      <c r="E303" s="102"/>
      <c r="F303" s="103"/>
      <c r="G303" s="103"/>
      <c r="H303" s="103"/>
      <c r="I303" s="90">
        <f t="shared" si="39"/>
        <v>0</v>
      </c>
      <c r="J303" s="90">
        <f t="shared" si="40"/>
        <v>0</v>
      </c>
      <c r="K303" s="91">
        <f t="shared" si="41"/>
        <v>0.72916666666666674</v>
      </c>
      <c r="L303" s="91">
        <f t="shared" si="42"/>
        <v>3.333333333333333</v>
      </c>
      <c r="M303" s="29">
        <f t="shared" si="46"/>
        <v>12</v>
      </c>
      <c r="N303" s="92">
        <f t="shared" si="43"/>
        <v>0</v>
      </c>
      <c r="O303" s="104">
        <f t="shared" si="44"/>
        <v>1.016</v>
      </c>
      <c r="P303" s="105">
        <f t="shared" si="45"/>
        <v>0</v>
      </c>
    </row>
    <row r="304" spans="2:16" x14ac:dyDescent="0.25">
      <c r="B304" s="88" t="s">
        <v>18</v>
      </c>
      <c r="C304" s="106">
        <f t="shared" si="38"/>
        <v>2020</v>
      </c>
      <c r="D304" s="101">
        <v>43863</v>
      </c>
      <c r="E304" s="102"/>
      <c r="F304" s="103"/>
      <c r="G304" s="103"/>
      <c r="H304" s="103"/>
      <c r="I304" s="90">
        <f t="shared" si="39"/>
        <v>0</v>
      </c>
      <c r="J304" s="90">
        <f t="shared" si="40"/>
        <v>0</v>
      </c>
      <c r="K304" s="91">
        <f t="shared" si="41"/>
        <v>0.72916666666666674</v>
      </c>
      <c r="L304" s="91">
        <f t="shared" si="42"/>
        <v>3.333333333333333</v>
      </c>
      <c r="M304" s="29">
        <f t="shared" si="46"/>
        <v>12</v>
      </c>
      <c r="N304" s="92">
        <f t="shared" si="43"/>
        <v>0</v>
      </c>
      <c r="O304" s="104">
        <f t="shared" si="44"/>
        <v>1.016</v>
      </c>
      <c r="P304" s="105">
        <f t="shared" si="45"/>
        <v>0</v>
      </c>
    </row>
    <row r="305" spans="2:16" x14ac:dyDescent="0.25">
      <c r="B305" s="88" t="s">
        <v>18</v>
      </c>
      <c r="C305" s="106">
        <f t="shared" si="38"/>
        <v>2020</v>
      </c>
      <c r="D305" s="101">
        <v>43864</v>
      </c>
      <c r="E305" s="102">
        <v>0.41666666666666669</v>
      </c>
      <c r="F305" s="103">
        <v>0.4375</v>
      </c>
      <c r="G305" s="103">
        <v>0.41666666666666669</v>
      </c>
      <c r="H305" s="103">
        <v>0.4375</v>
      </c>
      <c r="I305" s="90">
        <f t="shared" si="39"/>
        <v>0.49999999999999956</v>
      </c>
      <c r="J305" s="90">
        <f t="shared" si="40"/>
        <v>0.49999999999999956</v>
      </c>
      <c r="K305" s="91">
        <f t="shared" si="41"/>
        <v>0.72916666666666674</v>
      </c>
      <c r="L305" s="91">
        <f t="shared" si="42"/>
        <v>3.333333333333333</v>
      </c>
      <c r="M305" s="29">
        <f t="shared" si="46"/>
        <v>12</v>
      </c>
      <c r="N305" s="92">
        <f t="shared" si="43"/>
        <v>0.49999999999999956</v>
      </c>
      <c r="O305" s="104">
        <f t="shared" si="44"/>
        <v>1.016</v>
      </c>
      <c r="P305" s="105">
        <f t="shared" si="45"/>
        <v>4.2671999999999963</v>
      </c>
    </row>
    <row r="306" spans="2:16" x14ac:dyDescent="0.25">
      <c r="B306" s="88" t="s">
        <v>18</v>
      </c>
      <c r="C306" s="106">
        <f t="shared" si="38"/>
        <v>2020</v>
      </c>
      <c r="D306" s="101">
        <v>43865</v>
      </c>
      <c r="E306" s="102"/>
      <c r="F306" s="103"/>
      <c r="G306" s="103"/>
      <c r="H306" s="103"/>
      <c r="I306" s="90">
        <f t="shared" si="39"/>
        <v>0</v>
      </c>
      <c r="J306" s="90">
        <f t="shared" si="40"/>
        <v>0</v>
      </c>
      <c r="K306" s="91">
        <f t="shared" si="41"/>
        <v>0.72916666666666674</v>
      </c>
      <c r="L306" s="91">
        <f t="shared" si="42"/>
        <v>3.333333333333333</v>
      </c>
      <c r="M306" s="29">
        <f t="shared" si="46"/>
        <v>12</v>
      </c>
      <c r="N306" s="92">
        <f t="shared" si="43"/>
        <v>0</v>
      </c>
      <c r="O306" s="104">
        <f t="shared" si="44"/>
        <v>1.016</v>
      </c>
      <c r="P306" s="105">
        <f t="shared" si="45"/>
        <v>0</v>
      </c>
    </row>
    <row r="307" spans="2:16" x14ac:dyDescent="0.25">
      <c r="B307" s="88" t="s">
        <v>18</v>
      </c>
      <c r="C307" s="106">
        <f t="shared" si="38"/>
        <v>2020</v>
      </c>
      <c r="D307" s="101">
        <v>43866</v>
      </c>
      <c r="E307" s="102"/>
      <c r="F307" s="103"/>
      <c r="G307" s="103"/>
      <c r="H307" s="103"/>
      <c r="I307" s="90">
        <f t="shared" si="39"/>
        <v>0</v>
      </c>
      <c r="J307" s="90">
        <f t="shared" si="40"/>
        <v>0</v>
      </c>
      <c r="K307" s="91">
        <f t="shared" si="41"/>
        <v>0.72916666666666674</v>
      </c>
      <c r="L307" s="91">
        <f t="shared" si="42"/>
        <v>3.333333333333333</v>
      </c>
      <c r="M307" s="29">
        <f t="shared" si="46"/>
        <v>12</v>
      </c>
      <c r="N307" s="92">
        <f t="shared" si="43"/>
        <v>0</v>
      </c>
      <c r="O307" s="104">
        <f t="shared" si="44"/>
        <v>1.016</v>
      </c>
      <c r="P307" s="105">
        <f t="shared" si="45"/>
        <v>0</v>
      </c>
    </row>
    <row r="308" spans="2:16" x14ac:dyDescent="0.25">
      <c r="B308" s="88" t="s">
        <v>18</v>
      </c>
      <c r="C308" s="106">
        <f t="shared" si="38"/>
        <v>2020</v>
      </c>
      <c r="D308" s="101">
        <v>43867</v>
      </c>
      <c r="E308" s="102"/>
      <c r="F308" s="103"/>
      <c r="G308" s="103"/>
      <c r="H308" s="103"/>
      <c r="I308" s="90">
        <f t="shared" si="39"/>
        <v>0</v>
      </c>
      <c r="J308" s="90">
        <f t="shared" si="40"/>
        <v>0</v>
      </c>
      <c r="K308" s="91">
        <f t="shared" si="41"/>
        <v>0.72916666666666674</v>
      </c>
      <c r="L308" s="91">
        <f t="shared" si="42"/>
        <v>3.333333333333333</v>
      </c>
      <c r="M308" s="29">
        <f t="shared" si="46"/>
        <v>12</v>
      </c>
      <c r="N308" s="92">
        <f t="shared" si="43"/>
        <v>0</v>
      </c>
      <c r="O308" s="104">
        <f t="shared" si="44"/>
        <v>1.016</v>
      </c>
      <c r="P308" s="105">
        <f t="shared" si="45"/>
        <v>0</v>
      </c>
    </row>
    <row r="309" spans="2:16" x14ac:dyDescent="0.25">
      <c r="B309" s="88" t="s">
        <v>18</v>
      </c>
      <c r="C309" s="106">
        <f t="shared" si="38"/>
        <v>2020</v>
      </c>
      <c r="D309" s="101">
        <v>43868</v>
      </c>
      <c r="E309" s="102">
        <v>0.45833333333333331</v>
      </c>
      <c r="F309" s="103">
        <v>0.47916666666666669</v>
      </c>
      <c r="G309" s="103">
        <v>0.45833333333333331</v>
      </c>
      <c r="H309" s="103">
        <v>0.47916666666666669</v>
      </c>
      <c r="I309" s="90">
        <f t="shared" si="39"/>
        <v>0.50000000000000089</v>
      </c>
      <c r="J309" s="90">
        <f t="shared" si="40"/>
        <v>0.50000000000000089</v>
      </c>
      <c r="K309" s="91">
        <f t="shared" si="41"/>
        <v>0.72916666666666674</v>
      </c>
      <c r="L309" s="91">
        <f t="shared" si="42"/>
        <v>3.333333333333333</v>
      </c>
      <c r="M309" s="29">
        <f t="shared" si="46"/>
        <v>12</v>
      </c>
      <c r="N309" s="92">
        <f t="shared" si="43"/>
        <v>0.50000000000000089</v>
      </c>
      <c r="O309" s="104">
        <f t="shared" si="44"/>
        <v>1.016</v>
      </c>
      <c r="P309" s="105">
        <f t="shared" si="45"/>
        <v>4.267200000000007</v>
      </c>
    </row>
    <row r="310" spans="2:16" x14ac:dyDescent="0.25">
      <c r="B310" s="88" t="s">
        <v>18</v>
      </c>
      <c r="C310" s="106">
        <f t="shared" si="38"/>
        <v>2020</v>
      </c>
      <c r="D310" s="101">
        <v>43869</v>
      </c>
      <c r="E310" s="102"/>
      <c r="F310" s="103"/>
      <c r="G310" s="103"/>
      <c r="H310" s="103"/>
      <c r="I310" s="90">
        <f t="shared" si="39"/>
        <v>0</v>
      </c>
      <c r="J310" s="90">
        <f t="shared" si="40"/>
        <v>0</v>
      </c>
      <c r="K310" s="91">
        <f t="shared" si="41"/>
        <v>0.72916666666666674</v>
      </c>
      <c r="L310" s="91">
        <f t="shared" si="42"/>
        <v>3.333333333333333</v>
      </c>
      <c r="M310" s="29">
        <f t="shared" si="46"/>
        <v>12</v>
      </c>
      <c r="N310" s="92">
        <f t="shared" si="43"/>
        <v>0</v>
      </c>
      <c r="O310" s="104">
        <f t="shared" si="44"/>
        <v>1.016</v>
      </c>
      <c r="P310" s="105">
        <f t="shared" si="45"/>
        <v>0</v>
      </c>
    </row>
    <row r="311" spans="2:16" x14ac:dyDescent="0.25">
      <c r="B311" s="88" t="s">
        <v>18</v>
      </c>
      <c r="C311" s="106">
        <f t="shared" si="38"/>
        <v>2020</v>
      </c>
      <c r="D311" s="101">
        <v>43870</v>
      </c>
      <c r="E311" s="102"/>
      <c r="F311" s="103"/>
      <c r="G311" s="103"/>
      <c r="H311" s="103"/>
      <c r="I311" s="90">
        <f t="shared" si="39"/>
        <v>0</v>
      </c>
      <c r="J311" s="90">
        <f t="shared" si="40"/>
        <v>0</v>
      </c>
      <c r="K311" s="91">
        <f t="shared" si="41"/>
        <v>0.72916666666666674</v>
      </c>
      <c r="L311" s="91">
        <f t="shared" si="42"/>
        <v>3.333333333333333</v>
      </c>
      <c r="M311" s="29">
        <f t="shared" si="46"/>
        <v>12</v>
      </c>
      <c r="N311" s="92">
        <f t="shared" si="43"/>
        <v>0</v>
      </c>
      <c r="O311" s="104">
        <f t="shared" si="44"/>
        <v>1.016</v>
      </c>
      <c r="P311" s="105">
        <f t="shared" si="45"/>
        <v>0</v>
      </c>
    </row>
    <row r="312" spans="2:16" x14ac:dyDescent="0.25">
      <c r="B312" s="88" t="s">
        <v>18</v>
      </c>
      <c r="C312" s="106">
        <f t="shared" si="38"/>
        <v>2020</v>
      </c>
      <c r="D312" s="101">
        <v>43871</v>
      </c>
      <c r="E312" s="102"/>
      <c r="F312" s="103"/>
      <c r="G312" s="103"/>
      <c r="H312" s="103"/>
      <c r="I312" s="90">
        <f t="shared" si="39"/>
        <v>0</v>
      </c>
      <c r="J312" s="90">
        <f t="shared" si="40"/>
        <v>0</v>
      </c>
      <c r="K312" s="91">
        <f t="shared" si="41"/>
        <v>0.72916666666666674</v>
      </c>
      <c r="L312" s="91">
        <f t="shared" si="42"/>
        <v>3.333333333333333</v>
      </c>
      <c r="M312" s="29">
        <f t="shared" si="46"/>
        <v>12</v>
      </c>
      <c r="N312" s="92">
        <f t="shared" si="43"/>
        <v>0</v>
      </c>
      <c r="O312" s="104">
        <f t="shared" si="44"/>
        <v>1.016</v>
      </c>
      <c r="P312" s="105">
        <f t="shared" si="45"/>
        <v>0</v>
      </c>
    </row>
    <row r="313" spans="2:16" x14ac:dyDescent="0.25">
      <c r="B313" s="88" t="s">
        <v>18</v>
      </c>
      <c r="C313" s="106">
        <f t="shared" si="38"/>
        <v>2020</v>
      </c>
      <c r="D313" s="101">
        <v>43872</v>
      </c>
      <c r="E313" s="102"/>
      <c r="F313" s="103"/>
      <c r="G313" s="103"/>
      <c r="H313" s="103"/>
      <c r="I313" s="90">
        <f t="shared" si="39"/>
        <v>0</v>
      </c>
      <c r="J313" s="90">
        <f t="shared" si="40"/>
        <v>0</v>
      </c>
      <c r="K313" s="91">
        <f t="shared" si="41"/>
        <v>0.72916666666666674</v>
      </c>
      <c r="L313" s="91">
        <f t="shared" si="42"/>
        <v>3.333333333333333</v>
      </c>
      <c r="M313" s="29">
        <f t="shared" si="46"/>
        <v>12</v>
      </c>
      <c r="N313" s="92">
        <f t="shared" si="43"/>
        <v>0</v>
      </c>
      <c r="O313" s="104">
        <f t="shared" si="44"/>
        <v>1.016</v>
      </c>
      <c r="P313" s="105">
        <f t="shared" si="45"/>
        <v>0</v>
      </c>
    </row>
    <row r="314" spans="2:16" x14ac:dyDescent="0.25">
      <c r="B314" s="88" t="s">
        <v>18</v>
      </c>
      <c r="C314" s="106">
        <f t="shared" si="38"/>
        <v>2020</v>
      </c>
      <c r="D314" s="101">
        <v>43873</v>
      </c>
      <c r="E314" s="102">
        <v>0.70833333333333337</v>
      </c>
      <c r="F314" s="103">
        <v>0.72916666666666663</v>
      </c>
      <c r="G314" s="103">
        <v>0.70833333333333337</v>
      </c>
      <c r="H314" s="103">
        <v>0.72916666666666663</v>
      </c>
      <c r="I314" s="90">
        <f t="shared" si="39"/>
        <v>0.49999999999999822</v>
      </c>
      <c r="J314" s="90">
        <f t="shared" si="40"/>
        <v>0.49999999999999822</v>
      </c>
      <c r="K314" s="91">
        <f t="shared" si="41"/>
        <v>0.72916666666666674</v>
      </c>
      <c r="L314" s="91">
        <f t="shared" si="42"/>
        <v>3.333333333333333</v>
      </c>
      <c r="M314" s="29">
        <f t="shared" si="46"/>
        <v>12</v>
      </c>
      <c r="N314" s="92">
        <f t="shared" si="43"/>
        <v>0.49999999999999822</v>
      </c>
      <c r="O314" s="104">
        <f t="shared" si="44"/>
        <v>1.016</v>
      </c>
      <c r="P314" s="105">
        <f t="shared" si="45"/>
        <v>4.2671999999999848</v>
      </c>
    </row>
    <row r="315" spans="2:16" x14ac:dyDescent="0.25">
      <c r="B315" s="88" t="s">
        <v>18</v>
      </c>
      <c r="C315" s="106">
        <f t="shared" si="38"/>
        <v>2020</v>
      </c>
      <c r="D315" s="101">
        <v>43874</v>
      </c>
      <c r="E315" s="102"/>
      <c r="F315" s="103"/>
      <c r="G315" s="103"/>
      <c r="H315" s="103"/>
      <c r="I315" s="90">
        <f t="shared" si="39"/>
        <v>0</v>
      </c>
      <c r="J315" s="90">
        <f t="shared" si="40"/>
        <v>0</v>
      </c>
      <c r="K315" s="91">
        <f t="shared" si="41"/>
        <v>0.72916666666666674</v>
      </c>
      <c r="L315" s="91">
        <f t="shared" si="42"/>
        <v>3.333333333333333</v>
      </c>
      <c r="M315" s="29">
        <f t="shared" si="46"/>
        <v>12</v>
      </c>
      <c r="N315" s="92">
        <f t="shared" si="43"/>
        <v>0</v>
      </c>
      <c r="O315" s="104">
        <f t="shared" si="44"/>
        <v>1.016</v>
      </c>
      <c r="P315" s="105">
        <f t="shared" si="45"/>
        <v>0</v>
      </c>
    </row>
    <row r="316" spans="2:16" x14ac:dyDescent="0.25">
      <c r="B316" s="88" t="s">
        <v>18</v>
      </c>
      <c r="C316" s="106">
        <f t="shared" si="38"/>
        <v>2020</v>
      </c>
      <c r="D316" s="101">
        <v>43875</v>
      </c>
      <c r="E316" s="102"/>
      <c r="F316" s="103"/>
      <c r="G316" s="103"/>
      <c r="H316" s="103"/>
      <c r="I316" s="90">
        <f t="shared" si="39"/>
        <v>0</v>
      </c>
      <c r="J316" s="90">
        <f t="shared" si="40"/>
        <v>0</v>
      </c>
      <c r="K316" s="91">
        <f t="shared" si="41"/>
        <v>0.72916666666666674</v>
      </c>
      <c r="L316" s="91">
        <f t="shared" si="42"/>
        <v>3.333333333333333</v>
      </c>
      <c r="M316" s="29">
        <f t="shared" si="46"/>
        <v>12</v>
      </c>
      <c r="N316" s="92">
        <f t="shared" si="43"/>
        <v>0</v>
      </c>
      <c r="O316" s="104">
        <f t="shared" si="44"/>
        <v>1.016</v>
      </c>
      <c r="P316" s="105">
        <f t="shared" si="45"/>
        <v>0</v>
      </c>
    </row>
    <row r="317" spans="2:16" x14ac:dyDescent="0.25">
      <c r="B317" s="88" t="s">
        <v>18</v>
      </c>
      <c r="C317" s="106">
        <f t="shared" si="38"/>
        <v>2020</v>
      </c>
      <c r="D317" s="101">
        <v>43876</v>
      </c>
      <c r="E317" s="102"/>
      <c r="F317" s="103"/>
      <c r="G317" s="103"/>
      <c r="H317" s="103"/>
      <c r="I317" s="90">
        <f t="shared" si="39"/>
        <v>0</v>
      </c>
      <c r="J317" s="90">
        <f t="shared" si="40"/>
        <v>0</v>
      </c>
      <c r="K317" s="91">
        <f t="shared" si="41"/>
        <v>0.72916666666666674</v>
      </c>
      <c r="L317" s="91">
        <f t="shared" si="42"/>
        <v>3.333333333333333</v>
      </c>
      <c r="M317" s="29">
        <f t="shared" si="46"/>
        <v>12</v>
      </c>
      <c r="N317" s="92">
        <f t="shared" si="43"/>
        <v>0</v>
      </c>
      <c r="O317" s="104">
        <f t="shared" si="44"/>
        <v>1.016</v>
      </c>
      <c r="P317" s="105">
        <f t="shared" si="45"/>
        <v>0</v>
      </c>
    </row>
    <row r="318" spans="2:16" x14ac:dyDescent="0.25">
      <c r="B318" s="88" t="s">
        <v>18</v>
      </c>
      <c r="C318" s="106">
        <f t="shared" si="38"/>
        <v>2020</v>
      </c>
      <c r="D318" s="101">
        <v>43877</v>
      </c>
      <c r="E318" s="102"/>
      <c r="F318" s="103"/>
      <c r="G318" s="103"/>
      <c r="H318" s="103"/>
      <c r="I318" s="90">
        <f t="shared" si="39"/>
        <v>0</v>
      </c>
      <c r="J318" s="90">
        <f t="shared" si="40"/>
        <v>0</v>
      </c>
      <c r="K318" s="91">
        <f t="shared" si="41"/>
        <v>0.72916666666666674</v>
      </c>
      <c r="L318" s="91">
        <f t="shared" si="42"/>
        <v>3.333333333333333</v>
      </c>
      <c r="M318" s="29">
        <f t="shared" si="46"/>
        <v>12</v>
      </c>
      <c r="N318" s="92">
        <f t="shared" si="43"/>
        <v>0</v>
      </c>
      <c r="O318" s="104">
        <f t="shared" si="44"/>
        <v>1.016</v>
      </c>
      <c r="P318" s="105">
        <f t="shared" si="45"/>
        <v>0</v>
      </c>
    </row>
    <row r="319" spans="2:16" x14ac:dyDescent="0.25">
      <c r="B319" s="88" t="s">
        <v>18</v>
      </c>
      <c r="C319" s="106">
        <f t="shared" si="38"/>
        <v>2020</v>
      </c>
      <c r="D319" s="101">
        <v>43878</v>
      </c>
      <c r="E319" s="102"/>
      <c r="F319" s="103"/>
      <c r="G319" s="103"/>
      <c r="H319" s="103"/>
      <c r="I319" s="90">
        <f t="shared" si="39"/>
        <v>0</v>
      </c>
      <c r="J319" s="90">
        <f t="shared" si="40"/>
        <v>0</v>
      </c>
      <c r="K319" s="91">
        <f t="shared" si="41"/>
        <v>0.72916666666666674</v>
      </c>
      <c r="L319" s="91">
        <f t="shared" si="42"/>
        <v>3.333333333333333</v>
      </c>
      <c r="M319" s="29">
        <f t="shared" si="46"/>
        <v>12</v>
      </c>
      <c r="N319" s="92">
        <f t="shared" si="43"/>
        <v>0</v>
      </c>
      <c r="O319" s="104">
        <f t="shared" si="44"/>
        <v>1.016</v>
      </c>
      <c r="P319" s="105">
        <f t="shared" si="45"/>
        <v>0</v>
      </c>
    </row>
    <row r="320" spans="2:16" x14ac:dyDescent="0.25">
      <c r="B320" s="88" t="s">
        <v>18</v>
      </c>
      <c r="C320" s="106">
        <f t="shared" si="38"/>
        <v>2020</v>
      </c>
      <c r="D320" s="101">
        <v>43879</v>
      </c>
      <c r="E320" s="102"/>
      <c r="F320" s="103"/>
      <c r="G320" s="103"/>
      <c r="H320" s="103"/>
      <c r="I320" s="90">
        <f t="shared" si="39"/>
        <v>0</v>
      </c>
      <c r="J320" s="90">
        <f t="shared" si="40"/>
        <v>0</v>
      </c>
      <c r="K320" s="91">
        <f t="shared" si="41"/>
        <v>0.72916666666666674</v>
      </c>
      <c r="L320" s="91">
        <f t="shared" si="42"/>
        <v>3.333333333333333</v>
      </c>
      <c r="M320" s="29">
        <f t="shared" si="46"/>
        <v>12</v>
      </c>
      <c r="N320" s="92">
        <f t="shared" si="43"/>
        <v>0</v>
      </c>
      <c r="O320" s="104">
        <f t="shared" si="44"/>
        <v>1.016</v>
      </c>
      <c r="P320" s="105">
        <f t="shared" si="45"/>
        <v>0</v>
      </c>
    </row>
    <row r="321" spans="2:16" x14ac:dyDescent="0.25">
      <c r="B321" s="88" t="s">
        <v>18</v>
      </c>
      <c r="C321" s="106">
        <f t="shared" si="38"/>
        <v>2020</v>
      </c>
      <c r="D321" s="101">
        <v>43880</v>
      </c>
      <c r="E321" s="102">
        <v>0.4375</v>
      </c>
      <c r="F321" s="103">
        <v>0.45833333333333331</v>
      </c>
      <c r="G321" s="103">
        <v>0.4375</v>
      </c>
      <c r="H321" s="103">
        <v>0.45833333333333331</v>
      </c>
      <c r="I321" s="90">
        <f t="shared" si="39"/>
        <v>0.49999999999999956</v>
      </c>
      <c r="J321" s="90">
        <f t="shared" si="40"/>
        <v>0.49999999999999956</v>
      </c>
      <c r="K321" s="91">
        <f t="shared" si="41"/>
        <v>0.72916666666666674</v>
      </c>
      <c r="L321" s="91">
        <f t="shared" si="42"/>
        <v>3.333333333333333</v>
      </c>
      <c r="M321" s="29">
        <f t="shared" si="46"/>
        <v>12</v>
      </c>
      <c r="N321" s="92">
        <f t="shared" si="43"/>
        <v>0.49999999999999956</v>
      </c>
      <c r="O321" s="104">
        <f t="shared" si="44"/>
        <v>1.016</v>
      </c>
      <c r="P321" s="105">
        <f t="shared" si="45"/>
        <v>4.2671999999999963</v>
      </c>
    </row>
    <row r="322" spans="2:16" x14ac:dyDescent="0.25">
      <c r="B322" s="88" t="s">
        <v>18</v>
      </c>
      <c r="C322" s="106">
        <f t="shared" si="38"/>
        <v>2020</v>
      </c>
      <c r="D322" s="101">
        <v>43881</v>
      </c>
      <c r="E322" s="102"/>
      <c r="F322" s="103"/>
      <c r="G322" s="103"/>
      <c r="H322" s="103"/>
      <c r="I322" s="90">
        <f t="shared" si="39"/>
        <v>0</v>
      </c>
      <c r="J322" s="90">
        <f t="shared" si="40"/>
        <v>0</v>
      </c>
      <c r="K322" s="91">
        <f t="shared" si="41"/>
        <v>0.72916666666666674</v>
      </c>
      <c r="L322" s="91">
        <f t="shared" si="42"/>
        <v>3.333333333333333</v>
      </c>
      <c r="M322" s="29">
        <f t="shared" si="46"/>
        <v>12</v>
      </c>
      <c r="N322" s="92">
        <f t="shared" si="43"/>
        <v>0</v>
      </c>
      <c r="O322" s="104">
        <f t="shared" si="44"/>
        <v>1.016</v>
      </c>
      <c r="P322" s="105">
        <f t="shared" si="45"/>
        <v>0</v>
      </c>
    </row>
    <row r="323" spans="2:16" x14ac:dyDescent="0.25">
      <c r="B323" s="88" t="s">
        <v>18</v>
      </c>
      <c r="C323" s="106">
        <f t="shared" si="38"/>
        <v>2020</v>
      </c>
      <c r="D323" s="101">
        <v>43882</v>
      </c>
      <c r="E323" s="102"/>
      <c r="F323" s="103"/>
      <c r="G323" s="103"/>
      <c r="H323" s="103"/>
      <c r="I323" s="90">
        <f t="shared" si="39"/>
        <v>0</v>
      </c>
      <c r="J323" s="90">
        <f t="shared" si="40"/>
        <v>0</v>
      </c>
      <c r="K323" s="91">
        <f t="shared" si="41"/>
        <v>0.72916666666666674</v>
      </c>
      <c r="L323" s="91">
        <f t="shared" si="42"/>
        <v>3.333333333333333</v>
      </c>
      <c r="M323" s="29">
        <f t="shared" si="46"/>
        <v>12</v>
      </c>
      <c r="N323" s="92">
        <f t="shared" si="43"/>
        <v>0</v>
      </c>
      <c r="O323" s="104">
        <f t="shared" si="44"/>
        <v>1.016</v>
      </c>
      <c r="P323" s="105">
        <f t="shared" si="45"/>
        <v>0</v>
      </c>
    </row>
    <row r="324" spans="2:16" x14ac:dyDescent="0.25">
      <c r="B324" s="88" t="s">
        <v>18</v>
      </c>
      <c r="C324" s="106">
        <f t="shared" si="38"/>
        <v>2020</v>
      </c>
      <c r="D324" s="101">
        <v>43883</v>
      </c>
      <c r="E324" s="102">
        <v>0.5625</v>
      </c>
      <c r="F324" s="103">
        <v>0.58333333333333337</v>
      </c>
      <c r="G324" s="103">
        <v>0.5625</v>
      </c>
      <c r="H324" s="103">
        <v>0.58333333333333337</v>
      </c>
      <c r="I324" s="90">
        <f t="shared" si="39"/>
        <v>0.50000000000000089</v>
      </c>
      <c r="J324" s="90">
        <f t="shared" si="40"/>
        <v>0.50000000000000089</v>
      </c>
      <c r="K324" s="91">
        <f t="shared" si="41"/>
        <v>0.72916666666666674</v>
      </c>
      <c r="L324" s="91">
        <f t="shared" si="42"/>
        <v>3.333333333333333</v>
      </c>
      <c r="M324" s="29">
        <f t="shared" si="46"/>
        <v>12</v>
      </c>
      <c r="N324" s="92">
        <f t="shared" si="43"/>
        <v>0.50000000000000089</v>
      </c>
      <c r="O324" s="104">
        <f t="shared" si="44"/>
        <v>1.016</v>
      </c>
      <c r="P324" s="105">
        <f t="shared" si="45"/>
        <v>4.267200000000007</v>
      </c>
    </row>
    <row r="325" spans="2:16" x14ac:dyDescent="0.25">
      <c r="B325" s="88" t="s">
        <v>18</v>
      </c>
      <c r="C325" s="106">
        <f t="shared" si="38"/>
        <v>2020</v>
      </c>
      <c r="D325" s="101">
        <v>43884</v>
      </c>
      <c r="E325" s="102"/>
      <c r="F325" s="103"/>
      <c r="G325" s="103"/>
      <c r="H325" s="103"/>
      <c r="I325" s="90">
        <f t="shared" si="39"/>
        <v>0</v>
      </c>
      <c r="J325" s="90">
        <f t="shared" si="40"/>
        <v>0</v>
      </c>
      <c r="K325" s="91">
        <f t="shared" si="41"/>
        <v>0.72916666666666674</v>
      </c>
      <c r="L325" s="91">
        <f t="shared" si="42"/>
        <v>3.333333333333333</v>
      </c>
      <c r="M325" s="29">
        <f t="shared" si="46"/>
        <v>12</v>
      </c>
      <c r="N325" s="92">
        <f t="shared" si="43"/>
        <v>0</v>
      </c>
      <c r="O325" s="104">
        <f t="shared" si="44"/>
        <v>1.016</v>
      </c>
      <c r="P325" s="105">
        <f t="shared" si="45"/>
        <v>0</v>
      </c>
    </row>
    <row r="326" spans="2:16" x14ac:dyDescent="0.25">
      <c r="B326" s="88" t="s">
        <v>18</v>
      </c>
      <c r="C326" s="106">
        <f t="shared" si="38"/>
        <v>2020</v>
      </c>
      <c r="D326" s="101">
        <v>43885</v>
      </c>
      <c r="E326" s="102"/>
      <c r="F326" s="103"/>
      <c r="G326" s="103"/>
      <c r="H326" s="103"/>
      <c r="I326" s="90">
        <f t="shared" si="39"/>
        <v>0</v>
      </c>
      <c r="J326" s="90">
        <f t="shared" si="40"/>
        <v>0</v>
      </c>
      <c r="K326" s="91">
        <f t="shared" si="41"/>
        <v>0.72916666666666674</v>
      </c>
      <c r="L326" s="91">
        <f t="shared" si="42"/>
        <v>3.333333333333333</v>
      </c>
      <c r="M326" s="29">
        <f t="shared" si="46"/>
        <v>12</v>
      </c>
      <c r="N326" s="92">
        <f t="shared" si="43"/>
        <v>0</v>
      </c>
      <c r="O326" s="104">
        <f t="shared" si="44"/>
        <v>1.016</v>
      </c>
      <c r="P326" s="105">
        <f t="shared" si="45"/>
        <v>0</v>
      </c>
    </row>
    <row r="327" spans="2:16" x14ac:dyDescent="0.25">
      <c r="B327" s="88" t="s">
        <v>18</v>
      </c>
      <c r="C327" s="106">
        <f t="shared" si="38"/>
        <v>2020</v>
      </c>
      <c r="D327" s="101">
        <v>43886</v>
      </c>
      <c r="E327" s="102"/>
      <c r="F327" s="103"/>
      <c r="G327" s="103"/>
      <c r="H327" s="103"/>
      <c r="I327" s="90">
        <f t="shared" si="39"/>
        <v>0</v>
      </c>
      <c r="J327" s="90">
        <f t="shared" si="40"/>
        <v>0</v>
      </c>
      <c r="K327" s="91">
        <f t="shared" si="41"/>
        <v>0.72916666666666674</v>
      </c>
      <c r="L327" s="91">
        <f t="shared" si="42"/>
        <v>3.333333333333333</v>
      </c>
      <c r="M327" s="29">
        <f t="shared" si="46"/>
        <v>12</v>
      </c>
      <c r="N327" s="92">
        <f t="shared" si="43"/>
        <v>0</v>
      </c>
      <c r="O327" s="104">
        <f t="shared" si="44"/>
        <v>1.016</v>
      </c>
      <c r="P327" s="105">
        <f t="shared" si="45"/>
        <v>0</v>
      </c>
    </row>
    <row r="328" spans="2:16" x14ac:dyDescent="0.25">
      <c r="B328" s="88" t="s">
        <v>18</v>
      </c>
      <c r="C328" s="106">
        <f t="shared" si="38"/>
        <v>2020</v>
      </c>
      <c r="D328" s="101">
        <v>43887</v>
      </c>
      <c r="E328" s="102"/>
      <c r="F328" s="103"/>
      <c r="G328" s="103"/>
      <c r="H328" s="103"/>
      <c r="I328" s="90">
        <f t="shared" si="39"/>
        <v>0</v>
      </c>
      <c r="J328" s="90">
        <f t="shared" si="40"/>
        <v>0</v>
      </c>
      <c r="K328" s="91">
        <f t="shared" si="41"/>
        <v>0.72916666666666674</v>
      </c>
      <c r="L328" s="91">
        <f t="shared" si="42"/>
        <v>3.333333333333333</v>
      </c>
      <c r="M328" s="29">
        <f t="shared" si="46"/>
        <v>12</v>
      </c>
      <c r="N328" s="92">
        <f t="shared" si="43"/>
        <v>0</v>
      </c>
      <c r="O328" s="104">
        <f t="shared" si="44"/>
        <v>1.016</v>
      </c>
      <c r="P328" s="105">
        <f t="shared" si="45"/>
        <v>0</v>
      </c>
    </row>
    <row r="329" spans="2:16" x14ac:dyDescent="0.25">
      <c r="B329" s="88" t="s">
        <v>18</v>
      </c>
      <c r="C329" s="106">
        <f t="shared" si="38"/>
        <v>2020</v>
      </c>
      <c r="D329" s="101">
        <v>43888</v>
      </c>
      <c r="E329" s="102">
        <v>0.60416666666666663</v>
      </c>
      <c r="F329" s="103">
        <v>0.625</v>
      </c>
      <c r="G329" s="103">
        <v>0.60416666666666663</v>
      </c>
      <c r="H329" s="103">
        <v>0.625</v>
      </c>
      <c r="I329" s="90">
        <f t="shared" si="39"/>
        <v>0.50000000000000089</v>
      </c>
      <c r="J329" s="90">
        <f t="shared" si="40"/>
        <v>0.50000000000000089</v>
      </c>
      <c r="K329" s="91">
        <f t="shared" si="41"/>
        <v>0.72916666666666674</v>
      </c>
      <c r="L329" s="91">
        <f t="shared" si="42"/>
        <v>3.333333333333333</v>
      </c>
      <c r="M329" s="29">
        <f t="shared" si="46"/>
        <v>12</v>
      </c>
      <c r="N329" s="92">
        <f t="shared" si="43"/>
        <v>0.50000000000000089</v>
      </c>
      <c r="O329" s="104">
        <f t="shared" si="44"/>
        <v>1.016</v>
      </c>
      <c r="P329" s="105">
        <f t="shared" si="45"/>
        <v>4.267200000000007</v>
      </c>
    </row>
    <row r="330" spans="2:16" x14ac:dyDescent="0.25">
      <c r="B330" s="88" t="s">
        <v>18</v>
      </c>
      <c r="C330" s="106">
        <f t="shared" si="38"/>
        <v>2020</v>
      </c>
      <c r="D330" s="101">
        <v>43889</v>
      </c>
      <c r="E330" s="102"/>
      <c r="F330" s="103"/>
      <c r="G330" s="103"/>
      <c r="H330" s="103"/>
      <c r="I330" s="90">
        <f t="shared" si="39"/>
        <v>0</v>
      </c>
      <c r="J330" s="90">
        <f t="shared" si="40"/>
        <v>0</v>
      </c>
      <c r="K330" s="91">
        <f t="shared" si="41"/>
        <v>0.72916666666666674</v>
      </c>
      <c r="L330" s="91">
        <f t="shared" si="42"/>
        <v>3.333333333333333</v>
      </c>
      <c r="M330" s="29">
        <f t="shared" si="46"/>
        <v>12</v>
      </c>
      <c r="N330" s="92">
        <f t="shared" si="43"/>
        <v>0</v>
      </c>
      <c r="O330" s="104">
        <f t="shared" si="44"/>
        <v>1.016</v>
      </c>
      <c r="P330" s="105">
        <f t="shared" si="45"/>
        <v>0</v>
      </c>
    </row>
    <row r="331" spans="2:16" x14ac:dyDescent="0.25">
      <c r="B331" s="88" t="s">
        <v>18</v>
      </c>
      <c r="C331" s="106">
        <f t="shared" si="38"/>
        <v>2020</v>
      </c>
      <c r="D331" s="101">
        <v>43890</v>
      </c>
      <c r="E331" s="102"/>
      <c r="F331" s="103"/>
      <c r="G331" s="103"/>
      <c r="H331" s="103"/>
      <c r="I331" s="90">
        <f t="shared" si="39"/>
        <v>0</v>
      </c>
      <c r="J331" s="90">
        <f t="shared" si="40"/>
        <v>0</v>
      </c>
      <c r="K331" s="91">
        <f t="shared" si="41"/>
        <v>0.72916666666666674</v>
      </c>
      <c r="L331" s="91">
        <f t="shared" si="42"/>
        <v>3.333333333333333</v>
      </c>
      <c r="M331" s="29">
        <f t="shared" si="46"/>
        <v>12</v>
      </c>
      <c r="N331" s="92">
        <f t="shared" si="43"/>
        <v>0</v>
      </c>
      <c r="O331" s="104">
        <f t="shared" si="44"/>
        <v>1.016</v>
      </c>
      <c r="P331" s="105">
        <f t="shared" si="45"/>
        <v>0</v>
      </c>
    </row>
    <row r="332" spans="2:16" x14ac:dyDescent="0.25">
      <c r="B332" s="88" t="s">
        <v>18</v>
      </c>
      <c r="C332" s="106">
        <f t="shared" si="38"/>
        <v>2020</v>
      </c>
      <c r="D332" s="101">
        <v>43891</v>
      </c>
      <c r="E332" s="102"/>
      <c r="F332" s="103"/>
      <c r="G332" s="103"/>
      <c r="H332" s="103"/>
      <c r="I332" s="90">
        <f t="shared" si="39"/>
        <v>0</v>
      </c>
      <c r="J332" s="90">
        <f t="shared" si="40"/>
        <v>0</v>
      </c>
      <c r="K332" s="91">
        <f t="shared" si="41"/>
        <v>0.72916666666666674</v>
      </c>
      <c r="L332" s="91">
        <f t="shared" si="42"/>
        <v>3.333333333333333</v>
      </c>
      <c r="M332" s="29">
        <f t="shared" si="46"/>
        <v>12</v>
      </c>
      <c r="N332" s="92">
        <f t="shared" si="43"/>
        <v>0</v>
      </c>
      <c r="O332" s="104">
        <f t="shared" si="44"/>
        <v>1.016</v>
      </c>
      <c r="P332" s="105">
        <f t="shared" si="45"/>
        <v>0</v>
      </c>
    </row>
    <row r="333" spans="2:16" x14ac:dyDescent="0.25">
      <c r="B333" s="88" t="s">
        <v>18</v>
      </c>
      <c r="C333" s="106">
        <f t="shared" si="38"/>
        <v>2020</v>
      </c>
      <c r="D333" s="101">
        <v>43892</v>
      </c>
      <c r="E333" s="102"/>
      <c r="F333" s="103"/>
      <c r="G333" s="103"/>
      <c r="H333" s="103"/>
      <c r="I333" s="90">
        <f t="shared" si="39"/>
        <v>0</v>
      </c>
      <c r="J333" s="90">
        <f t="shared" si="40"/>
        <v>0</v>
      </c>
      <c r="K333" s="91">
        <f t="shared" si="41"/>
        <v>0.72916666666666674</v>
      </c>
      <c r="L333" s="91">
        <f t="shared" si="42"/>
        <v>3.333333333333333</v>
      </c>
      <c r="M333" s="29">
        <f t="shared" si="46"/>
        <v>12</v>
      </c>
      <c r="N333" s="92">
        <f t="shared" si="43"/>
        <v>0</v>
      </c>
      <c r="O333" s="104">
        <f t="shared" si="44"/>
        <v>1.016</v>
      </c>
      <c r="P333" s="105">
        <f t="shared" si="45"/>
        <v>0</v>
      </c>
    </row>
    <row r="334" spans="2:16" x14ac:dyDescent="0.25">
      <c r="B334" s="88" t="s">
        <v>18</v>
      </c>
      <c r="C334" s="106">
        <f t="shared" si="38"/>
        <v>2020</v>
      </c>
      <c r="D334" s="101">
        <v>43893</v>
      </c>
      <c r="E334" s="102"/>
      <c r="F334" s="103"/>
      <c r="G334" s="103"/>
      <c r="H334" s="103"/>
      <c r="I334" s="90">
        <f t="shared" si="39"/>
        <v>0</v>
      </c>
      <c r="J334" s="90">
        <f t="shared" si="40"/>
        <v>0</v>
      </c>
      <c r="K334" s="91">
        <f t="shared" si="41"/>
        <v>0.72916666666666674</v>
      </c>
      <c r="L334" s="91">
        <f t="shared" si="42"/>
        <v>3.333333333333333</v>
      </c>
      <c r="M334" s="29">
        <f t="shared" si="46"/>
        <v>12</v>
      </c>
      <c r="N334" s="92">
        <f t="shared" si="43"/>
        <v>0</v>
      </c>
      <c r="O334" s="104">
        <f t="shared" si="44"/>
        <v>1.016</v>
      </c>
      <c r="P334" s="105">
        <f t="shared" si="45"/>
        <v>0</v>
      </c>
    </row>
    <row r="335" spans="2:16" x14ac:dyDescent="0.25">
      <c r="B335" s="88" t="s">
        <v>18</v>
      </c>
      <c r="C335" s="106">
        <f t="shared" si="38"/>
        <v>2020</v>
      </c>
      <c r="D335" s="101">
        <v>43894</v>
      </c>
      <c r="E335" s="102">
        <v>0.66666666666666663</v>
      </c>
      <c r="F335" s="103">
        <v>0.6875</v>
      </c>
      <c r="G335" s="103">
        <v>0.66666666666666663</v>
      </c>
      <c r="H335" s="103">
        <v>0.6875</v>
      </c>
      <c r="I335" s="90">
        <f t="shared" si="39"/>
        <v>0.50000000000000089</v>
      </c>
      <c r="J335" s="90">
        <f t="shared" si="40"/>
        <v>0.50000000000000089</v>
      </c>
      <c r="K335" s="91">
        <f t="shared" si="41"/>
        <v>0.72916666666666674</v>
      </c>
      <c r="L335" s="91">
        <f t="shared" si="42"/>
        <v>3.333333333333333</v>
      </c>
      <c r="M335" s="29">
        <f t="shared" si="46"/>
        <v>12</v>
      </c>
      <c r="N335" s="92">
        <f t="shared" si="43"/>
        <v>0.50000000000000089</v>
      </c>
      <c r="O335" s="104">
        <f t="shared" si="44"/>
        <v>1.016</v>
      </c>
      <c r="P335" s="105">
        <f t="shared" si="45"/>
        <v>4.267200000000007</v>
      </c>
    </row>
    <row r="336" spans="2:16" x14ac:dyDescent="0.25">
      <c r="B336" s="88" t="s">
        <v>18</v>
      </c>
      <c r="C336" s="106">
        <f t="shared" si="38"/>
        <v>2020</v>
      </c>
      <c r="D336" s="101">
        <v>43895</v>
      </c>
      <c r="E336" s="102"/>
      <c r="F336" s="103"/>
      <c r="G336" s="103"/>
      <c r="H336" s="103"/>
      <c r="I336" s="90">
        <f t="shared" si="39"/>
        <v>0</v>
      </c>
      <c r="J336" s="90">
        <f t="shared" si="40"/>
        <v>0</v>
      </c>
      <c r="K336" s="91">
        <f t="shared" si="41"/>
        <v>0.72916666666666674</v>
      </c>
      <c r="L336" s="91">
        <f t="shared" si="42"/>
        <v>3.333333333333333</v>
      </c>
      <c r="M336" s="29">
        <f t="shared" si="46"/>
        <v>12</v>
      </c>
      <c r="N336" s="92">
        <f t="shared" si="43"/>
        <v>0</v>
      </c>
      <c r="O336" s="104">
        <f t="shared" si="44"/>
        <v>1.016</v>
      </c>
      <c r="P336" s="105">
        <f t="shared" si="45"/>
        <v>0</v>
      </c>
    </row>
    <row r="337" spans="2:16" x14ac:dyDescent="0.25">
      <c r="B337" s="88" t="s">
        <v>18</v>
      </c>
      <c r="C337" s="106">
        <f t="shared" si="38"/>
        <v>2020</v>
      </c>
      <c r="D337" s="101">
        <v>43896</v>
      </c>
      <c r="E337" s="102"/>
      <c r="F337" s="103"/>
      <c r="G337" s="103"/>
      <c r="H337" s="103"/>
      <c r="I337" s="90">
        <f t="shared" si="39"/>
        <v>0</v>
      </c>
      <c r="J337" s="90">
        <f t="shared" si="40"/>
        <v>0</v>
      </c>
      <c r="K337" s="91">
        <f t="shared" si="41"/>
        <v>0.72916666666666674</v>
      </c>
      <c r="L337" s="91">
        <f t="shared" si="42"/>
        <v>3.333333333333333</v>
      </c>
      <c r="M337" s="29">
        <f t="shared" si="46"/>
        <v>12</v>
      </c>
      <c r="N337" s="92">
        <f t="shared" si="43"/>
        <v>0</v>
      </c>
      <c r="O337" s="104">
        <f t="shared" si="44"/>
        <v>1.016</v>
      </c>
      <c r="P337" s="105">
        <f t="shared" si="45"/>
        <v>0</v>
      </c>
    </row>
    <row r="338" spans="2:16" x14ac:dyDescent="0.25">
      <c r="B338" s="88" t="s">
        <v>18</v>
      </c>
      <c r="C338" s="106">
        <f t="shared" si="38"/>
        <v>2020</v>
      </c>
      <c r="D338" s="101">
        <v>43897</v>
      </c>
      <c r="E338" s="102"/>
      <c r="F338" s="103"/>
      <c r="G338" s="103"/>
      <c r="H338" s="103"/>
      <c r="I338" s="90">
        <f t="shared" si="39"/>
        <v>0</v>
      </c>
      <c r="J338" s="90">
        <f t="shared" si="40"/>
        <v>0</v>
      </c>
      <c r="K338" s="91">
        <f t="shared" si="41"/>
        <v>0.72916666666666674</v>
      </c>
      <c r="L338" s="91">
        <f t="shared" si="42"/>
        <v>3.333333333333333</v>
      </c>
      <c r="M338" s="29">
        <f t="shared" si="46"/>
        <v>12</v>
      </c>
      <c r="N338" s="92">
        <f t="shared" si="43"/>
        <v>0</v>
      </c>
      <c r="O338" s="104">
        <f t="shared" si="44"/>
        <v>1.016</v>
      </c>
      <c r="P338" s="105">
        <f t="shared" si="45"/>
        <v>0</v>
      </c>
    </row>
    <row r="339" spans="2:16" x14ac:dyDescent="0.25">
      <c r="B339" s="88" t="s">
        <v>18</v>
      </c>
      <c r="C339" s="106">
        <f t="shared" si="38"/>
        <v>2020</v>
      </c>
      <c r="D339" s="101">
        <v>43898</v>
      </c>
      <c r="E339" s="102"/>
      <c r="F339" s="103"/>
      <c r="G339" s="103"/>
      <c r="H339" s="103"/>
      <c r="I339" s="90">
        <f t="shared" si="39"/>
        <v>0</v>
      </c>
      <c r="J339" s="90">
        <f t="shared" si="40"/>
        <v>0</v>
      </c>
      <c r="K339" s="91">
        <f t="shared" si="41"/>
        <v>0.72916666666666674</v>
      </c>
      <c r="L339" s="91">
        <f t="shared" si="42"/>
        <v>3.333333333333333</v>
      </c>
      <c r="M339" s="29">
        <f t="shared" si="46"/>
        <v>12</v>
      </c>
      <c r="N339" s="92">
        <f t="shared" si="43"/>
        <v>0</v>
      </c>
      <c r="O339" s="104">
        <f t="shared" si="44"/>
        <v>1.016</v>
      </c>
      <c r="P339" s="105">
        <f t="shared" si="45"/>
        <v>0</v>
      </c>
    </row>
    <row r="340" spans="2:16" x14ac:dyDescent="0.25">
      <c r="B340" s="88" t="s">
        <v>18</v>
      </c>
      <c r="C340" s="106">
        <f t="shared" si="38"/>
        <v>2020</v>
      </c>
      <c r="D340" s="101">
        <v>43899</v>
      </c>
      <c r="E340" s="102"/>
      <c r="F340" s="103"/>
      <c r="G340" s="103"/>
      <c r="H340" s="103"/>
      <c r="I340" s="90">
        <f t="shared" si="39"/>
        <v>0</v>
      </c>
      <c r="J340" s="90">
        <f t="shared" si="40"/>
        <v>0</v>
      </c>
      <c r="K340" s="91">
        <f t="shared" si="41"/>
        <v>0.72916666666666674</v>
      </c>
      <c r="L340" s="91">
        <f t="shared" si="42"/>
        <v>3.333333333333333</v>
      </c>
      <c r="M340" s="29">
        <f t="shared" si="46"/>
        <v>12</v>
      </c>
      <c r="N340" s="92">
        <f t="shared" si="43"/>
        <v>0</v>
      </c>
      <c r="O340" s="104">
        <f t="shared" si="44"/>
        <v>1.016</v>
      </c>
      <c r="P340" s="105">
        <f t="shared" si="45"/>
        <v>0</v>
      </c>
    </row>
    <row r="341" spans="2:16" x14ac:dyDescent="0.25">
      <c r="B341" s="88" t="s">
        <v>18</v>
      </c>
      <c r="C341" s="106">
        <f t="shared" si="38"/>
        <v>2020</v>
      </c>
      <c r="D341" s="101">
        <v>43900</v>
      </c>
      <c r="E341" s="102"/>
      <c r="F341" s="103"/>
      <c r="G341" s="103"/>
      <c r="H341" s="103"/>
      <c r="I341" s="90">
        <f t="shared" si="39"/>
        <v>0</v>
      </c>
      <c r="J341" s="90">
        <f t="shared" si="40"/>
        <v>0</v>
      </c>
      <c r="K341" s="91">
        <f t="shared" si="41"/>
        <v>0.72916666666666674</v>
      </c>
      <c r="L341" s="91">
        <f t="shared" si="42"/>
        <v>3.333333333333333</v>
      </c>
      <c r="M341" s="29">
        <f t="shared" si="46"/>
        <v>12</v>
      </c>
      <c r="N341" s="92">
        <f t="shared" si="43"/>
        <v>0</v>
      </c>
      <c r="O341" s="104">
        <f t="shared" si="44"/>
        <v>1.016</v>
      </c>
      <c r="P341" s="105">
        <f t="shared" si="45"/>
        <v>0</v>
      </c>
    </row>
    <row r="342" spans="2:16" x14ac:dyDescent="0.25">
      <c r="B342" s="88" t="s">
        <v>18</v>
      </c>
      <c r="C342" s="106">
        <f t="shared" si="38"/>
        <v>2020</v>
      </c>
      <c r="D342" s="101">
        <v>43901</v>
      </c>
      <c r="E342" s="102">
        <v>0.52083333333333337</v>
      </c>
      <c r="F342" s="103">
        <v>0.54166666666666663</v>
      </c>
      <c r="G342" s="103">
        <v>0.52083333333333337</v>
      </c>
      <c r="H342" s="103">
        <v>0.54166666666666663</v>
      </c>
      <c r="I342" s="90">
        <f t="shared" si="39"/>
        <v>0.49999999999999822</v>
      </c>
      <c r="J342" s="90">
        <f t="shared" si="40"/>
        <v>0.49999999999999822</v>
      </c>
      <c r="K342" s="91">
        <f t="shared" si="41"/>
        <v>0.72916666666666674</v>
      </c>
      <c r="L342" s="91">
        <f t="shared" si="42"/>
        <v>3.333333333333333</v>
      </c>
      <c r="M342" s="29">
        <f t="shared" si="46"/>
        <v>12</v>
      </c>
      <c r="N342" s="92">
        <f t="shared" si="43"/>
        <v>0.49999999999999822</v>
      </c>
      <c r="O342" s="104">
        <f t="shared" si="44"/>
        <v>1.016</v>
      </c>
      <c r="P342" s="105">
        <f t="shared" si="45"/>
        <v>4.2671999999999848</v>
      </c>
    </row>
    <row r="343" spans="2:16" x14ac:dyDescent="0.25">
      <c r="B343" s="88" t="s">
        <v>18</v>
      </c>
      <c r="C343" s="106">
        <f t="shared" si="38"/>
        <v>2020</v>
      </c>
      <c r="D343" s="101">
        <v>43902</v>
      </c>
      <c r="E343" s="102"/>
      <c r="F343" s="103"/>
      <c r="G343" s="103"/>
      <c r="H343" s="103"/>
      <c r="I343" s="90">
        <f t="shared" si="39"/>
        <v>0</v>
      </c>
      <c r="J343" s="90">
        <f t="shared" si="40"/>
        <v>0</v>
      </c>
      <c r="K343" s="91">
        <f t="shared" si="41"/>
        <v>0.72916666666666674</v>
      </c>
      <c r="L343" s="91">
        <f t="shared" si="42"/>
        <v>3.333333333333333</v>
      </c>
      <c r="M343" s="29">
        <f t="shared" si="46"/>
        <v>12</v>
      </c>
      <c r="N343" s="92">
        <f t="shared" si="43"/>
        <v>0</v>
      </c>
      <c r="O343" s="104">
        <f t="shared" si="44"/>
        <v>1.016</v>
      </c>
      <c r="P343" s="105">
        <f t="shared" si="45"/>
        <v>0</v>
      </c>
    </row>
    <row r="344" spans="2:16" x14ac:dyDescent="0.25">
      <c r="B344" s="88" t="s">
        <v>18</v>
      </c>
      <c r="C344" s="106">
        <f t="shared" si="38"/>
        <v>2020</v>
      </c>
      <c r="D344" s="101">
        <v>43903</v>
      </c>
      <c r="E344" s="102"/>
      <c r="F344" s="103"/>
      <c r="G344" s="103"/>
      <c r="H344" s="103"/>
      <c r="I344" s="90">
        <f t="shared" si="39"/>
        <v>0</v>
      </c>
      <c r="J344" s="90">
        <f t="shared" si="40"/>
        <v>0</v>
      </c>
      <c r="K344" s="91">
        <f t="shared" si="41"/>
        <v>0.72916666666666674</v>
      </c>
      <c r="L344" s="91">
        <f t="shared" si="42"/>
        <v>3.333333333333333</v>
      </c>
      <c r="M344" s="29">
        <f t="shared" si="46"/>
        <v>12</v>
      </c>
      <c r="N344" s="92">
        <f t="shared" si="43"/>
        <v>0</v>
      </c>
      <c r="O344" s="104">
        <f t="shared" si="44"/>
        <v>1.016</v>
      </c>
      <c r="P344" s="105">
        <f t="shared" si="45"/>
        <v>0</v>
      </c>
    </row>
    <row r="345" spans="2:16" x14ac:dyDescent="0.25">
      <c r="B345" s="88" t="s">
        <v>18</v>
      </c>
      <c r="C345" s="106">
        <f t="shared" si="38"/>
        <v>2020</v>
      </c>
      <c r="D345" s="101">
        <v>43904</v>
      </c>
      <c r="E345" s="102"/>
      <c r="F345" s="103"/>
      <c r="G345" s="103"/>
      <c r="H345" s="103"/>
      <c r="I345" s="90">
        <f t="shared" si="39"/>
        <v>0</v>
      </c>
      <c r="J345" s="90">
        <f t="shared" si="40"/>
        <v>0</v>
      </c>
      <c r="K345" s="91">
        <f t="shared" si="41"/>
        <v>0.72916666666666674</v>
      </c>
      <c r="L345" s="91">
        <f t="shared" si="42"/>
        <v>3.333333333333333</v>
      </c>
      <c r="M345" s="29">
        <f t="shared" si="46"/>
        <v>12</v>
      </c>
      <c r="N345" s="92">
        <f t="shared" si="43"/>
        <v>0</v>
      </c>
      <c r="O345" s="104">
        <f t="shared" si="44"/>
        <v>1.016</v>
      </c>
      <c r="P345" s="105">
        <f t="shared" si="45"/>
        <v>0</v>
      </c>
    </row>
    <row r="346" spans="2:16" x14ac:dyDescent="0.25">
      <c r="B346" s="88" t="s">
        <v>18</v>
      </c>
      <c r="C346" s="106">
        <f t="shared" si="38"/>
        <v>2020</v>
      </c>
      <c r="D346" s="101">
        <v>43905</v>
      </c>
      <c r="E346" s="102"/>
      <c r="F346" s="103"/>
      <c r="G346" s="103"/>
      <c r="H346" s="103"/>
      <c r="I346" s="90">
        <f t="shared" si="39"/>
        <v>0</v>
      </c>
      <c r="J346" s="90">
        <f t="shared" si="40"/>
        <v>0</v>
      </c>
      <c r="K346" s="91">
        <f t="shared" si="41"/>
        <v>0.72916666666666674</v>
      </c>
      <c r="L346" s="91">
        <f t="shared" si="42"/>
        <v>3.333333333333333</v>
      </c>
      <c r="M346" s="29">
        <f t="shared" si="46"/>
        <v>12</v>
      </c>
      <c r="N346" s="92">
        <f t="shared" si="43"/>
        <v>0</v>
      </c>
      <c r="O346" s="104">
        <f t="shared" si="44"/>
        <v>1.016</v>
      </c>
      <c r="P346" s="105">
        <f t="shared" si="45"/>
        <v>0</v>
      </c>
    </row>
    <row r="347" spans="2:16" x14ac:dyDescent="0.25">
      <c r="B347" s="88" t="s">
        <v>18</v>
      </c>
      <c r="C347" s="106">
        <f t="shared" ref="C347:C410" si="47">YEAR(D347)</f>
        <v>2020</v>
      </c>
      <c r="D347" s="101">
        <v>43906</v>
      </c>
      <c r="E347" s="102">
        <v>0.75</v>
      </c>
      <c r="F347" s="103">
        <v>0.77083333333333337</v>
      </c>
      <c r="G347" s="103">
        <v>0.75</v>
      </c>
      <c r="H347" s="103">
        <v>0.77083333333333337</v>
      </c>
      <c r="I347" s="90">
        <f t="shared" ref="I347:I410" si="48">((F347-E347)-INT($D$20))*24</f>
        <v>0.50000000000000089</v>
      </c>
      <c r="J347" s="90">
        <f t="shared" ref="J347:J410" si="49">((H347-G347)-INT($D$20))*24</f>
        <v>0.50000000000000089</v>
      </c>
      <c r="K347" s="91">
        <f t="shared" ref="K347:K410" si="50">VLOOKUP(B347,$B$5:$J$17,5,FALSE)</f>
        <v>0.72916666666666674</v>
      </c>
      <c r="L347" s="91">
        <f t="shared" ref="L347:L410" si="51">VLOOKUP(B347,$B$5:$J$17,6,FALSE)</f>
        <v>3.333333333333333</v>
      </c>
      <c r="M347" s="29">
        <f t="shared" si="46"/>
        <v>12</v>
      </c>
      <c r="N347" s="92">
        <f t="shared" ref="N347:N410" si="52">I347</f>
        <v>0.50000000000000089</v>
      </c>
      <c r="O347" s="104">
        <f t="shared" ref="O347:O410" si="53">$D$21/1000</f>
        <v>1.016</v>
      </c>
      <c r="P347" s="105">
        <f t="shared" ref="P347:P410" si="54">M347*N347*O347*0.7</f>
        <v>4.267200000000007</v>
      </c>
    </row>
    <row r="348" spans="2:16" x14ac:dyDescent="0.25">
      <c r="B348" s="88" t="s">
        <v>18</v>
      </c>
      <c r="C348" s="106">
        <f t="shared" si="47"/>
        <v>2020</v>
      </c>
      <c r="D348" s="101">
        <v>43907</v>
      </c>
      <c r="E348" s="102"/>
      <c r="F348" s="103"/>
      <c r="G348" s="103"/>
      <c r="H348" s="103"/>
      <c r="I348" s="90">
        <f t="shared" si="48"/>
        <v>0</v>
      </c>
      <c r="J348" s="90">
        <f t="shared" si="49"/>
        <v>0</v>
      </c>
      <c r="K348" s="91">
        <f t="shared" si="50"/>
        <v>0.72916666666666674</v>
      </c>
      <c r="L348" s="91">
        <f t="shared" si="51"/>
        <v>3.333333333333333</v>
      </c>
      <c r="M348" s="29">
        <f t="shared" ref="M348:M411" si="55">VLOOKUP(B348,$I$5:$J$17,2,FALSE)</f>
        <v>12</v>
      </c>
      <c r="N348" s="92">
        <f t="shared" si="52"/>
        <v>0</v>
      </c>
      <c r="O348" s="104">
        <f t="shared" si="53"/>
        <v>1.016</v>
      </c>
      <c r="P348" s="105">
        <f t="shared" si="54"/>
        <v>0</v>
      </c>
    </row>
    <row r="349" spans="2:16" x14ac:dyDescent="0.25">
      <c r="B349" s="88" t="s">
        <v>18</v>
      </c>
      <c r="C349" s="106">
        <f t="shared" si="47"/>
        <v>2020</v>
      </c>
      <c r="D349" s="101">
        <v>43908</v>
      </c>
      <c r="E349" s="102">
        <v>0.52083333333333337</v>
      </c>
      <c r="F349" s="103">
        <v>0.54166666666666663</v>
      </c>
      <c r="G349" s="103">
        <v>0.52083333333333337</v>
      </c>
      <c r="H349" s="103">
        <v>0.54166666666666663</v>
      </c>
      <c r="I349" s="90">
        <f t="shared" si="48"/>
        <v>0.49999999999999822</v>
      </c>
      <c r="J349" s="90">
        <f t="shared" si="49"/>
        <v>0.49999999999999822</v>
      </c>
      <c r="K349" s="91">
        <f t="shared" si="50"/>
        <v>0.72916666666666674</v>
      </c>
      <c r="L349" s="91">
        <f t="shared" si="51"/>
        <v>3.333333333333333</v>
      </c>
      <c r="M349" s="29">
        <f t="shared" si="55"/>
        <v>12</v>
      </c>
      <c r="N349" s="92">
        <f t="shared" si="52"/>
        <v>0.49999999999999822</v>
      </c>
      <c r="O349" s="104">
        <f t="shared" si="53"/>
        <v>1.016</v>
      </c>
      <c r="P349" s="105">
        <f t="shared" si="54"/>
        <v>4.2671999999999848</v>
      </c>
    </row>
    <row r="350" spans="2:16" x14ac:dyDescent="0.25">
      <c r="B350" s="88" t="s">
        <v>18</v>
      </c>
      <c r="C350" s="106">
        <f t="shared" si="47"/>
        <v>2020</v>
      </c>
      <c r="D350" s="101">
        <v>43909</v>
      </c>
      <c r="E350" s="102"/>
      <c r="F350" s="103"/>
      <c r="G350" s="103"/>
      <c r="H350" s="103"/>
      <c r="I350" s="90">
        <f t="shared" si="48"/>
        <v>0</v>
      </c>
      <c r="J350" s="90">
        <f t="shared" si="49"/>
        <v>0</v>
      </c>
      <c r="K350" s="91">
        <f t="shared" si="50"/>
        <v>0.72916666666666674</v>
      </c>
      <c r="L350" s="91">
        <f t="shared" si="51"/>
        <v>3.333333333333333</v>
      </c>
      <c r="M350" s="29">
        <f t="shared" si="55"/>
        <v>12</v>
      </c>
      <c r="N350" s="92">
        <f t="shared" si="52"/>
        <v>0</v>
      </c>
      <c r="O350" s="104">
        <f t="shared" si="53"/>
        <v>1.016</v>
      </c>
      <c r="P350" s="105">
        <f t="shared" si="54"/>
        <v>0</v>
      </c>
    </row>
    <row r="351" spans="2:16" x14ac:dyDescent="0.25">
      <c r="B351" s="88" t="s">
        <v>18</v>
      </c>
      <c r="C351" s="106">
        <f t="shared" si="47"/>
        <v>2020</v>
      </c>
      <c r="D351" s="101">
        <v>43910</v>
      </c>
      <c r="E351" s="102"/>
      <c r="F351" s="103"/>
      <c r="G351" s="103"/>
      <c r="H351" s="103"/>
      <c r="I351" s="90">
        <f t="shared" si="48"/>
        <v>0</v>
      </c>
      <c r="J351" s="90">
        <f t="shared" si="49"/>
        <v>0</v>
      </c>
      <c r="K351" s="91">
        <f t="shared" si="50"/>
        <v>0.72916666666666674</v>
      </c>
      <c r="L351" s="91">
        <f t="shared" si="51"/>
        <v>3.333333333333333</v>
      </c>
      <c r="M351" s="29">
        <f t="shared" si="55"/>
        <v>12</v>
      </c>
      <c r="N351" s="92">
        <f t="shared" si="52"/>
        <v>0</v>
      </c>
      <c r="O351" s="104">
        <f t="shared" si="53"/>
        <v>1.016</v>
      </c>
      <c r="P351" s="105">
        <f t="shared" si="54"/>
        <v>0</v>
      </c>
    </row>
    <row r="352" spans="2:16" x14ac:dyDescent="0.25">
      <c r="B352" s="88" t="s">
        <v>18</v>
      </c>
      <c r="C352" s="106">
        <f t="shared" si="47"/>
        <v>2020</v>
      </c>
      <c r="D352" s="101">
        <v>43911</v>
      </c>
      <c r="E352" s="102"/>
      <c r="F352" s="103"/>
      <c r="G352" s="103"/>
      <c r="H352" s="103"/>
      <c r="I352" s="90">
        <f t="shared" si="48"/>
        <v>0</v>
      </c>
      <c r="J352" s="90">
        <f t="shared" si="49"/>
        <v>0</v>
      </c>
      <c r="K352" s="91">
        <f t="shared" si="50"/>
        <v>0.72916666666666674</v>
      </c>
      <c r="L352" s="91">
        <f t="shared" si="51"/>
        <v>3.333333333333333</v>
      </c>
      <c r="M352" s="29">
        <f t="shared" si="55"/>
        <v>12</v>
      </c>
      <c r="N352" s="92">
        <f t="shared" si="52"/>
        <v>0</v>
      </c>
      <c r="O352" s="104">
        <f t="shared" si="53"/>
        <v>1.016</v>
      </c>
      <c r="P352" s="105">
        <f t="shared" si="54"/>
        <v>0</v>
      </c>
    </row>
    <row r="353" spans="2:16" x14ac:dyDescent="0.25">
      <c r="B353" s="88" t="s">
        <v>18</v>
      </c>
      <c r="C353" s="106">
        <f t="shared" si="47"/>
        <v>2020</v>
      </c>
      <c r="D353" s="101">
        <v>43912</v>
      </c>
      <c r="E353" s="102"/>
      <c r="F353" s="103"/>
      <c r="G353" s="103"/>
      <c r="H353" s="103"/>
      <c r="I353" s="90">
        <f t="shared" si="48"/>
        <v>0</v>
      </c>
      <c r="J353" s="90">
        <f t="shared" si="49"/>
        <v>0</v>
      </c>
      <c r="K353" s="91">
        <f t="shared" si="50"/>
        <v>0.72916666666666674</v>
      </c>
      <c r="L353" s="91">
        <f t="shared" si="51"/>
        <v>3.333333333333333</v>
      </c>
      <c r="M353" s="29">
        <f t="shared" si="55"/>
        <v>12</v>
      </c>
      <c r="N353" s="92">
        <f t="shared" si="52"/>
        <v>0</v>
      </c>
      <c r="O353" s="104">
        <f t="shared" si="53"/>
        <v>1.016</v>
      </c>
      <c r="P353" s="105">
        <f t="shared" si="54"/>
        <v>0</v>
      </c>
    </row>
    <row r="354" spans="2:16" x14ac:dyDescent="0.25">
      <c r="B354" s="88" t="s">
        <v>18</v>
      </c>
      <c r="C354" s="106">
        <f t="shared" si="47"/>
        <v>2020</v>
      </c>
      <c r="D354" s="101">
        <v>43913</v>
      </c>
      <c r="E354" s="102">
        <v>0.70833333333333337</v>
      </c>
      <c r="F354" s="103">
        <v>0.72916666666666663</v>
      </c>
      <c r="G354" s="103">
        <v>0.70833333333333337</v>
      </c>
      <c r="H354" s="103">
        <v>0.72916666666666663</v>
      </c>
      <c r="I354" s="90">
        <f t="shared" si="48"/>
        <v>0.49999999999999822</v>
      </c>
      <c r="J354" s="90">
        <f t="shared" si="49"/>
        <v>0.49999999999999822</v>
      </c>
      <c r="K354" s="91">
        <f t="shared" si="50"/>
        <v>0.72916666666666674</v>
      </c>
      <c r="L354" s="91">
        <f t="shared" si="51"/>
        <v>3.333333333333333</v>
      </c>
      <c r="M354" s="29">
        <f t="shared" si="55"/>
        <v>12</v>
      </c>
      <c r="N354" s="92">
        <f t="shared" si="52"/>
        <v>0.49999999999999822</v>
      </c>
      <c r="O354" s="104">
        <f t="shared" si="53"/>
        <v>1.016</v>
      </c>
      <c r="P354" s="105">
        <f t="shared" si="54"/>
        <v>4.2671999999999848</v>
      </c>
    </row>
    <row r="355" spans="2:16" x14ac:dyDescent="0.25">
      <c r="B355" s="88" t="s">
        <v>18</v>
      </c>
      <c r="C355" s="106">
        <f t="shared" si="47"/>
        <v>2020</v>
      </c>
      <c r="D355" s="101">
        <v>43914</v>
      </c>
      <c r="E355" s="102"/>
      <c r="F355" s="103"/>
      <c r="G355" s="103"/>
      <c r="H355" s="103"/>
      <c r="I355" s="90">
        <f t="shared" si="48"/>
        <v>0</v>
      </c>
      <c r="J355" s="90">
        <f t="shared" si="49"/>
        <v>0</v>
      </c>
      <c r="K355" s="91">
        <f t="shared" si="50"/>
        <v>0.72916666666666674</v>
      </c>
      <c r="L355" s="91">
        <f t="shared" si="51"/>
        <v>3.333333333333333</v>
      </c>
      <c r="M355" s="29">
        <f t="shared" si="55"/>
        <v>12</v>
      </c>
      <c r="N355" s="92">
        <f t="shared" si="52"/>
        <v>0</v>
      </c>
      <c r="O355" s="104">
        <f t="shared" si="53"/>
        <v>1.016</v>
      </c>
      <c r="P355" s="105">
        <f t="shared" si="54"/>
        <v>0</v>
      </c>
    </row>
    <row r="356" spans="2:16" x14ac:dyDescent="0.25">
      <c r="B356" s="88" t="s">
        <v>18</v>
      </c>
      <c r="C356" s="106">
        <f t="shared" si="47"/>
        <v>2020</v>
      </c>
      <c r="D356" s="101">
        <v>43915</v>
      </c>
      <c r="E356" s="102"/>
      <c r="F356" s="103"/>
      <c r="G356" s="103"/>
      <c r="H356" s="103"/>
      <c r="I356" s="90">
        <f t="shared" si="48"/>
        <v>0</v>
      </c>
      <c r="J356" s="90">
        <f t="shared" si="49"/>
        <v>0</v>
      </c>
      <c r="K356" s="91">
        <f t="shared" si="50"/>
        <v>0.72916666666666674</v>
      </c>
      <c r="L356" s="91">
        <f t="shared" si="51"/>
        <v>3.333333333333333</v>
      </c>
      <c r="M356" s="29">
        <f t="shared" si="55"/>
        <v>12</v>
      </c>
      <c r="N356" s="92">
        <f t="shared" si="52"/>
        <v>0</v>
      </c>
      <c r="O356" s="104">
        <f t="shared" si="53"/>
        <v>1.016</v>
      </c>
      <c r="P356" s="105">
        <f t="shared" si="54"/>
        <v>0</v>
      </c>
    </row>
    <row r="357" spans="2:16" x14ac:dyDescent="0.25">
      <c r="B357" s="88" t="s">
        <v>18</v>
      </c>
      <c r="C357" s="106">
        <f t="shared" si="47"/>
        <v>2020</v>
      </c>
      <c r="D357" s="101">
        <v>43916</v>
      </c>
      <c r="E357" s="102"/>
      <c r="F357" s="103"/>
      <c r="G357" s="103"/>
      <c r="H357" s="103"/>
      <c r="I357" s="90">
        <f t="shared" si="48"/>
        <v>0</v>
      </c>
      <c r="J357" s="90">
        <f t="shared" si="49"/>
        <v>0</v>
      </c>
      <c r="K357" s="91">
        <f t="shared" si="50"/>
        <v>0.72916666666666674</v>
      </c>
      <c r="L357" s="91">
        <f t="shared" si="51"/>
        <v>3.333333333333333</v>
      </c>
      <c r="M357" s="29">
        <f t="shared" si="55"/>
        <v>12</v>
      </c>
      <c r="N357" s="92">
        <f t="shared" si="52"/>
        <v>0</v>
      </c>
      <c r="O357" s="104">
        <f t="shared" si="53"/>
        <v>1.016</v>
      </c>
      <c r="P357" s="105">
        <f t="shared" si="54"/>
        <v>0</v>
      </c>
    </row>
    <row r="358" spans="2:16" x14ac:dyDescent="0.25">
      <c r="B358" s="88" t="s">
        <v>18</v>
      </c>
      <c r="C358" s="106">
        <f t="shared" si="47"/>
        <v>2020</v>
      </c>
      <c r="D358" s="101">
        <v>43917</v>
      </c>
      <c r="E358" s="102"/>
      <c r="F358" s="103"/>
      <c r="G358" s="103"/>
      <c r="H358" s="103"/>
      <c r="I358" s="90">
        <f t="shared" si="48"/>
        <v>0</v>
      </c>
      <c r="J358" s="90">
        <f t="shared" si="49"/>
        <v>0</v>
      </c>
      <c r="K358" s="91">
        <f t="shared" si="50"/>
        <v>0.72916666666666674</v>
      </c>
      <c r="L358" s="91">
        <f t="shared" si="51"/>
        <v>3.333333333333333</v>
      </c>
      <c r="M358" s="29">
        <f t="shared" si="55"/>
        <v>12</v>
      </c>
      <c r="N358" s="92">
        <f t="shared" si="52"/>
        <v>0</v>
      </c>
      <c r="O358" s="104">
        <f t="shared" si="53"/>
        <v>1.016</v>
      </c>
      <c r="P358" s="105">
        <f t="shared" si="54"/>
        <v>0</v>
      </c>
    </row>
    <row r="359" spans="2:16" x14ac:dyDescent="0.25">
      <c r="B359" s="88" t="s">
        <v>18</v>
      </c>
      <c r="C359" s="106">
        <f t="shared" si="47"/>
        <v>2020</v>
      </c>
      <c r="D359" s="101">
        <v>43918</v>
      </c>
      <c r="E359" s="102"/>
      <c r="F359" s="103"/>
      <c r="G359" s="103"/>
      <c r="H359" s="103"/>
      <c r="I359" s="90">
        <f t="shared" si="48"/>
        <v>0</v>
      </c>
      <c r="J359" s="90">
        <f t="shared" si="49"/>
        <v>0</v>
      </c>
      <c r="K359" s="91">
        <f t="shared" si="50"/>
        <v>0.72916666666666674</v>
      </c>
      <c r="L359" s="91">
        <f t="shared" si="51"/>
        <v>3.333333333333333</v>
      </c>
      <c r="M359" s="29">
        <f t="shared" si="55"/>
        <v>12</v>
      </c>
      <c r="N359" s="92">
        <f t="shared" si="52"/>
        <v>0</v>
      </c>
      <c r="O359" s="104">
        <f t="shared" si="53"/>
        <v>1.016</v>
      </c>
      <c r="P359" s="105">
        <f t="shared" si="54"/>
        <v>0</v>
      </c>
    </row>
    <row r="360" spans="2:16" x14ac:dyDescent="0.25">
      <c r="B360" s="88" t="s">
        <v>18</v>
      </c>
      <c r="C360" s="106">
        <f t="shared" si="47"/>
        <v>2020</v>
      </c>
      <c r="D360" s="101">
        <v>43919</v>
      </c>
      <c r="E360" s="102"/>
      <c r="F360" s="103"/>
      <c r="G360" s="103"/>
      <c r="H360" s="103"/>
      <c r="I360" s="90">
        <f t="shared" si="48"/>
        <v>0</v>
      </c>
      <c r="J360" s="90">
        <f t="shared" si="49"/>
        <v>0</v>
      </c>
      <c r="K360" s="91">
        <f t="shared" si="50"/>
        <v>0.72916666666666674</v>
      </c>
      <c r="L360" s="91">
        <f t="shared" si="51"/>
        <v>3.333333333333333</v>
      </c>
      <c r="M360" s="29">
        <f t="shared" si="55"/>
        <v>12</v>
      </c>
      <c r="N360" s="92">
        <f t="shared" si="52"/>
        <v>0</v>
      </c>
      <c r="O360" s="104">
        <f t="shared" si="53"/>
        <v>1.016</v>
      </c>
      <c r="P360" s="105">
        <f t="shared" si="54"/>
        <v>0</v>
      </c>
    </row>
    <row r="361" spans="2:16" x14ac:dyDescent="0.25">
      <c r="B361" s="88" t="s">
        <v>18</v>
      </c>
      <c r="C361" s="106">
        <f t="shared" si="47"/>
        <v>2020</v>
      </c>
      <c r="D361" s="101">
        <v>43920</v>
      </c>
      <c r="E361" s="102">
        <v>0.54166666666666663</v>
      </c>
      <c r="F361" s="103">
        <v>0.5625</v>
      </c>
      <c r="G361" s="103">
        <v>0.54166666666666663</v>
      </c>
      <c r="H361" s="103">
        <v>0.5625</v>
      </c>
      <c r="I361" s="90">
        <f t="shared" si="48"/>
        <v>0.50000000000000089</v>
      </c>
      <c r="J361" s="90">
        <f t="shared" si="49"/>
        <v>0.50000000000000089</v>
      </c>
      <c r="K361" s="91">
        <f t="shared" si="50"/>
        <v>0.72916666666666674</v>
      </c>
      <c r="L361" s="91">
        <f t="shared" si="51"/>
        <v>3.333333333333333</v>
      </c>
      <c r="M361" s="29">
        <f t="shared" si="55"/>
        <v>12</v>
      </c>
      <c r="N361" s="92">
        <f t="shared" si="52"/>
        <v>0.50000000000000089</v>
      </c>
      <c r="O361" s="104">
        <f t="shared" si="53"/>
        <v>1.016</v>
      </c>
      <c r="P361" s="105">
        <f t="shared" si="54"/>
        <v>4.267200000000007</v>
      </c>
    </row>
    <row r="362" spans="2:16" x14ac:dyDescent="0.25">
      <c r="B362" s="88" t="s">
        <v>18</v>
      </c>
      <c r="C362" s="106">
        <f t="shared" si="47"/>
        <v>2020</v>
      </c>
      <c r="D362" s="101">
        <v>43921</v>
      </c>
      <c r="E362" s="102"/>
      <c r="F362" s="103"/>
      <c r="G362" s="103"/>
      <c r="H362" s="103"/>
      <c r="I362" s="90">
        <f t="shared" si="48"/>
        <v>0</v>
      </c>
      <c r="J362" s="90">
        <f t="shared" si="49"/>
        <v>0</v>
      </c>
      <c r="K362" s="91">
        <f t="shared" si="50"/>
        <v>0.72916666666666674</v>
      </c>
      <c r="L362" s="91">
        <f t="shared" si="51"/>
        <v>3.333333333333333</v>
      </c>
      <c r="M362" s="29">
        <f t="shared" si="55"/>
        <v>12</v>
      </c>
      <c r="N362" s="92">
        <f t="shared" si="52"/>
        <v>0</v>
      </c>
      <c r="O362" s="104">
        <f t="shared" si="53"/>
        <v>1.016</v>
      </c>
      <c r="P362" s="105">
        <f t="shared" si="54"/>
        <v>0</v>
      </c>
    </row>
    <row r="363" spans="2:16" x14ac:dyDescent="0.25">
      <c r="B363" s="88" t="s">
        <v>18</v>
      </c>
      <c r="C363" s="106">
        <f t="shared" si="47"/>
        <v>2020</v>
      </c>
      <c r="D363" s="101">
        <v>43922</v>
      </c>
      <c r="E363" s="102"/>
      <c r="F363" s="103"/>
      <c r="G363" s="103"/>
      <c r="H363" s="103"/>
      <c r="I363" s="90">
        <f t="shared" si="48"/>
        <v>0</v>
      </c>
      <c r="J363" s="90">
        <f t="shared" si="49"/>
        <v>0</v>
      </c>
      <c r="K363" s="91">
        <f t="shared" si="50"/>
        <v>0.72916666666666674</v>
      </c>
      <c r="L363" s="91">
        <f t="shared" si="51"/>
        <v>3.333333333333333</v>
      </c>
      <c r="M363" s="29">
        <f t="shared" si="55"/>
        <v>12</v>
      </c>
      <c r="N363" s="92">
        <f t="shared" si="52"/>
        <v>0</v>
      </c>
      <c r="O363" s="104">
        <f t="shared" si="53"/>
        <v>1.016</v>
      </c>
      <c r="P363" s="105">
        <f t="shared" si="54"/>
        <v>0</v>
      </c>
    </row>
    <row r="364" spans="2:16" x14ac:dyDescent="0.25">
      <c r="B364" s="88" t="s">
        <v>18</v>
      </c>
      <c r="C364" s="106">
        <f t="shared" si="47"/>
        <v>2020</v>
      </c>
      <c r="D364" s="101">
        <v>43923</v>
      </c>
      <c r="E364" s="102"/>
      <c r="F364" s="103"/>
      <c r="G364" s="103"/>
      <c r="H364" s="103"/>
      <c r="I364" s="90">
        <f t="shared" si="48"/>
        <v>0</v>
      </c>
      <c r="J364" s="90">
        <f t="shared" si="49"/>
        <v>0</v>
      </c>
      <c r="K364" s="91">
        <f t="shared" si="50"/>
        <v>0.72916666666666674</v>
      </c>
      <c r="L364" s="91">
        <f t="shared" si="51"/>
        <v>3.333333333333333</v>
      </c>
      <c r="M364" s="29">
        <f t="shared" si="55"/>
        <v>12</v>
      </c>
      <c r="N364" s="92">
        <f t="shared" si="52"/>
        <v>0</v>
      </c>
      <c r="O364" s="104">
        <f t="shared" si="53"/>
        <v>1.016</v>
      </c>
      <c r="P364" s="105">
        <f t="shared" si="54"/>
        <v>0</v>
      </c>
    </row>
    <row r="365" spans="2:16" x14ac:dyDescent="0.25">
      <c r="B365" s="88" t="s">
        <v>18</v>
      </c>
      <c r="C365" s="106">
        <f t="shared" si="47"/>
        <v>2020</v>
      </c>
      <c r="D365" s="101">
        <v>43924</v>
      </c>
      <c r="E365" s="102">
        <v>0.44791666666666669</v>
      </c>
      <c r="F365" s="103">
        <v>0.46875</v>
      </c>
      <c r="G365" s="103">
        <v>0.44791666666666669</v>
      </c>
      <c r="H365" s="103">
        <v>0.46875</v>
      </c>
      <c r="I365" s="90">
        <f t="shared" si="48"/>
        <v>0.49999999999999956</v>
      </c>
      <c r="J365" s="90">
        <f t="shared" si="49"/>
        <v>0.49999999999999956</v>
      </c>
      <c r="K365" s="91">
        <f t="shared" si="50"/>
        <v>0.72916666666666674</v>
      </c>
      <c r="L365" s="91">
        <f t="shared" si="51"/>
        <v>3.333333333333333</v>
      </c>
      <c r="M365" s="29">
        <f t="shared" si="55"/>
        <v>12</v>
      </c>
      <c r="N365" s="92">
        <f t="shared" si="52"/>
        <v>0.49999999999999956</v>
      </c>
      <c r="O365" s="104">
        <f t="shared" si="53"/>
        <v>1.016</v>
      </c>
      <c r="P365" s="105">
        <f t="shared" si="54"/>
        <v>4.2671999999999963</v>
      </c>
    </row>
    <row r="366" spans="2:16" x14ac:dyDescent="0.25">
      <c r="B366" s="88" t="s">
        <v>18</v>
      </c>
      <c r="C366" s="106">
        <f t="shared" si="47"/>
        <v>2020</v>
      </c>
      <c r="D366" s="101">
        <v>43925</v>
      </c>
      <c r="E366" s="102"/>
      <c r="F366" s="103"/>
      <c r="G366" s="103"/>
      <c r="H366" s="103"/>
      <c r="I366" s="90">
        <f t="shared" si="48"/>
        <v>0</v>
      </c>
      <c r="J366" s="90">
        <f t="shared" si="49"/>
        <v>0</v>
      </c>
      <c r="K366" s="91">
        <f t="shared" si="50"/>
        <v>0.72916666666666674</v>
      </c>
      <c r="L366" s="91">
        <f t="shared" si="51"/>
        <v>3.333333333333333</v>
      </c>
      <c r="M366" s="29">
        <f t="shared" si="55"/>
        <v>12</v>
      </c>
      <c r="N366" s="92">
        <f t="shared" si="52"/>
        <v>0</v>
      </c>
      <c r="O366" s="104">
        <f t="shared" si="53"/>
        <v>1.016</v>
      </c>
      <c r="P366" s="105">
        <f t="shared" si="54"/>
        <v>0</v>
      </c>
    </row>
    <row r="367" spans="2:16" x14ac:dyDescent="0.25">
      <c r="B367" s="88" t="s">
        <v>18</v>
      </c>
      <c r="C367" s="106">
        <f t="shared" si="47"/>
        <v>2020</v>
      </c>
      <c r="D367" s="101">
        <v>43926</v>
      </c>
      <c r="E367" s="102"/>
      <c r="F367" s="103"/>
      <c r="G367" s="103"/>
      <c r="H367" s="103"/>
      <c r="I367" s="90">
        <f t="shared" si="48"/>
        <v>0</v>
      </c>
      <c r="J367" s="90">
        <f t="shared" si="49"/>
        <v>0</v>
      </c>
      <c r="K367" s="91">
        <f t="shared" si="50"/>
        <v>0.72916666666666674</v>
      </c>
      <c r="L367" s="91">
        <f t="shared" si="51"/>
        <v>3.333333333333333</v>
      </c>
      <c r="M367" s="29">
        <f t="shared" si="55"/>
        <v>12</v>
      </c>
      <c r="N367" s="92">
        <f t="shared" si="52"/>
        <v>0</v>
      </c>
      <c r="O367" s="104">
        <f t="shared" si="53"/>
        <v>1.016</v>
      </c>
      <c r="P367" s="105">
        <f t="shared" si="54"/>
        <v>0</v>
      </c>
    </row>
    <row r="368" spans="2:16" x14ac:dyDescent="0.25">
      <c r="B368" s="88" t="s">
        <v>18</v>
      </c>
      <c r="C368" s="106">
        <f t="shared" si="47"/>
        <v>2020</v>
      </c>
      <c r="D368" s="101">
        <v>43927</v>
      </c>
      <c r="E368" s="102"/>
      <c r="F368" s="103"/>
      <c r="G368" s="103"/>
      <c r="H368" s="103"/>
      <c r="I368" s="90">
        <f t="shared" si="48"/>
        <v>0</v>
      </c>
      <c r="J368" s="90">
        <f t="shared" si="49"/>
        <v>0</v>
      </c>
      <c r="K368" s="91">
        <f t="shared" si="50"/>
        <v>0.72916666666666674</v>
      </c>
      <c r="L368" s="91">
        <f t="shared" si="51"/>
        <v>3.333333333333333</v>
      </c>
      <c r="M368" s="29">
        <f t="shared" si="55"/>
        <v>12</v>
      </c>
      <c r="N368" s="92">
        <f t="shared" si="52"/>
        <v>0</v>
      </c>
      <c r="O368" s="104">
        <f t="shared" si="53"/>
        <v>1.016</v>
      </c>
      <c r="P368" s="105">
        <f t="shared" si="54"/>
        <v>0</v>
      </c>
    </row>
    <row r="369" spans="2:16" x14ac:dyDescent="0.25">
      <c r="B369" s="88" t="s">
        <v>18</v>
      </c>
      <c r="C369" s="106">
        <f t="shared" si="47"/>
        <v>2020</v>
      </c>
      <c r="D369" s="101">
        <v>43928</v>
      </c>
      <c r="E369" s="102"/>
      <c r="F369" s="103"/>
      <c r="G369" s="103"/>
      <c r="H369" s="103"/>
      <c r="I369" s="90">
        <f t="shared" si="48"/>
        <v>0</v>
      </c>
      <c r="J369" s="90">
        <f t="shared" si="49"/>
        <v>0</v>
      </c>
      <c r="K369" s="91">
        <f t="shared" si="50"/>
        <v>0.72916666666666674</v>
      </c>
      <c r="L369" s="91">
        <f t="shared" si="51"/>
        <v>3.333333333333333</v>
      </c>
      <c r="M369" s="29">
        <f t="shared" si="55"/>
        <v>12</v>
      </c>
      <c r="N369" s="92">
        <f t="shared" si="52"/>
        <v>0</v>
      </c>
      <c r="O369" s="104">
        <f t="shared" si="53"/>
        <v>1.016</v>
      </c>
      <c r="P369" s="105">
        <f t="shared" si="54"/>
        <v>0</v>
      </c>
    </row>
    <row r="370" spans="2:16" x14ac:dyDescent="0.25">
      <c r="B370" s="88" t="s">
        <v>18</v>
      </c>
      <c r="C370" s="106">
        <f t="shared" si="47"/>
        <v>2020</v>
      </c>
      <c r="D370" s="101">
        <v>43929</v>
      </c>
      <c r="E370" s="102"/>
      <c r="F370" s="103"/>
      <c r="G370" s="103"/>
      <c r="H370" s="103"/>
      <c r="I370" s="90">
        <f t="shared" si="48"/>
        <v>0</v>
      </c>
      <c r="J370" s="90">
        <f t="shared" si="49"/>
        <v>0</v>
      </c>
      <c r="K370" s="91">
        <f t="shared" si="50"/>
        <v>0.72916666666666674</v>
      </c>
      <c r="L370" s="91">
        <f t="shared" si="51"/>
        <v>3.333333333333333</v>
      </c>
      <c r="M370" s="29">
        <f t="shared" si="55"/>
        <v>12</v>
      </c>
      <c r="N370" s="92">
        <f t="shared" si="52"/>
        <v>0</v>
      </c>
      <c r="O370" s="104">
        <f t="shared" si="53"/>
        <v>1.016</v>
      </c>
      <c r="P370" s="105">
        <f t="shared" si="54"/>
        <v>0</v>
      </c>
    </row>
    <row r="371" spans="2:16" x14ac:dyDescent="0.25">
      <c r="B371" s="88" t="s">
        <v>18</v>
      </c>
      <c r="C371" s="106">
        <f t="shared" si="47"/>
        <v>2020</v>
      </c>
      <c r="D371" s="101">
        <v>43930</v>
      </c>
      <c r="E371" s="102"/>
      <c r="F371" s="103"/>
      <c r="G371" s="103"/>
      <c r="H371" s="103"/>
      <c r="I371" s="90">
        <f t="shared" si="48"/>
        <v>0</v>
      </c>
      <c r="J371" s="90">
        <f t="shared" si="49"/>
        <v>0</v>
      </c>
      <c r="K371" s="91">
        <f t="shared" si="50"/>
        <v>0.72916666666666674</v>
      </c>
      <c r="L371" s="91">
        <f t="shared" si="51"/>
        <v>3.333333333333333</v>
      </c>
      <c r="M371" s="29">
        <f t="shared" si="55"/>
        <v>12</v>
      </c>
      <c r="N371" s="92">
        <f t="shared" si="52"/>
        <v>0</v>
      </c>
      <c r="O371" s="104">
        <f t="shared" si="53"/>
        <v>1.016</v>
      </c>
      <c r="P371" s="105">
        <f t="shared" si="54"/>
        <v>0</v>
      </c>
    </row>
    <row r="372" spans="2:16" x14ac:dyDescent="0.25">
      <c r="B372" s="88" t="s">
        <v>18</v>
      </c>
      <c r="C372" s="106">
        <f t="shared" si="47"/>
        <v>2020</v>
      </c>
      <c r="D372" s="101">
        <v>43931</v>
      </c>
      <c r="E372" s="102"/>
      <c r="F372" s="103"/>
      <c r="G372" s="103"/>
      <c r="H372" s="103"/>
      <c r="I372" s="90">
        <f t="shared" si="48"/>
        <v>0</v>
      </c>
      <c r="J372" s="90">
        <f t="shared" si="49"/>
        <v>0</v>
      </c>
      <c r="K372" s="91">
        <f t="shared" si="50"/>
        <v>0.72916666666666674</v>
      </c>
      <c r="L372" s="91">
        <f t="shared" si="51"/>
        <v>3.333333333333333</v>
      </c>
      <c r="M372" s="29">
        <f t="shared" si="55"/>
        <v>12</v>
      </c>
      <c r="N372" s="92">
        <f t="shared" si="52"/>
        <v>0</v>
      </c>
      <c r="O372" s="104">
        <f t="shared" si="53"/>
        <v>1.016</v>
      </c>
      <c r="P372" s="105">
        <f t="shared" si="54"/>
        <v>0</v>
      </c>
    </row>
    <row r="373" spans="2:16" x14ac:dyDescent="0.25">
      <c r="B373" s="88" t="s">
        <v>18</v>
      </c>
      <c r="C373" s="106">
        <f t="shared" si="47"/>
        <v>2020</v>
      </c>
      <c r="D373" s="101">
        <v>43932</v>
      </c>
      <c r="E373" s="102">
        <v>0.5</v>
      </c>
      <c r="F373" s="103">
        <v>0.52083333333333337</v>
      </c>
      <c r="G373" s="103">
        <v>0.5</v>
      </c>
      <c r="H373" s="103">
        <v>0.52083333333333337</v>
      </c>
      <c r="I373" s="90">
        <f t="shared" si="48"/>
        <v>0.50000000000000089</v>
      </c>
      <c r="J373" s="90">
        <f t="shared" si="49"/>
        <v>0.50000000000000089</v>
      </c>
      <c r="K373" s="91">
        <f t="shared" si="50"/>
        <v>0.72916666666666674</v>
      </c>
      <c r="L373" s="91">
        <f t="shared" si="51"/>
        <v>3.333333333333333</v>
      </c>
      <c r="M373" s="29">
        <f t="shared" si="55"/>
        <v>12</v>
      </c>
      <c r="N373" s="92">
        <f t="shared" si="52"/>
        <v>0.50000000000000089</v>
      </c>
      <c r="O373" s="104">
        <f t="shared" si="53"/>
        <v>1.016</v>
      </c>
      <c r="P373" s="105">
        <f t="shared" si="54"/>
        <v>4.267200000000007</v>
      </c>
    </row>
    <row r="374" spans="2:16" x14ac:dyDescent="0.25">
      <c r="B374" s="88" t="s">
        <v>18</v>
      </c>
      <c r="C374" s="106">
        <f t="shared" si="47"/>
        <v>2020</v>
      </c>
      <c r="D374" s="101">
        <v>43933</v>
      </c>
      <c r="E374" s="102"/>
      <c r="F374" s="103"/>
      <c r="G374" s="103"/>
      <c r="H374" s="103"/>
      <c r="I374" s="90">
        <f t="shared" si="48"/>
        <v>0</v>
      </c>
      <c r="J374" s="90">
        <f t="shared" si="49"/>
        <v>0</v>
      </c>
      <c r="K374" s="91">
        <f t="shared" si="50"/>
        <v>0.72916666666666674</v>
      </c>
      <c r="L374" s="91">
        <f t="shared" si="51"/>
        <v>3.333333333333333</v>
      </c>
      <c r="M374" s="29">
        <f t="shared" si="55"/>
        <v>12</v>
      </c>
      <c r="N374" s="92">
        <f t="shared" si="52"/>
        <v>0</v>
      </c>
      <c r="O374" s="104">
        <f t="shared" si="53"/>
        <v>1.016</v>
      </c>
      <c r="P374" s="105">
        <f t="shared" si="54"/>
        <v>0</v>
      </c>
    </row>
    <row r="375" spans="2:16" x14ac:dyDescent="0.25">
      <c r="B375" s="88" t="s">
        <v>18</v>
      </c>
      <c r="C375" s="106">
        <f t="shared" si="47"/>
        <v>2020</v>
      </c>
      <c r="D375" s="101">
        <v>43934</v>
      </c>
      <c r="E375" s="102"/>
      <c r="F375" s="103"/>
      <c r="G375" s="103"/>
      <c r="H375" s="103"/>
      <c r="I375" s="90">
        <f t="shared" si="48"/>
        <v>0</v>
      </c>
      <c r="J375" s="90">
        <f t="shared" si="49"/>
        <v>0</v>
      </c>
      <c r="K375" s="91">
        <f t="shared" si="50"/>
        <v>0.72916666666666674</v>
      </c>
      <c r="L375" s="91">
        <f t="shared" si="51"/>
        <v>3.333333333333333</v>
      </c>
      <c r="M375" s="29">
        <f t="shared" si="55"/>
        <v>12</v>
      </c>
      <c r="N375" s="92">
        <f t="shared" si="52"/>
        <v>0</v>
      </c>
      <c r="O375" s="104">
        <f t="shared" si="53"/>
        <v>1.016</v>
      </c>
      <c r="P375" s="105">
        <f t="shared" si="54"/>
        <v>0</v>
      </c>
    </row>
    <row r="376" spans="2:16" x14ac:dyDescent="0.25">
      <c r="B376" s="88" t="s">
        <v>18</v>
      </c>
      <c r="C376" s="106">
        <f t="shared" si="47"/>
        <v>2020</v>
      </c>
      <c r="D376" s="101">
        <v>43935</v>
      </c>
      <c r="E376" s="102"/>
      <c r="F376" s="103"/>
      <c r="G376" s="103"/>
      <c r="H376" s="103"/>
      <c r="I376" s="90">
        <f t="shared" si="48"/>
        <v>0</v>
      </c>
      <c r="J376" s="90">
        <f t="shared" si="49"/>
        <v>0</v>
      </c>
      <c r="K376" s="91">
        <f t="shared" si="50"/>
        <v>0.72916666666666674</v>
      </c>
      <c r="L376" s="91">
        <f t="shared" si="51"/>
        <v>3.333333333333333</v>
      </c>
      <c r="M376" s="29">
        <f t="shared" si="55"/>
        <v>12</v>
      </c>
      <c r="N376" s="92">
        <f t="shared" si="52"/>
        <v>0</v>
      </c>
      <c r="O376" s="104">
        <f t="shared" si="53"/>
        <v>1.016</v>
      </c>
      <c r="P376" s="105">
        <f t="shared" si="54"/>
        <v>0</v>
      </c>
    </row>
    <row r="377" spans="2:16" x14ac:dyDescent="0.25">
      <c r="B377" s="88" t="s">
        <v>18</v>
      </c>
      <c r="C377" s="106">
        <f t="shared" si="47"/>
        <v>2020</v>
      </c>
      <c r="D377" s="101">
        <v>43936</v>
      </c>
      <c r="E377" s="102"/>
      <c r="F377" s="103"/>
      <c r="G377" s="103"/>
      <c r="H377" s="103"/>
      <c r="I377" s="90">
        <f t="shared" si="48"/>
        <v>0</v>
      </c>
      <c r="J377" s="90">
        <f t="shared" si="49"/>
        <v>0</v>
      </c>
      <c r="K377" s="91">
        <f t="shared" si="50"/>
        <v>0.72916666666666674</v>
      </c>
      <c r="L377" s="91">
        <f t="shared" si="51"/>
        <v>3.333333333333333</v>
      </c>
      <c r="M377" s="29">
        <f t="shared" si="55"/>
        <v>12</v>
      </c>
      <c r="N377" s="92">
        <f t="shared" si="52"/>
        <v>0</v>
      </c>
      <c r="O377" s="104">
        <f t="shared" si="53"/>
        <v>1.016</v>
      </c>
      <c r="P377" s="105">
        <f t="shared" si="54"/>
        <v>0</v>
      </c>
    </row>
    <row r="378" spans="2:16" x14ac:dyDescent="0.25">
      <c r="B378" s="88" t="s">
        <v>18</v>
      </c>
      <c r="C378" s="106">
        <f t="shared" si="47"/>
        <v>2020</v>
      </c>
      <c r="D378" s="101">
        <v>43937</v>
      </c>
      <c r="E378" s="102"/>
      <c r="F378" s="103"/>
      <c r="G378" s="103"/>
      <c r="H378" s="103"/>
      <c r="I378" s="90">
        <f t="shared" si="48"/>
        <v>0</v>
      </c>
      <c r="J378" s="90">
        <f t="shared" si="49"/>
        <v>0</v>
      </c>
      <c r="K378" s="91">
        <f t="shared" si="50"/>
        <v>0.72916666666666674</v>
      </c>
      <c r="L378" s="91">
        <f t="shared" si="51"/>
        <v>3.333333333333333</v>
      </c>
      <c r="M378" s="29">
        <f t="shared" si="55"/>
        <v>12</v>
      </c>
      <c r="N378" s="92">
        <f t="shared" si="52"/>
        <v>0</v>
      </c>
      <c r="O378" s="104">
        <f t="shared" si="53"/>
        <v>1.016</v>
      </c>
      <c r="P378" s="105">
        <f t="shared" si="54"/>
        <v>0</v>
      </c>
    </row>
    <row r="379" spans="2:16" x14ac:dyDescent="0.25">
      <c r="B379" s="88" t="s">
        <v>18</v>
      </c>
      <c r="C379" s="106">
        <f t="shared" si="47"/>
        <v>2020</v>
      </c>
      <c r="D379" s="101">
        <v>43938</v>
      </c>
      <c r="E379" s="102">
        <v>0.66666666666666663</v>
      </c>
      <c r="F379" s="103">
        <v>0.6875</v>
      </c>
      <c r="G379" s="103">
        <v>0.66666666666666663</v>
      </c>
      <c r="H379" s="103">
        <v>0.6875</v>
      </c>
      <c r="I379" s="90">
        <f t="shared" si="48"/>
        <v>0.50000000000000089</v>
      </c>
      <c r="J379" s="90">
        <f t="shared" si="49"/>
        <v>0.50000000000000089</v>
      </c>
      <c r="K379" s="91">
        <f t="shared" si="50"/>
        <v>0.72916666666666674</v>
      </c>
      <c r="L379" s="91">
        <f t="shared" si="51"/>
        <v>3.333333333333333</v>
      </c>
      <c r="M379" s="29">
        <f t="shared" si="55"/>
        <v>12</v>
      </c>
      <c r="N379" s="92">
        <f t="shared" si="52"/>
        <v>0.50000000000000089</v>
      </c>
      <c r="O379" s="104">
        <f t="shared" si="53"/>
        <v>1.016</v>
      </c>
      <c r="P379" s="105">
        <f t="shared" si="54"/>
        <v>4.267200000000007</v>
      </c>
    </row>
    <row r="380" spans="2:16" x14ac:dyDescent="0.25">
      <c r="B380" s="88" t="s">
        <v>18</v>
      </c>
      <c r="C380" s="106">
        <f t="shared" si="47"/>
        <v>2020</v>
      </c>
      <c r="D380" s="101">
        <v>43939</v>
      </c>
      <c r="E380" s="102"/>
      <c r="F380" s="103"/>
      <c r="G380" s="103"/>
      <c r="H380" s="103"/>
      <c r="I380" s="90">
        <f t="shared" si="48"/>
        <v>0</v>
      </c>
      <c r="J380" s="90">
        <f t="shared" si="49"/>
        <v>0</v>
      </c>
      <c r="K380" s="91">
        <f t="shared" si="50"/>
        <v>0.72916666666666674</v>
      </c>
      <c r="L380" s="91">
        <f t="shared" si="51"/>
        <v>3.333333333333333</v>
      </c>
      <c r="M380" s="29">
        <f t="shared" si="55"/>
        <v>12</v>
      </c>
      <c r="N380" s="92">
        <f t="shared" si="52"/>
        <v>0</v>
      </c>
      <c r="O380" s="104">
        <f t="shared" si="53"/>
        <v>1.016</v>
      </c>
      <c r="P380" s="105">
        <f t="shared" si="54"/>
        <v>0</v>
      </c>
    </row>
    <row r="381" spans="2:16" x14ac:dyDescent="0.25">
      <c r="B381" s="88" t="s">
        <v>18</v>
      </c>
      <c r="C381" s="106">
        <f t="shared" si="47"/>
        <v>2020</v>
      </c>
      <c r="D381" s="101">
        <v>43940</v>
      </c>
      <c r="E381" s="102"/>
      <c r="F381" s="103"/>
      <c r="G381" s="103"/>
      <c r="H381" s="103"/>
      <c r="I381" s="90">
        <f t="shared" si="48"/>
        <v>0</v>
      </c>
      <c r="J381" s="90">
        <f t="shared" si="49"/>
        <v>0</v>
      </c>
      <c r="K381" s="91">
        <f t="shared" si="50"/>
        <v>0.72916666666666674</v>
      </c>
      <c r="L381" s="91">
        <f t="shared" si="51"/>
        <v>3.333333333333333</v>
      </c>
      <c r="M381" s="29">
        <f t="shared" si="55"/>
        <v>12</v>
      </c>
      <c r="N381" s="92">
        <f t="shared" si="52"/>
        <v>0</v>
      </c>
      <c r="O381" s="104">
        <f t="shared" si="53"/>
        <v>1.016</v>
      </c>
      <c r="P381" s="105">
        <f t="shared" si="54"/>
        <v>0</v>
      </c>
    </row>
    <row r="382" spans="2:16" x14ac:dyDescent="0.25">
      <c r="B382" s="88" t="s">
        <v>18</v>
      </c>
      <c r="C382" s="106">
        <f t="shared" si="47"/>
        <v>2020</v>
      </c>
      <c r="D382" s="101">
        <v>43941</v>
      </c>
      <c r="E382" s="102"/>
      <c r="F382" s="103"/>
      <c r="G382" s="103"/>
      <c r="H382" s="103"/>
      <c r="I382" s="90">
        <f t="shared" si="48"/>
        <v>0</v>
      </c>
      <c r="J382" s="90">
        <f t="shared" si="49"/>
        <v>0</v>
      </c>
      <c r="K382" s="91">
        <f t="shared" si="50"/>
        <v>0.72916666666666674</v>
      </c>
      <c r="L382" s="91">
        <f t="shared" si="51"/>
        <v>3.333333333333333</v>
      </c>
      <c r="M382" s="29">
        <f t="shared" si="55"/>
        <v>12</v>
      </c>
      <c r="N382" s="92">
        <f t="shared" si="52"/>
        <v>0</v>
      </c>
      <c r="O382" s="104">
        <f t="shared" si="53"/>
        <v>1.016</v>
      </c>
      <c r="P382" s="105">
        <f t="shared" si="54"/>
        <v>0</v>
      </c>
    </row>
    <row r="383" spans="2:16" x14ac:dyDescent="0.25">
      <c r="B383" s="88" t="s">
        <v>18</v>
      </c>
      <c r="C383" s="106">
        <f t="shared" si="47"/>
        <v>2020</v>
      </c>
      <c r="D383" s="101">
        <v>43942</v>
      </c>
      <c r="E383" s="102"/>
      <c r="F383" s="103"/>
      <c r="G383" s="103"/>
      <c r="H383" s="103"/>
      <c r="I383" s="90">
        <f t="shared" si="48"/>
        <v>0</v>
      </c>
      <c r="J383" s="90">
        <f t="shared" si="49"/>
        <v>0</v>
      </c>
      <c r="K383" s="91">
        <f t="shared" si="50"/>
        <v>0.72916666666666674</v>
      </c>
      <c r="L383" s="91">
        <f t="shared" si="51"/>
        <v>3.333333333333333</v>
      </c>
      <c r="M383" s="29">
        <f t="shared" si="55"/>
        <v>12</v>
      </c>
      <c r="N383" s="92">
        <f t="shared" si="52"/>
        <v>0</v>
      </c>
      <c r="O383" s="104">
        <f t="shared" si="53"/>
        <v>1.016</v>
      </c>
      <c r="P383" s="105">
        <f t="shared" si="54"/>
        <v>0</v>
      </c>
    </row>
    <row r="384" spans="2:16" x14ac:dyDescent="0.25">
      <c r="B384" s="88" t="s">
        <v>18</v>
      </c>
      <c r="C384" s="106">
        <f t="shared" si="47"/>
        <v>2020</v>
      </c>
      <c r="D384" s="101">
        <v>43943</v>
      </c>
      <c r="E384" s="102"/>
      <c r="F384" s="103"/>
      <c r="G384" s="103"/>
      <c r="H384" s="103"/>
      <c r="I384" s="90">
        <f t="shared" si="48"/>
        <v>0</v>
      </c>
      <c r="J384" s="90">
        <f t="shared" si="49"/>
        <v>0</v>
      </c>
      <c r="K384" s="91">
        <f t="shared" si="50"/>
        <v>0.72916666666666674</v>
      </c>
      <c r="L384" s="91">
        <f t="shared" si="51"/>
        <v>3.333333333333333</v>
      </c>
      <c r="M384" s="29">
        <f t="shared" si="55"/>
        <v>12</v>
      </c>
      <c r="N384" s="92">
        <f t="shared" si="52"/>
        <v>0</v>
      </c>
      <c r="O384" s="104">
        <f t="shared" si="53"/>
        <v>1.016</v>
      </c>
      <c r="P384" s="105">
        <f t="shared" si="54"/>
        <v>0</v>
      </c>
    </row>
    <row r="385" spans="2:16" x14ac:dyDescent="0.25">
      <c r="B385" s="88" t="s">
        <v>18</v>
      </c>
      <c r="C385" s="106">
        <f t="shared" si="47"/>
        <v>2020</v>
      </c>
      <c r="D385" s="101">
        <v>43944</v>
      </c>
      <c r="E385" s="102">
        <v>0.52083333333333337</v>
      </c>
      <c r="F385" s="103">
        <v>0.54166666666666663</v>
      </c>
      <c r="G385" s="103">
        <v>0.52083333333333337</v>
      </c>
      <c r="H385" s="103">
        <v>0.54166666666666663</v>
      </c>
      <c r="I385" s="90">
        <f t="shared" si="48"/>
        <v>0.49999999999999822</v>
      </c>
      <c r="J385" s="90">
        <f t="shared" si="49"/>
        <v>0.49999999999999822</v>
      </c>
      <c r="K385" s="91">
        <f t="shared" si="50"/>
        <v>0.72916666666666674</v>
      </c>
      <c r="L385" s="91">
        <f t="shared" si="51"/>
        <v>3.333333333333333</v>
      </c>
      <c r="M385" s="29">
        <f t="shared" si="55"/>
        <v>12</v>
      </c>
      <c r="N385" s="92">
        <f t="shared" si="52"/>
        <v>0.49999999999999822</v>
      </c>
      <c r="O385" s="104">
        <f t="shared" si="53"/>
        <v>1.016</v>
      </c>
      <c r="P385" s="105">
        <f t="shared" si="54"/>
        <v>4.2671999999999848</v>
      </c>
    </row>
    <row r="386" spans="2:16" x14ac:dyDescent="0.25">
      <c r="B386" s="88" t="s">
        <v>18</v>
      </c>
      <c r="C386" s="106">
        <f t="shared" si="47"/>
        <v>2020</v>
      </c>
      <c r="D386" s="101">
        <v>43945</v>
      </c>
      <c r="E386" s="102"/>
      <c r="F386" s="103"/>
      <c r="G386" s="103"/>
      <c r="H386" s="103"/>
      <c r="I386" s="90">
        <f t="shared" si="48"/>
        <v>0</v>
      </c>
      <c r="J386" s="90">
        <f t="shared" si="49"/>
        <v>0</v>
      </c>
      <c r="K386" s="91">
        <f t="shared" si="50"/>
        <v>0.72916666666666674</v>
      </c>
      <c r="L386" s="91">
        <f t="shared" si="51"/>
        <v>3.333333333333333</v>
      </c>
      <c r="M386" s="29">
        <f t="shared" si="55"/>
        <v>12</v>
      </c>
      <c r="N386" s="92">
        <f t="shared" si="52"/>
        <v>0</v>
      </c>
      <c r="O386" s="104">
        <f t="shared" si="53"/>
        <v>1.016</v>
      </c>
      <c r="P386" s="105">
        <f t="shared" si="54"/>
        <v>0</v>
      </c>
    </row>
    <row r="387" spans="2:16" x14ac:dyDescent="0.25">
      <c r="B387" s="88" t="s">
        <v>18</v>
      </c>
      <c r="C387" s="106">
        <f t="shared" si="47"/>
        <v>2020</v>
      </c>
      <c r="D387" s="101">
        <v>43946</v>
      </c>
      <c r="E387" s="102"/>
      <c r="F387" s="103"/>
      <c r="G387" s="103"/>
      <c r="H387" s="103"/>
      <c r="I387" s="90">
        <f t="shared" si="48"/>
        <v>0</v>
      </c>
      <c r="J387" s="90">
        <f t="shared" si="49"/>
        <v>0</v>
      </c>
      <c r="K387" s="91">
        <f t="shared" si="50"/>
        <v>0.72916666666666674</v>
      </c>
      <c r="L387" s="91">
        <f t="shared" si="51"/>
        <v>3.333333333333333</v>
      </c>
      <c r="M387" s="29">
        <f t="shared" si="55"/>
        <v>12</v>
      </c>
      <c r="N387" s="92">
        <f t="shared" si="52"/>
        <v>0</v>
      </c>
      <c r="O387" s="104">
        <f t="shared" si="53"/>
        <v>1.016</v>
      </c>
      <c r="P387" s="105">
        <f t="shared" si="54"/>
        <v>0</v>
      </c>
    </row>
    <row r="388" spans="2:16" x14ac:dyDescent="0.25">
      <c r="B388" s="88" t="s">
        <v>18</v>
      </c>
      <c r="C388" s="106">
        <f t="shared" si="47"/>
        <v>2020</v>
      </c>
      <c r="D388" s="101">
        <v>43947</v>
      </c>
      <c r="E388" s="102"/>
      <c r="F388" s="103"/>
      <c r="G388" s="103"/>
      <c r="H388" s="103"/>
      <c r="I388" s="90">
        <f t="shared" si="48"/>
        <v>0</v>
      </c>
      <c r="J388" s="90">
        <f t="shared" si="49"/>
        <v>0</v>
      </c>
      <c r="K388" s="91">
        <f t="shared" si="50"/>
        <v>0.72916666666666674</v>
      </c>
      <c r="L388" s="91">
        <f t="shared" si="51"/>
        <v>3.333333333333333</v>
      </c>
      <c r="M388" s="29">
        <f t="shared" si="55"/>
        <v>12</v>
      </c>
      <c r="N388" s="92">
        <f t="shared" si="52"/>
        <v>0</v>
      </c>
      <c r="O388" s="104">
        <f t="shared" si="53"/>
        <v>1.016</v>
      </c>
      <c r="P388" s="105">
        <f t="shared" si="54"/>
        <v>0</v>
      </c>
    </row>
    <row r="389" spans="2:16" x14ac:dyDescent="0.25">
      <c r="B389" s="88" t="s">
        <v>18</v>
      </c>
      <c r="C389" s="106">
        <f t="shared" si="47"/>
        <v>2020</v>
      </c>
      <c r="D389" s="101">
        <v>43948</v>
      </c>
      <c r="E389" s="102"/>
      <c r="F389" s="103"/>
      <c r="G389" s="103"/>
      <c r="H389" s="103"/>
      <c r="I389" s="90">
        <f t="shared" si="48"/>
        <v>0</v>
      </c>
      <c r="J389" s="90">
        <f t="shared" si="49"/>
        <v>0</v>
      </c>
      <c r="K389" s="91">
        <f t="shared" si="50"/>
        <v>0.72916666666666674</v>
      </c>
      <c r="L389" s="91">
        <f t="shared" si="51"/>
        <v>3.333333333333333</v>
      </c>
      <c r="M389" s="29">
        <f t="shared" si="55"/>
        <v>12</v>
      </c>
      <c r="N389" s="92">
        <f t="shared" si="52"/>
        <v>0</v>
      </c>
      <c r="O389" s="104">
        <f t="shared" si="53"/>
        <v>1.016</v>
      </c>
      <c r="P389" s="105">
        <f t="shared" si="54"/>
        <v>0</v>
      </c>
    </row>
    <row r="390" spans="2:16" x14ac:dyDescent="0.25">
      <c r="B390" s="88" t="s">
        <v>18</v>
      </c>
      <c r="C390" s="106">
        <f t="shared" si="47"/>
        <v>2020</v>
      </c>
      <c r="D390" s="101">
        <v>43949</v>
      </c>
      <c r="E390" s="102">
        <v>0.70833333333333337</v>
      </c>
      <c r="F390" s="103">
        <v>0.72916666666666663</v>
      </c>
      <c r="G390" s="103">
        <v>0.70833333333333337</v>
      </c>
      <c r="H390" s="103">
        <v>0.72916666666666663</v>
      </c>
      <c r="I390" s="90">
        <f t="shared" si="48"/>
        <v>0.49999999999999822</v>
      </c>
      <c r="J390" s="90">
        <f t="shared" si="49"/>
        <v>0.49999999999999822</v>
      </c>
      <c r="K390" s="91">
        <f t="shared" si="50"/>
        <v>0.72916666666666674</v>
      </c>
      <c r="L390" s="91">
        <f t="shared" si="51"/>
        <v>3.333333333333333</v>
      </c>
      <c r="M390" s="29">
        <f t="shared" si="55"/>
        <v>12</v>
      </c>
      <c r="N390" s="92">
        <f t="shared" si="52"/>
        <v>0.49999999999999822</v>
      </c>
      <c r="O390" s="104">
        <f t="shared" si="53"/>
        <v>1.016</v>
      </c>
      <c r="P390" s="105">
        <f t="shared" si="54"/>
        <v>4.2671999999999848</v>
      </c>
    </row>
    <row r="391" spans="2:16" x14ac:dyDescent="0.25">
      <c r="B391" s="88" t="s">
        <v>18</v>
      </c>
      <c r="C391" s="106">
        <f t="shared" si="47"/>
        <v>2020</v>
      </c>
      <c r="D391" s="101">
        <v>43950</v>
      </c>
      <c r="E391" s="102"/>
      <c r="F391" s="103"/>
      <c r="G391" s="103"/>
      <c r="H391" s="103"/>
      <c r="I391" s="90">
        <f t="shared" si="48"/>
        <v>0</v>
      </c>
      <c r="J391" s="90">
        <f t="shared" si="49"/>
        <v>0</v>
      </c>
      <c r="K391" s="91">
        <f t="shared" si="50"/>
        <v>0.72916666666666674</v>
      </c>
      <c r="L391" s="91">
        <f t="shared" si="51"/>
        <v>3.333333333333333</v>
      </c>
      <c r="M391" s="29">
        <f t="shared" si="55"/>
        <v>12</v>
      </c>
      <c r="N391" s="92">
        <f t="shared" si="52"/>
        <v>0</v>
      </c>
      <c r="O391" s="104">
        <f t="shared" si="53"/>
        <v>1.016</v>
      </c>
      <c r="P391" s="105">
        <f t="shared" si="54"/>
        <v>0</v>
      </c>
    </row>
    <row r="392" spans="2:16" x14ac:dyDescent="0.25">
      <c r="B392" s="88" t="s">
        <v>18</v>
      </c>
      <c r="C392" s="106">
        <f t="shared" si="47"/>
        <v>2020</v>
      </c>
      <c r="D392" s="101">
        <v>43951</v>
      </c>
      <c r="E392" s="102"/>
      <c r="F392" s="103"/>
      <c r="G392" s="103"/>
      <c r="H392" s="103"/>
      <c r="I392" s="90">
        <f t="shared" si="48"/>
        <v>0</v>
      </c>
      <c r="J392" s="90">
        <f t="shared" si="49"/>
        <v>0</v>
      </c>
      <c r="K392" s="91">
        <f t="shared" si="50"/>
        <v>0.72916666666666674</v>
      </c>
      <c r="L392" s="91">
        <f t="shared" si="51"/>
        <v>3.333333333333333</v>
      </c>
      <c r="M392" s="29">
        <f t="shared" si="55"/>
        <v>12</v>
      </c>
      <c r="N392" s="92">
        <f t="shared" si="52"/>
        <v>0</v>
      </c>
      <c r="O392" s="104">
        <f t="shared" si="53"/>
        <v>1.016</v>
      </c>
      <c r="P392" s="105">
        <f t="shared" si="54"/>
        <v>0</v>
      </c>
    </row>
    <row r="393" spans="2:16" x14ac:dyDescent="0.25">
      <c r="B393" s="88" t="s">
        <v>18</v>
      </c>
      <c r="C393" s="106">
        <f t="shared" si="47"/>
        <v>2020</v>
      </c>
      <c r="D393" s="101">
        <v>43952</v>
      </c>
      <c r="E393" s="102"/>
      <c r="F393" s="103"/>
      <c r="G393" s="103"/>
      <c r="H393" s="103"/>
      <c r="I393" s="90">
        <f t="shared" si="48"/>
        <v>0</v>
      </c>
      <c r="J393" s="90">
        <f t="shared" si="49"/>
        <v>0</v>
      </c>
      <c r="K393" s="91">
        <f t="shared" si="50"/>
        <v>0.72916666666666674</v>
      </c>
      <c r="L393" s="91">
        <f t="shared" si="51"/>
        <v>3.333333333333333</v>
      </c>
      <c r="M393" s="29">
        <f t="shared" si="55"/>
        <v>12</v>
      </c>
      <c r="N393" s="92">
        <f t="shared" si="52"/>
        <v>0</v>
      </c>
      <c r="O393" s="104">
        <f t="shared" si="53"/>
        <v>1.016</v>
      </c>
      <c r="P393" s="105">
        <f t="shared" si="54"/>
        <v>0</v>
      </c>
    </row>
    <row r="394" spans="2:16" x14ac:dyDescent="0.25">
      <c r="B394" s="88" t="s">
        <v>18</v>
      </c>
      <c r="C394" s="106">
        <f t="shared" si="47"/>
        <v>2020</v>
      </c>
      <c r="D394" s="101">
        <v>43953</v>
      </c>
      <c r="E394" s="102"/>
      <c r="F394" s="103"/>
      <c r="G394" s="103"/>
      <c r="H394" s="103"/>
      <c r="I394" s="90">
        <f t="shared" si="48"/>
        <v>0</v>
      </c>
      <c r="J394" s="90">
        <f t="shared" si="49"/>
        <v>0</v>
      </c>
      <c r="K394" s="91">
        <f t="shared" si="50"/>
        <v>0.72916666666666674</v>
      </c>
      <c r="L394" s="91">
        <f t="shared" si="51"/>
        <v>3.333333333333333</v>
      </c>
      <c r="M394" s="29">
        <f t="shared" si="55"/>
        <v>12</v>
      </c>
      <c r="N394" s="92">
        <f t="shared" si="52"/>
        <v>0</v>
      </c>
      <c r="O394" s="104">
        <f t="shared" si="53"/>
        <v>1.016</v>
      </c>
      <c r="P394" s="105">
        <f t="shared" si="54"/>
        <v>0</v>
      </c>
    </row>
    <row r="395" spans="2:16" x14ac:dyDescent="0.25">
      <c r="B395" s="88" t="s">
        <v>18</v>
      </c>
      <c r="C395" s="106">
        <f t="shared" si="47"/>
        <v>2020</v>
      </c>
      <c r="D395" s="101">
        <v>43954</v>
      </c>
      <c r="E395" s="102"/>
      <c r="F395" s="103"/>
      <c r="G395" s="103"/>
      <c r="H395" s="103"/>
      <c r="I395" s="90">
        <f t="shared" si="48"/>
        <v>0</v>
      </c>
      <c r="J395" s="90">
        <f t="shared" si="49"/>
        <v>0</v>
      </c>
      <c r="K395" s="91">
        <f t="shared" si="50"/>
        <v>0.72916666666666674</v>
      </c>
      <c r="L395" s="91">
        <f t="shared" si="51"/>
        <v>3.333333333333333</v>
      </c>
      <c r="M395" s="29">
        <f t="shared" si="55"/>
        <v>12</v>
      </c>
      <c r="N395" s="92">
        <f t="shared" si="52"/>
        <v>0</v>
      </c>
      <c r="O395" s="104">
        <f t="shared" si="53"/>
        <v>1.016</v>
      </c>
      <c r="P395" s="105">
        <f t="shared" si="54"/>
        <v>0</v>
      </c>
    </row>
    <row r="396" spans="2:16" x14ac:dyDescent="0.25">
      <c r="B396" s="88" t="s">
        <v>18</v>
      </c>
      <c r="C396" s="106">
        <f t="shared" si="47"/>
        <v>2020</v>
      </c>
      <c r="D396" s="101">
        <v>43955</v>
      </c>
      <c r="E396" s="102"/>
      <c r="F396" s="103"/>
      <c r="G396" s="103"/>
      <c r="H396" s="103"/>
      <c r="I396" s="90">
        <f t="shared" si="48"/>
        <v>0</v>
      </c>
      <c r="J396" s="90">
        <f t="shared" si="49"/>
        <v>0</v>
      </c>
      <c r="K396" s="91">
        <f t="shared" si="50"/>
        <v>0.72916666666666674</v>
      </c>
      <c r="L396" s="91">
        <f t="shared" si="51"/>
        <v>3.333333333333333</v>
      </c>
      <c r="M396" s="29">
        <f t="shared" si="55"/>
        <v>12</v>
      </c>
      <c r="N396" s="92">
        <f t="shared" si="52"/>
        <v>0</v>
      </c>
      <c r="O396" s="104">
        <f t="shared" si="53"/>
        <v>1.016</v>
      </c>
      <c r="P396" s="105">
        <f t="shared" si="54"/>
        <v>0</v>
      </c>
    </row>
    <row r="397" spans="2:16" x14ac:dyDescent="0.25">
      <c r="B397" s="88" t="s">
        <v>18</v>
      </c>
      <c r="C397" s="106">
        <f t="shared" si="47"/>
        <v>2020</v>
      </c>
      <c r="D397" s="101">
        <v>43956</v>
      </c>
      <c r="E397" s="102"/>
      <c r="F397" s="103"/>
      <c r="G397" s="103"/>
      <c r="H397" s="103"/>
      <c r="I397" s="90">
        <f t="shared" si="48"/>
        <v>0</v>
      </c>
      <c r="J397" s="90">
        <f t="shared" si="49"/>
        <v>0</v>
      </c>
      <c r="K397" s="91">
        <f t="shared" si="50"/>
        <v>0.72916666666666674</v>
      </c>
      <c r="L397" s="91">
        <f t="shared" si="51"/>
        <v>3.333333333333333</v>
      </c>
      <c r="M397" s="29">
        <f t="shared" si="55"/>
        <v>12</v>
      </c>
      <c r="N397" s="92">
        <f t="shared" si="52"/>
        <v>0</v>
      </c>
      <c r="O397" s="104">
        <f t="shared" si="53"/>
        <v>1.016</v>
      </c>
      <c r="P397" s="105">
        <f t="shared" si="54"/>
        <v>0</v>
      </c>
    </row>
    <row r="398" spans="2:16" x14ac:dyDescent="0.25">
      <c r="B398" s="88" t="s">
        <v>18</v>
      </c>
      <c r="C398" s="106">
        <f t="shared" si="47"/>
        <v>2020</v>
      </c>
      <c r="D398" s="101">
        <v>43957</v>
      </c>
      <c r="E398" s="102">
        <v>0.54166666666666663</v>
      </c>
      <c r="F398" s="103">
        <v>0.5625</v>
      </c>
      <c r="G398" s="103">
        <v>0.54166666666666663</v>
      </c>
      <c r="H398" s="103">
        <v>0.5625</v>
      </c>
      <c r="I398" s="90">
        <f t="shared" si="48"/>
        <v>0.50000000000000089</v>
      </c>
      <c r="J398" s="90">
        <f t="shared" si="49"/>
        <v>0.50000000000000089</v>
      </c>
      <c r="K398" s="91">
        <f t="shared" si="50"/>
        <v>0.72916666666666674</v>
      </c>
      <c r="L398" s="91">
        <f t="shared" si="51"/>
        <v>3.333333333333333</v>
      </c>
      <c r="M398" s="29">
        <f t="shared" si="55"/>
        <v>12</v>
      </c>
      <c r="N398" s="92">
        <f t="shared" si="52"/>
        <v>0.50000000000000089</v>
      </c>
      <c r="O398" s="104">
        <f t="shared" si="53"/>
        <v>1.016</v>
      </c>
      <c r="P398" s="105">
        <f t="shared" si="54"/>
        <v>4.267200000000007</v>
      </c>
    </row>
    <row r="399" spans="2:16" x14ac:dyDescent="0.25">
      <c r="B399" s="88" t="s">
        <v>18</v>
      </c>
      <c r="C399" s="106">
        <f t="shared" si="47"/>
        <v>2020</v>
      </c>
      <c r="D399" s="101">
        <v>43958</v>
      </c>
      <c r="E399" s="102"/>
      <c r="F399" s="103"/>
      <c r="G399" s="103"/>
      <c r="H399" s="103"/>
      <c r="I399" s="90">
        <f t="shared" si="48"/>
        <v>0</v>
      </c>
      <c r="J399" s="90">
        <f t="shared" si="49"/>
        <v>0</v>
      </c>
      <c r="K399" s="91">
        <f t="shared" si="50"/>
        <v>0.72916666666666674</v>
      </c>
      <c r="L399" s="91">
        <f t="shared" si="51"/>
        <v>3.333333333333333</v>
      </c>
      <c r="M399" s="29">
        <f t="shared" si="55"/>
        <v>12</v>
      </c>
      <c r="N399" s="92">
        <f t="shared" si="52"/>
        <v>0</v>
      </c>
      <c r="O399" s="104">
        <f t="shared" si="53"/>
        <v>1.016</v>
      </c>
      <c r="P399" s="105">
        <f t="shared" si="54"/>
        <v>0</v>
      </c>
    </row>
    <row r="400" spans="2:16" x14ac:dyDescent="0.25">
      <c r="B400" s="88" t="s">
        <v>18</v>
      </c>
      <c r="C400" s="106">
        <f t="shared" si="47"/>
        <v>2020</v>
      </c>
      <c r="D400" s="101">
        <v>43959</v>
      </c>
      <c r="E400" s="102"/>
      <c r="F400" s="103"/>
      <c r="G400" s="103"/>
      <c r="H400" s="103"/>
      <c r="I400" s="90">
        <f t="shared" si="48"/>
        <v>0</v>
      </c>
      <c r="J400" s="90">
        <f t="shared" si="49"/>
        <v>0</v>
      </c>
      <c r="K400" s="91">
        <f t="shared" si="50"/>
        <v>0.72916666666666674</v>
      </c>
      <c r="L400" s="91">
        <f t="shared" si="51"/>
        <v>3.333333333333333</v>
      </c>
      <c r="M400" s="29">
        <f t="shared" si="55"/>
        <v>12</v>
      </c>
      <c r="N400" s="92">
        <f t="shared" si="52"/>
        <v>0</v>
      </c>
      <c r="O400" s="104">
        <f t="shared" si="53"/>
        <v>1.016</v>
      </c>
      <c r="P400" s="105">
        <f t="shared" si="54"/>
        <v>0</v>
      </c>
    </row>
    <row r="401" spans="2:16" x14ac:dyDescent="0.25">
      <c r="B401" s="88" t="s">
        <v>18</v>
      </c>
      <c r="C401" s="106">
        <f t="shared" si="47"/>
        <v>2020</v>
      </c>
      <c r="D401" s="101">
        <v>43960</v>
      </c>
      <c r="E401" s="102"/>
      <c r="F401" s="103"/>
      <c r="G401" s="103"/>
      <c r="H401" s="103"/>
      <c r="I401" s="90">
        <f t="shared" si="48"/>
        <v>0</v>
      </c>
      <c r="J401" s="90">
        <f t="shared" si="49"/>
        <v>0</v>
      </c>
      <c r="K401" s="91">
        <f t="shared" si="50"/>
        <v>0.72916666666666674</v>
      </c>
      <c r="L401" s="91">
        <f t="shared" si="51"/>
        <v>3.333333333333333</v>
      </c>
      <c r="M401" s="29">
        <f t="shared" si="55"/>
        <v>12</v>
      </c>
      <c r="N401" s="92">
        <f t="shared" si="52"/>
        <v>0</v>
      </c>
      <c r="O401" s="104">
        <f t="shared" si="53"/>
        <v>1.016</v>
      </c>
      <c r="P401" s="105">
        <f t="shared" si="54"/>
        <v>0</v>
      </c>
    </row>
    <row r="402" spans="2:16" x14ac:dyDescent="0.25">
      <c r="B402" s="88" t="s">
        <v>18</v>
      </c>
      <c r="C402" s="106">
        <f t="shared" si="47"/>
        <v>2020</v>
      </c>
      <c r="D402" s="101">
        <v>43961</v>
      </c>
      <c r="E402" s="102">
        <v>0.52083333333333337</v>
      </c>
      <c r="F402" s="103">
        <v>0.54166666666666663</v>
      </c>
      <c r="G402" s="103">
        <v>0.52083333333333337</v>
      </c>
      <c r="H402" s="103">
        <v>0.54166666666666663</v>
      </c>
      <c r="I402" s="90">
        <f t="shared" si="48"/>
        <v>0.49999999999999822</v>
      </c>
      <c r="J402" s="90">
        <f t="shared" si="49"/>
        <v>0.49999999999999822</v>
      </c>
      <c r="K402" s="91">
        <f t="shared" si="50"/>
        <v>0.72916666666666674</v>
      </c>
      <c r="L402" s="91">
        <f t="shared" si="51"/>
        <v>3.333333333333333</v>
      </c>
      <c r="M402" s="29">
        <f t="shared" si="55"/>
        <v>12</v>
      </c>
      <c r="N402" s="92">
        <f t="shared" si="52"/>
        <v>0.49999999999999822</v>
      </c>
      <c r="O402" s="104">
        <f t="shared" si="53"/>
        <v>1.016</v>
      </c>
      <c r="P402" s="105">
        <f t="shared" si="54"/>
        <v>4.2671999999999848</v>
      </c>
    </row>
    <row r="403" spans="2:16" x14ac:dyDescent="0.25">
      <c r="B403" s="88" t="s">
        <v>18</v>
      </c>
      <c r="C403" s="106">
        <f t="shared" si="47"/>
        <v>2020</v>
      </c>
      <c r="D403" s="101">
        <v>43962</v>
      </c>
      <c r="E403" s="102"/>
      <c r="F403" s="103"/>
      <c r="G403" s="103"/>
      <c r="H403" s="103"/>
      <c r="I403" s="90">
        <f t="shared" si="48"/>
        <v>0</v>
      </c>
      <c r="J403" s="90">
        <f t="shared" si="49"/>
        <v>0</v>
      </c>
      <c r="K403" s="91">
        <f t="shared" si="50"/>
        <v>0.72916666666666674</v>
      </c>
      <c r="L403" s="91">
        <f t="shared" si="51"/>
        <v>3.333333333333333</v>
      </c>
      <c r="M403" s="29">
        <f t="shared" si="55"/>
        <v>12</v>
      </c>
      <c r="N403" s="92">
        <f t="shared" si="52"/>
        <v>0</v>
      </c>
      <c r="O403" s="104">
        <f t="shared" si="53"/>
        <v>1.016</v>
      </c>
      <c r="P403" s="105">
        <f t="shared" si="54"/>
        <v>0</v>
      </c>
    </row>
    <row r="404" spans="2:16" x14ac:dyDescent="0.25">
      <c r="B404" s="88" t="s">
        <v>18</v>
      </c>
      <c r="C404" s="106">
        <f t="shared" si="47"/>
        <v>2020</v>
      </c>
      <c r="D404" s="101">
        <v>43963</v>
      </c>
      <c r="E404" s="102"/>
      <c r="F404" s="103"/>
      <c r="G404" s="103"/>
      <c r="H404" s="103"/>
      <c r="I404" s="90">
        <f t="shared" si="48"/>
        <v>0</v>
      </c>
      <c r="J404" s="90">
        <f t="shared" si="49"/>
        <v>0</v>
      </c>
      <c r="K404" s="91">
        <f t="shared" si="50"/>
        <v>0.72916666666666674</v>
      </c>
      <c r="L404" s="91">
        <f t="shared" si="51"/>
        <v>3.333333333333333</v>
      </c>
      <c r="M404" s="29">
        <f t="shared" si="55"/>
        <v>12</v>
      </c>
      <c r="N404" s="92">
        <f t="shared" si="52"/>
        <v>0</v>
      </c>
      <c r="O404" s="104">
        <f t="shared" si="53"/>
        <v>1.016</v>
      </c>
      <c r="P404" s="105">
        <f t="shared" si="54"/>
        <v>0</v>
      </c>
    </row>
    <row r="405" spans="2:16" x14ac:dyDescent="0.25">
      <c r="B405" s="88" t="s">
        <v>18</v>
      </c>
      <c r="C405" s="106">
        <f t="shared" si="47"/>
        <v>2020</v>
      </c>
      <c r="D405" s="101">
        <v>43964</v>
      </c>
      <c r="E405" s="102"/>
      <c r="F405" s="103"/>
      <c r="G405" s="103"/>
      <c r="H405" s="103"/>
      <c r="I405" s="90">
        <f t="shared" si="48"/>
        <v>0</v>
      </c>
      <c r="J405" s="90">
        <f t="shared" si="49"/>
        <v>0</v>
      </c>
      <c r="K405" s="91">
        <f t="shared" si="50"/>
        <v>0.72916666666666674</v>
      </c>
      <c r="L405" s="91">
        <f t="shared" si="51"/>
        <v>3.333333333333333</v>
      </c>
      <c r="M405" s="29">
        <f t="shared" si="55"/>
        <v>12</v>
      </c>
      <c r="N405" s="92">
        <f t="shared" si="52"/>
        <v>0</v>
      </c>
      <c r="O405" s="104">
        <f t="shared" si="53"/>
        <v>1.016</v>
      </c>
      <c r="P405" s="105">
        <f t="shared" si="54"/>
        <v>0</v>
      </c>
    </row>
    <row r="406" spans="2:16" x14ac:dyDescent="0.25">
      <c r="B406" s="88" t="s">
        <v>18</v>
      </c>
      <c r="C406" s="106">
        <f t="shared" si="47"/>
        <v>2020</v>
      </c>
      <c r="D406" s="101">
        <v>43965</v>
      </c>
      <c r="E406" s="102"/>
      <c r="F406" s="103"/>
      <c r="G406" s="103"/>
      <c r="H406" s="103"/>
      <c r="I406" s="90">
        <f t="shared" si="48"/>
        <v>0</v>
      </c>
      <c r="J406" s="90">
        <f t="shared" si="49"/>
        <v>0</v>
      </c>
      <c r="K406" s="91">
        <f t="shared" si="50"/>
        <v>0.72916666666666674</v>
      </c>
      <c r="L406" s="91">
        <f t="shared" si="51"/>
        <v>3.333333333333333</v>
      </c>
      <c r="M406" s="29">
        <f t="shared" si="55"/>
        <v>12</v>
      </c>
      <c r="N406" s="92">
        <f t="shared" si="52"/>
        <v>0</v>
      </c>
      <c r="O406" s="104">
        <f t="shared" si="53"/>
        <v>1.016</v>
      </c>
      <c r="P406" s="105">
        <f t="shared" si="54"/>
        <v>0</v>
      </c>
    </row>
    <row r="407" spans="2:16" x14ac:dyDescent="0.25">
      <c r="B407" s="88" t="s">
        <v>18</v>
      </c>
      <c r="C407" s="106">
        <f t="shared" si="47"/>
        <v>2020</v>
      </c>
      <c r="D407" s="101">
        <v>43966</v>
      </c>
      <c r="E407" s="102">
        <v>0.70833333333333337</v>
      </c>
      <c r="F407" s="103">
        <v>0.72916666666666663</v>
      </c>
      <c r="G407" s="103">
        <v>0.70833333333333337</v>
      </c>
      <c r="H407" s="103">
        <v>0.72916666666666663</v>
      </c>
      <c r="I407" s="90">
        <f t="shared" si="48"/>
        <v>0.49999999999999822</v>
      </c>
      <c r="J407" s="90">
        <f t="shared" si="49"/>
        <v>0.49999999999999822</v>
      </c>
      <c r="K407" s="91">
        <f t="shared" si="50"/>
        <v>0.72916666666666674</v>
      </c>
      <c r="L407" s="91">
        <f t="shared" si="51"/>
        <v>3.333333333333333</v>
      </c>
      <c r="M407" s="29">
        <f t="shared" si="55"/>
        <v>12</v>
      </c>
      <c r="N407" s="92">
        <f t="shared" si="52"/>
        <v>0.49999999999999822</v>
      </c>
      <c r="O407" s="104">
        <f t="shared" si="53"/>
        <v>1.016</v>
      </c>
      <c r="P407" s="105">
        <f t="shared" si="54"/>
        <v>4.2671999999999848</v>
      </c>
    </row>
    <row r="408" spans="2:16" x14ac:dyDescent="0.25">
      <c r="B408" s="88" t="s">
        <v>18</v>
      </c>
      <c r="C408" s="106">
        <f t="shared" si="47"/>
        <v>2020</v>
      </c>
      <c r="D408" s="101">
        <v>43967</v>
      </c>
      <c r="E408" s="102"/>
      <c r="F408" s="103"/>
      <c r="G408" s="103"/>
      <c r="H408" s="103"/>
      <c r="I408" s="90">
        <f t="shared" si="48"/>
        <v>0</v>
      </c>
      <c r="J408" s="90">
        <f t="shared" si="49"/>
        <v>0</v>
      </c>
      <c r="K408" s="91">
        <f t="shared" si="50"/>
        <v>0.72916666666666674</v>
      </c>
      <c r="L408" s="91">
        <f t="shared" si="51"/>
        <v>3.333333333333333</v>
      </c>
      <c r="M408" s="29">
        <f t="shared" si="55"/>
        <v>12</v>
      </c>
      <c r="N408" s="92">
        <f t="shared" si="52"/>
        <v>0</v>
      </c>
      <c r="O408" s="104">
        <f t="shared" si="53"/>
        <v>1.016</v>
      </c>
      <c r="P408" s="105">
        <f t="shared" si="54"/>
        <v>0</v>
      </c>
    </row>
    <row r="409" spans="2:16" x14ac:dyDescent="0.25">
      <c r="B409" s="88" t="s">
        <v>18</v>
      </c>
      <c r="C409" s="106">
        <f t="shared" si="47"/>
        <v>2020</v>
      </c>
      <c r="D409" s="101">
        <v>43968</v>
      </c>
      <c r="E409" s="102"/>
      <c r="F409" s="103"/>
      <c r="G409" s="103"/>
      <c r="H409" s="103"/>
      <c r="I409" s="90">
        <f t="shared" si="48"/>
        <v>0</v>
      </c>
      <c r="J409" s="90">
        <f t="shared" si="49"/>
        <v>0</v>
      </c>
      <c r="K409" s="91">
        <f t="shared" si="50"/>
        <v>0.72916666666666674</v>
      </c>
      <c r="L409" s="91">
        <f t="shared" si="51"/>
        <v>3.333333333333333</v>
      </c>
      <c r="M409" s="29">
        <f t="shared" si="55"/>
        <v>12</v>
      </c>
      <c r="N409" s="92">
        <f t="shared" si="52"/>
        <v>0</v>
      </c>
      <c r="O409" s="104">
        <f t="shared" si="53"/>
        <v>1.016</v>
      </c>
      <c r="P409" s="105">
        <f t="shared" si="54"/>
        <v>0</v>
      </c>
    </row>
    <row r="410" spans="2:16" x14ac:dyDescent="0.25">
      <c r="B410" s="88" t="s">
        <v>18</v>
      </c>
      <c r="C410" s="106">
        <f t="shared" si="47"/>
        <v>2020</v>
      </c>
      <c r="D410" s="101">
        <v>43969</v>
      </c>
      <c r="E410" s="102"/>
      <c r="F410" s="103"/>
      <c r="G410" s="103"/>
      <c r="H410" s="103"/>
      <c r="I410" s="90">
        <f t="shared" si="48"/>
        <v>0</v>
      </c>
      <c r="J410" s="90">
        <f t="shared" si="49"/>
        <v>0</v>
      </c>
      <c r="K410" s="91">
        <f t="shared" si="50"/>
        <v>0.72916666666666674</v>
      </c>
      <c r="L410" s="91">
        <f t="shared" si="51"/>
        <v>3.333333333333333</v>
      </c>
      <c r="M410" s="29">
        <f t="shared" si="55"/>
        <v>12</v>
      </c>
      <c r="N410" s="92">
        <f t="shared" si="52"/>
        <v>0</v>
      </c>
      <c r="O410" s="104">
        <f t="shared" si="53"/>
        <v>1.016</v>
      </c>
      <c r="P410" s="105">
        <f t="shared" si="54"/>
        <v>0</v>
      </c>
    </row>
    <row r="411" spans="2:16" x14ac:dyDescent="0.25">
      <c r="B411" s="88" t="s">
        <v>18</v>
      </c>
      <c r="C411" s="106">
        <f t="shared" ref="C411:C474" si="56">YEAR(D411)</f>
        <v>2020</v>
      </c>
      <c r="D411" s="101">
        <v>43970</v>
      </c>
      <c r="E411" s="102"/>
      <c r="F411" s="103"/>
      <c r="G411" s="103"/>
      <c r="H411" s="103"/>
      <c r="I411" s="90">
        <f t="shared" ref="I411:I474" si="57">((F411-E411)-INT($D$20))*24</f>
        <v>0</v>
      </c>
      <c r="J411" s="90">
        <f t="shared" ref="J411:J474" si="58">((H411-G411)-INT($D$20))*24</f>
        <v>0</v>
      </c>
      <c r="K411" s="91">
        <f t="shared" ref="K411:K474" si="59">VLOOKUP(B411,$B$5:$J$17,5,FALSE)</f>
        <v>0.72916666666666674</v>
      </c>
      <c r="L411" s="91">
        <f t="shared" ref="L411:L474" si="60">VLOOKUP(B411,$B$5:$J$17,6,FALSE)</f>
        <v>3.333333333333333</v>
      </c>
      <c r="M411" s="29">
        <f t="shared" si="55"/>
        <v>12</v>
      </c>
      <c r="N411" s="92">
        <f t="shared" ref="N411:N474" si="61">I411</f>
        <v>0</v>
      </c>
      <c r="O411" s="104">
        <f t="shared" ref="O411:O474" si="62">$D$21/1000</f>
        <v>1.016</v>
      </c>
      <c r="P411" s="105">
        <f t="shared" ref="P411:P474" si="63">M411*N411*O411*0.7</f>
        <v>0</v>
      </c>
    </row>
    <row r="412" spans="2:16" x14ac:dyDescent="0.25">
      <c r="B412" s="88" t="s">
        <v>18</v>
      </c>
      <c r="C412" s="106">
        <f t="shared" si="56"/>
        <v>2020</v>
      </c>
      <c r="D412" s="101">
        <v>43971</v>
      </c>
      <c r="E412" s="102">
        <v>0.4375</v>
      </c>
      <c r="F412" s="103">
        <v>0.45833333333333331</v>
      </c>
      <c r="G412" s="103">
        <v>0.4375</v>
      </c>
      <c r="H412" s="103">
        <v>0.45833333333333331</v>
      </c>
      <c r="I412" s="90">
        <f t="shared" si="57"/>
        <v>0.49999999999999956</v>
      </c>
      <c r="J412" s="90">
        <f t="shared" si="58"/>
        <v>0.49999999999999956</v>
      </c>
      <c r="K412" s="91">
        <f t="shared" si="59"/>
        <v>0.72916666666666674</v>
      </c>
      <c r="L412" s="91">
        <f t="shared" si="60"/>
        <v>3.333333333333333</v>
      </c>
      <c r="M412" s="29">
        <f t="shared" ref="M412:M475" si="64">VLOOKUP(B412,$I$5:$J$17,2,FALSE)</f>
        <v>12</v>
      </c>
      <c r="N412" s="92">
        <f t="shared" si="61"/>
        <v>0.49999999999999956</v>
      </c>
      <c r="O412" s="104">
        <f t="shared" si="62"/>
        <v>1.016</v>
      </c>
      <c r="P412" s="105">
        <f t="shared" si="63"/>
        <v>4.2671999999999963</v>
      </c>
    </row>
    <row r="413" spans="2:16" x14ac:dyDescent="0.25">
      <c r="B413" s="88" t="s">
        <v>18</v>
      </c>
      <c r="C413" s="106">
        <f t="shared" si="56"/>
        <v>2020</v>
      </c>
      <c r="D413" s="101">
        <v>43972</v>
      </c>
      <c r="E413" s="102"/>
      <c r="F413" s="103"/>
      <c r="G413" s="103"/>
      <c r="H413" s="103"/>
      <c r="I413" s="90">
        <f t="shared" si="57"/>
        <v>0</v>
      </c>
      <c r="J413" s="90">
        <f t="shared" si="58"/>
        <v>0</v>
      </c>
      <c r="K413" s="91">
        <f t="shared" si="59"/>
        <v>0.72916666666666674</v>
      </c>
      <c r="L413" s="91">
        <f t="shared" si="60"/>
        <v>3.333333333333333</v>
      </c>
      <c r="M413" s="29">
        <f t="shared" si="64"/>
        <v>12</v>
      </c>
      <c r="N413" s="92">
        <f t="shared" si="61"/>
        <v>0</v>
      </c>
      <c r="O413" s="104">
        <f t="shared" si="62"/>
        <v>1.016</v>
      </c>
      <c r="P413" s="105">
        <f t="shared" si="63"/>
        <v>0</v>
      </c>
    </row>
    <row r="414" spans="2:16" x14ac:dyDescent="0.25">
      <c r="B414" s="88" t="s">
        <v>18</v>
      </c>
      <c r="C414" s="106">
        <f t="shared" si="56"/>
        <v>2020</v>
      </c>
      <c r="D414" s="101">
        <v>43973</v>
      </c>
      <c r="E414" s="102"/>
      <c r="F414" s="103"/>
      <c r="G414" s="103"/>
      <c r="H414" s="103"/>
      <c r="I414" s="90">
        <f t="shared" si="57"/>
        <v>0</v>
      </c>
      <c r="J414" s="90">
        <f t="shared" si="58"/>
        <v>0</v>
      </c>
      <c r="K414" s="91">
        <f t="shared" si="59"/>
        <v>0.72916666666666674</v>
      </c>
      <c r="L414" s="91">
        <f t="shared" si="60"/>
        <v>3.333333333333333</v>
      </c>
      <c r="M414" s="29">
        <f t="shared" si="64"/>
        <v>12</v>
      </c>
      <c r="N414" s="92">
        <f t="shared" si="61"/>
        <v>0</v>
      </c>
      <c r="O414" s="104">
        <f t="shared" si="62"/>
        <v>1.016</v>
      </c>
      <c r="P414" s="105">
        <f t="shared" si="63"/>
        <v>0</v>
      </c>
    </row>
    <row r="415" spans="2:16" x14ac:dyDescent="0.25">
      <c r="B415" s="88" t="s">
        <v>18</v>
      </c>
      <c r="C415" s="106">
        <f t="shared" si="56"/>
        <v>2020</v>
      </c>
      <c r="D415" s="101">
        <v>43974</v>
      </c>
      <c r="E415" s="102"/>
      <c r="F415" s="103"/>
      <c r="G415" s="103"/>
      <c r="H415" s="103"/>
      <c r="I415" s="90">
        <f t="shared" si="57"/>
        <v>0</v>
      </c>
      <c r="J415" s="90">
        <f t="shared" si="58"/>
        <v>0</v>
      </c>
      <c r="K415" s="91">
        <f t="shared" si="59"/>
        <v>0.72916666666666674</v>
      </c>
      <c r="L415" s="91">
        <f t="shared" si="60"/>
        <v>3.333333333333333</v>
      </c>
      <c r="M415" s="29">
        <f t="shared" si="64"/>
        <v>12</v>
      </c>
      <c r="N415" s="92">
        <f t="shared" si="61"/>
        <v>0</v>
      </c>
      <c r="O415" s="104">
        <f t="shared" si="62"/>
        <v>1.016</v>
      </c>
      <c r="P415" s="105">
        <f t="shared" si="63"/>
        <v>0</v>
      </c>
    </row>
    <row r="416" spans="2:16" x14ac:dyDescent="0.25">
      <c r="B416" s="88" t="s">
        <v>18</v>
      </c>
      <c r="C416" s="106">
        <f t="shared" si="56"/>
        <v>2020</v>
      </c>
      <c r="D416" s="101">
        <v>43975</v>
      </c>
      <c r="E416" s="102"/>
      <c r="F416" s="103"/>
      <c r="G416" s="103"/>
      <c r="H416" s="103"/>
      <c r="I416" s="90">
        <f t="shared" si="57"/>
        <v>0</v>
      </c>
      <c r="J416" s="90">
        <f t="shared" si="58"/>
        <v>0</v>
      </c>
      <c r="K416" s="91">
        <f t="shared" si="59"/>
        <v>0.72916666666666674</v>
      </c>
      <c r="L416" s="91">
        <f t="shared" si="60"/>
        <v>3.333333333333333</v>
      </c>
      <c r="M416" s="29">
        <f t="shared" si="64"/>
        <v>12</v>
      </c>
      <c r="N416" s="92">
        <f t="shared" si="61"/>
        <v>0</v>
      </c>
      <c r="O416" s="104">
        <f t="shared" si="62"/>
        <v>1.016</v>
      </c>
      <c r="P416" s="105">
        <f t="shared" si="63"/>
        <v>0</v>
      </c>
    </row>
    <row r="417" spans="2:16" x14ac:dyDescent="0.25">
      <c r="B417" s="88" t="s">
        <v>18</v>
      </c>
      <c r="C417" s="106">
        <f t="shared" si="56"/>
        <v>2020</v>
      </c>
      <c r="D417" s="101">
        <v>43976</v>
      </c>
      <c r="E417" s="102">
        <v>0.54166666666666663</v>
      </c>
      <c r="F417" s="103">
        <v>0.5625</v>
      </c>
      <c r="G417" s="103">
        <v>0.54166666666666663</v>
      </c>
      <c r="H417" s="103">
        <v>0.5625</v>
      </c>
      <c r="I417" s="90">
        <f t="shared" si="57"/>
        <v>0.50000000000000089</v>
      </c>
      <c r="J417" s="90">
        <f t="shared" si="58"/>
        <v>0.50000000000000089</v>
      </c>
      <c r="K417" s="91">
        <f t="shared" si="59"/>
        <v>0.72916666666666674</v>
      </c>
      <c r="L417" s="91">
        <f t="shared" si="60"/>
        <v>3.333333333333333</v>
      </c>
      <c r="M417" s="29">
        <f t="shared" si="64"/>
        <v>12</v>
      </c>
      <c r="N417" s="92">
        <f t="shared" si="61"/>
        <v>0.50000000000000089</v>
      </c>
      <c r="O417" s="104">
        <f t="shared" si="62"/>
        <v>1.016</v>
      </c>
      <c r="P417" s="105">
        <f t="shared" si="63"/>
        <v>4.267200000000007</v>
      </c>
    </row>
    <row r="418" spans="2:16" x14ac:dyDescent="0.25">
      <c r="B418" s="88" t="s">
        <v>18</v>
      </c>
      <c r="C418" s="106">
        <f t="shared" si="56"/>
        <v>2020</v>
      </c>
      <c r="D418" s="101">
        <v>43977</v>
      </c>
      <c r="E418" s="102"/>
      <c r="F418" s="103"/>
      <c r="G418" s="103"/>
      <c r="H418" s="103"/>
      <c r="I418" s="90">
        <f t="shared" si="57"/>
        <v>0</v>
      </c>
      <c r="J418" s="90">
        <f t="shared" si="58"/>
        <v>0</v>
      </c>
      <c r="K418" s="91">
        <f t="shared" si="59"/>
        <v>0.72916666666666674</v>
      </c>
      <c r="L418" s="91">
        <f t="shared" si="60"/>
        <v>3.333333333333333</v>
      </c>
      <c r="M418" s="29">
        <f t="shared" si="64"/>
        <v>12</v>
      </c>
      <c r="N418" s="92">
        <f t="shared" si="61"/>
        <v>0</v>
      </c>
      <c r="O418" s="104">
        <f t="shared" si="62"/>
        <v>1.016</v>
      </c>
      <c r="P418" s="105">
        <f t="shared" si="63"/>
        <v>0</v>
      </c>
    </row>
    <row r="419" spans="2:16" x14ac:dyDescent="0.25">
      <c r="B419" s="88" t="s">
        <v>18</v>
      </c>
      <c r="C419" s="106">
        <f t="shared" si="56"/>
        <v>2020</v>
      </c>
      <c r="D419" s="101">
        <v>43978</v>
      </c>
      <c r="E419" s="102"/>
      <c r="F419" s="103"/>
      <c r="G419" s="103"/>
      <c r="H419" s="103"/>
      <c r="I419" s="90">
        <f t="shared" si="57"/>
        <v>0</v>
      </c>
      <c r="J419" s="90">
        <f t="shared" si="58"/>
        <v>0</v>
      </c>
      <c r="K419" s="91">
        <f t="shared" si="59"/>
        <v>0.72916666666666674</v>
      </c>
      <c r="L419" s="91">
        <f t="shared" si="60"/>
        <v>3.333333333333333</v>
      </c>
      <c r="M419" s="29">
        <f t="shared" si="64"/>
        <v>12</v>
      </c>
      <c r="N419" s="92">
        <f t="shared" si="61"/>
        <v>0</v>
      </c>
      <c r="O419" s="104">
        <f t="shared" si="62"/>
        <v>1.016</v>
      </c>
      <c r="P419" s="105">
        <f t="shared" si="63"/>
        <v>0</v>
      </c>
    </row>
    <row r="420" spans="2:16" x14ac:dyDescent="0.25">
      <c r="B420" s="88" t="s">
        <v>18</v>
      </c>
      <c r="C420" s="106">
        <f t="shared" si="56"/>
        <v>2020</v>
      </c>
      <c r="D420" s="101">
        <v>43979</v>
      </c>
      <c r="E420" s="102"/>
      <c r="F420" s="103"/>
      <c r="G420" s="103"/>
      <c r="H420" s="103"/>
      <c r="I420" s="90">
        <f t="shared" si="57"/>
        <v>0</v>
      </c>
      <c r="J420" s="90">
        <f t="shared" si="58"/>
        <v>0</v>
      </c>
      <c r="K420" s="91">
        <f t="shared" si="59"/>
        <v>0.72916666666666674</v>
      </c>
      <c r="L420" s="91">
        <f t="shared" si="60"/>
        <v>3.333333333333333</v>
      </c>
      <c r="M420" s="29">
        <f t="shared" si="64"/>
        <v>12</v>
      </c>
      <c r="N420" s="92">
        <f t="shared" si="61"/>
        <v>0</v>
      </c>
      <c r="O420" s="104">
        <f t="shared" si="62"/>
        <v>1.016</v>
      </c>
      <c r="P420" s="105">
        <f t="shared" si="63"/>
        <v>0</v>
      </c>
    </row>
    <row r="421" spans="2:16" x14ac:dyDescent="0.25">
      <c r="B421" s="88" t="s">
        <v>18</v>
      </c>
      <c r="C421" s="106">
        <f t="shared" si="56"/>
        <v>2020</v>
      </c>
      <c r="D421" s="101">
        <v>43980</v>
      </c>
      <c r="E421" s="102"/>
      <c r="F421" s="103"/>
      <c r="G421" s="103"/>
      <c r="H421" s="103"/>
      <c r="I421" s="90">
        <f t="shared" si="57"/>
        <v>0</v>
      </c>
      <c r="J421" s="90">
        <f t="shared" si="58"/>
        <v>0</v>
      </c>
      <c r="K421" s="91">
        <f t="shared" si="59"/>
        <v>0.72916666666666674</v>
      </c>
      <c r="L421" s="91">
        <f t="shared" si="60"/>
        <v>3.333333333333333</v>
      </c>
      <c r="M421" s="29">
        <f t="shared" si="64"/>
        <v>12</v>
      </c>
      <c r="N421" s="92">
        <f t="shared" si="61"/>
        <v>0</v>
      </c>
      <c r="O421" s="104">
        <f t="shared" si="62"/>
        <v>1.016</v>
      </c>
      <c r="P421" s="105">
        <f t="shared" si="63"/>
        <v>0</v>
      </c>
    </row>
    <row r="422" spans="2:16" x14ac:dyDescent="0.25">
      <c r="B422" s="88" t="s">
        <v>18</v>
      </c>
      <c r="C422" s="106">
        <f t="shared" si="56"/>
        <v>2020</v>
      </c>
      <c r="D422" s="101">
        <v>43981</v>
      </c>
      <c r="E422" s="102">
        <v>0.52083333333333337</v>
      </c>
      <c r="F422" s="103">
        <v>0.54166666666666663</v>
      </c>
      <c r="G422" s="103">
        <v>0.52083333333333337</v>
      </c>
      <c r="H422" s="103">
        <v>0.54166666666666663</v>
      </c>
      <c r="I422" s="90">
        <f t="shared" si="57"/>
        <v>0.49999999999999822</v>
      </c>
      <c r="J422" s="90">
        <f t="shared" si="58"/>
        <v>0.49999999999999822</v>
      </c>
      <c r="K422" s="91">
        <f t="shared" si="59"/>
        <v>0.72916666666666674</v>
      </c>
      <c r="L422" s="91">
        <f t="shared" si="60"/>
        <v>3.333333333333333</v>
      </c>
      <c r="M422" s="29">
        <f t="shared" si="64"/>
        <v>12</v>
      </c>
      <c r="N422" s="92">
        <f t="shared" si="61"/>
        <v>0.49999999999999822</v>
      </c>
      <c r="O422" s="104">
        <f t="shared" si="62"/>
        <v>1.016</v>
      </c>
      <c r="P422" s="105">
        <f t="shared" si="63"/>
        <v>4.2671999999999848</v>
      </c>
    </row>
    <row r="423" spans="2:16" x14ac:dyDescent="0.25">
      <c r="B423" s="88" t="s">
        <v>18</v>
      </c>
      <c r="C423" s="106">
        <f t="shared" si="56"/>
        <v>2020</v>
      </c>
      <c r="D423" s="101">
        <v>43982</v>
      </c>
      <c r="E423" s="102"/>
      <c r="F423" s="103"/>
      <c r="G423" s="103"/>
      <c r="H423" s="103"/>
      <c r="I423" s="90">
        <f t="shared" si="57"/>
        <v>0</v>
      </c>
      <c r="J423" s="90">
        <f t="shared" si="58"/>
        <v>0</v>
      </c>
      <c r="K423" s="91">
        <f t="shared" si="59"/>
        <v>0.72916666666666674</v>
      </c>
      <c r="L423" s="91">
        <f t="shared" si="60"/>
        <v>3.333333333333333</v>
      </c>
      <c r="M423" s="29">
        <f t="shared" si="64"/>
        <v>12</v>
      </c>
      <c r="N423" s="92">
        <f t="shared" si="61"/>
        <v>0</v>
      </c>
      <c r="O423" s="104">
        <f t="shared" si="62"/>
        <v>1.016</v>
      </c>
      <c r="P423" s="105">
        <f t="shared" si="63"/>
        <v>0</v>
      </c>
    </row>
    <row r="424" spans="2:16" x14ac:dyDescent="0.25">
      <c r="B424" s="88" t="s">
        <v>18</v>
      </c>
      <c r="C424" s="106">
        <f t="shared" si="56"/>
        <v>2020</v>
      </c>
      <c r="D424" s="101">
        <v>43983</v>
      </c>
      <c r="E424" s="102"/>
      <c r="F424" s="103"/>
      <c r="G424" s="103"/>
      <c r="H424" s="103"/>
      <c r="I424" s="90">
        <f t="shared" si="57"/>
        <v>0</v>
      </c>
      <c r="J424" s="90">
        <f t="shared" si="58"/>
        <v>0</v>
      </c>
      <c r="K424" s="91">
        <f t="shared" si="59"/>
        <v>0.72916666666666674</v>
      </c>
      <c r="L424" s="91">
        <f t="shared" si="60"/>
        <v>3.333333333333333</v>
      </c>
      <c r="M424" s="29">
        <f t="shared" si="64"/>
        <v>12</v>
      </c>
      <c r="N424" s="92">
        <f t="shared" si="61"/>
        <v>0</v>
      </c>
      <c r="O424" s="104">
        <f t="shared" si="62"/>
        <v>1.016</v>
      </c>
      <c r="P424" s="105">
        <f t="shared" si="63"/>
        <v>0</v>
      </c>
    </row>
    <row r="425" spans="2:16" x14ac:dyDescent="0.25">
      <c r="B425" s="88" t="s">
        <v>18</v>
      </c>
      <c r="C425" s="106">
        <f t="shared" si="56"/>
        <v>2020</v>
      </c>
      <c r="D425" s="101">
        <v>43984</v>
      </c>
      <c r="E425" s="102"/>
      <c r="F425" s="103"/>
      <c r="G425" s="103"/>
      <c r="H425" s="103"/>
      <c r="I425" s="90">
        <f t="shared" si="57"/>
        <v>0</v>
      </c>
      <c r="J425" s="90">
        <f t="shared" si="58"/>
        <v>0</v>
      </c>
      <c r="K425" s="91">
        <f t="shared" si="59"/>
        <v>0.72916666666666674</v>
      </c>
      <c r="L425" s="91">
        <f t="shared" si="60"/>
        <v>3.333333333333333</v>
      </c>
      <c r="M425" s="29">
        <f t="shared" si="64"/>
        <v>12</v>
      </c>
      <c r="N425" s="92">
        <f t="shared" si="61"/>
        <v>0</v>
      </c>
      <c r="O425" s="104">
        <f t="shared" si="62"/>
        <v>1.016</v>
      </c>
      <c r="P425" s="105">
        <f t="shared" si="63"/>
        <v>0</v>
      </c>
    </row>
    <row r="426" spans="2:16" x14ac:dyDescent="0.25">
      <c r="B426" s="88" t="s">
        <v>18</v>
      </c>
      <c r="C426" s="106">
        <f t="shared" si="56"/>
        <v>2020</v>
      </c>
      <c r="D426" s="101">
        <v>43985</v>
      </c>
      <c r="E426" s="102"/>
      <c r="F426" s="103"/>
      <c r="G426" s="103"/>
      <c r="H426" s="103"/>
      <c r="I426" s="90">
        <f t="shared" si="57"/>
        <v>0</v>
      </c>
      <c r="J426" s="90">
        <f t="shared" si="58"/>
        <v>0</v>
      </c>
      <c r="K426" s="91">
        <f t="shared" si="59"/>
        <v>0.72916666666666674</v>
      </c>
      <c r="L426" s="91">
        <f t="shared" si="60"/>
        <v>3.333333333333333</v>
      </c>
      <c r="M426" s="29">
        <f t="shared" si="64"/>
        <v>12</v>
      </c>
      <c r="N426" s="92">
        <f t="shared" si="61"/>
        <v>0</v>
      </c>
      <c r="O426" s="104">
        <f t="shared" si="62"/>
        <v>1.016</v>
      </c>
      <c r="P426" s="105">
        <f t="shared" si="63"/>
        <v>0</v>
      </c>
    </row>
    <row r="427" spans="2:16" x14ac:dyDescent="0.25">
      <c r="B427" s="88" t="s">
        <v>18</v>
      </c>
      <c r="C427" s="106">
        <f t="shared" si="56"/>
        <v>2020</v>
      </c>
      <c r="D427" s="101">
        <v>43986</v>
      </c>
      <c r="E427" s="102">
        <v>0.70833333333333337</v>
      </c>
      <c r="F427" s="103">
        <v>0.72916666666666663</v>
      </c>
      <c r="G427" s="103">
        <v>0.70833333333333337</v>
      </c>
      <c r="H427" s="103">
        <v>0.72916666666666663</v>
      </c>
      <c r="I427" s="90">
        <f t="shared" si="57"/>
        <v>0.49999999999999822</v>
      </c>
      <c r="J427" s="90">
        <f t="shared" si="58"/>
        <v>0.49999999999999822</v>
      </c>
      <c r="K427" s="91">
        <f t="shared" si="59"/>
        <v>0.72916666666666674</v>
      </c>
      <c r="L427" s="91">
        <f t="shared" si="60"/>
        <v>3.333333333333333</v>
      </c>
      <c r="M427" s="29">
        <f t="shared" si="64"/>
        <v>12</v>
      </c>
      <c r="N427" s="92">
        <f t="shared" si="61"/>
        <v>0.49999999999999822</v>
      </c>
      <c r="O427" s="104">
        <f t="shared" si="62"/>
        <v>1.016</v>
      </c>
      <c r="P427" s="105">
        <f t="shared" si="63"/>
        <v>4.2671999999999848</v>
      </c>
    </row>
    <row r="428" spans="2:16" x14ac:dyDescent="0.25">
      <c r="B428" s="88" t="s">
        <v>18</v>
      </c>
      <c r="C428" s="106">
        <f t="shared" si="56"/>
        <v>2020</v>
      </c>
      <c r="D428" s="101">
        <v>43987</v>
      </c>
      <c r="E428" s="102"/>
      <c r="F428" s="103"/>
      <c r="G428" s="103"/>
      <c r="H428" s="103"/>
      <c r="I428" s="90">
        <f t="shared" si="57"/>
        <v>0</v>
      </c>
      <c r="J428" s="90">
        <f t="shared" si="58"/>
        <v>0</v>
      </c>
      <c r="K428" s="91">
        <f t="shared" si="59"/>
        <v>0.72916666666666674</v>
      </c>
      <c r="L428" s="91">
        <f t="shared" si="60"/>
        <v>3.333333333333333</v>
      </c>
      <c r="M428" s="29">
        <f t="shared" si="64"/>
        <v>12</v>
      </c>
      <c r="N428" s="92">
        <f t="shared" si="61"/>
        <v>0</v>
      </c>
      <c r="O428" s="104">
        <f t="shared" si="62"/>
        <v>1.016</v>
      </c>
      <c r="P428" s="105">
        <f t="shared" si="63"/>
        <v>0</v>
      </c>
    </row>
    <row r="429" spans="2:16" x14ac:dyDescent="0.25">
      <c r="B429" s="88" t="s">
        <v>18</v>
      </c>
      <c r="C429" s="106">
        <f t="shared" si="56"/>
        <v>2020</v>
      </c>
      <c r="D429" s="101">
        <v>43988</v>
      </c>
      <c r="E429" s="102"/>
      <c r="F429" s="103"/>
      <c r="G429" s="103"/>
      <c r="H429" s="103"/>
      <c r="I429" s="90">
        <f t="shared" si="57"/>
        <v>0</v>
      </c>
      <c r="J429" s="90">
        <f t="shared" si="58"/>
        <v>0</v>
      </c>
      <c r="K429" s="91">
        <f t="shared" si="59"/>
        <v>0.72916666666666674</v>
      </c>
      <c r="L429" s="91">
        <f t="shared" si="60"/>
        <v>3.333333333333333</v>
      </c>
      <c r="M429" s="29">
        <f t="shared" si="64"/>
        <v>12</v>
      </c>
      <c r="N429" s="92">
        <f t="shared" si="61"/>
        <v>0</v>
      </c>
      <c r="O429" s="104">
        <f t="shared" si="62"/>
        <v>1.016</v>
      </c>
      <c r="P429" s="105">
        <f t="shared" si="63"/>
        <v>0</v>
      </c>
    </row>
    <row r="430" spans="2:16" x14ac:dyDescent="0.25">
      <c r="B430" s="88" t="s">
        <v>18</v>
      </c>
      <c r="C430" s="106">
        <f t="shared" si="56"/>
        <v>2020</v>
      </c>
      <c r="D430" s="101">
        <v>43989</v>
      </c>
      <c r="E430" s="102"/>
      <c r="F430" s="103"/>
      <c r="G430" s="103"/>
      <c r="H430" s="103"/>
      <c r="I430" s="90">
        <f t="shared" si="57"/>
        <v>0</v>
      </c>
      <c r="J430" s="90">
        <f t="shared" si="58"/>
        <v>0</v>
      </c>
      <c r="K430" s="91">
        <f t="shared" si="59"/>
        <v>0.72916666666666674</v>
      </c>
      <c r="L430" s="91">
        <f t="shared" si="60"/>
        <v>3.333333333333333</v>
      </c>
      <c r="M430" s="29">
        <f t="shared" si="64"/>
        <v>12</v>
      </c>
      <c r="N430" s="92">
        <f t="shared" si="61"/>
        <v>0</v>
      </c>
      <c r="O430" s="104">
        <f t="shared" si="62"/>
        <v>1.016</v>
      </c>
      <c r="P430" s="105">
        <f t="shared" si="63"/>
        <v>0</v>
      </c>
    </row>
    <row r="431" spans="2:16" x14ac:dyDescent="0.25">
      <c r="B431" s="88" t="s">
        <v>18</v>
      </c>
      <c r="C431" s="106">
        <f t="shared" si="56"/>
        <v>2020</v>
      </c>
      <c r="D431" s="101">
        <v>43990</v>
      </c>
      <c r="E431" s="102"/>
      <c r="F431" s="103"/>
      <c r="G431" s="103"/>
      <c r="H431" s="103"/>
      <c r="I431" s="90">
        <f t="shared" si="57"/>
        <v>0</v>
      </c>
      <c r="J431" s="90">
        <f t="shared" si="58"/>
        <v>0</v>
      </c>
      <c r="K431" s="91">
        <f t="shared" si="59"/>
        <v>0.72916666666666674</v>
      </c>
      <c r="L431" s="91">
        <f t="shared" si="60"/>
        <v>3.333333333333333</v>
      </c>
      <c r="M431" s="29">
        <f t="shared" si="64"/>
        <v>12</v>
      </c>
      <c r="N431" s="92">
        <f t="shared" si="61"/>
        <v>0</v>
      </c>
      <c r="O431" s="104">
        <f t="shared" si="62"/>
        <v>1.016</v>
      </c>
      <c r="P431" s="105">
        <f t="shared" si="63"/>
        <v>0</v>
      </c>
    </row>
    <row r="432" spans="2:16" x14ac:dyDescent="0.25">
      <c r="B432" s="88" t="s">
        <v>18</v>
      </c>
      <c r="C432" s="106">
        <f t="shared" si="56"/>
        <v>2020</v>
      </c>
      <c r="D432" s="101">
        <v>43991</v>
      </c>
      <c r="E432" s="102">
        <v>0.4375</v>
      </c>
      <c r="F432" s="103">
        <v>0.45833333333333331</v>
      </c>
      <c r="G432" s="103">
        <v>0.4375</v>
      </c>
      <c r="H432" s="103">
        <v>0.45833333333333331</v>
      </c>
      <c r="I432" s="90">
        <f t="shared" si="57"/>
        <v>0.49999999999999956</v>
      </c>
      <c r="J432" s="90">
        <f t="shared" si="58"/>
        <v>0.49999999999999956</v>
      </c>
      <c r="K432" s="91">
        <f t="shared" si="59"/>
        <v>0.72916666666666674</v>
      </c>
      <c r="L432" s="91">
        <f t="shared" si="60"/>
        <v>3.333333333333333</v>
      </c>
      <c r="M432" s="29">
        <f t="shared" si="64"/>
        <v>12</v>
      </c>
      <c r="N432" s="92">
        <f t="shared" si="61"/>
        <v>0.49999999999999956</v>
      </c>
      <c r="O432" s="104">
        <f t="shared" si="62"/>
        <v>1.016</v>
      </c>
      <c r="P432" s="105">
        <f t="shared" si="63"/>
        <v>4.2671999999999963</v>
      </c>
    </row>
    <row r="433" spans="2:16" x14ac:dyDescent="0.25">
      <c r="B433" s="88" t="s">
        <v>18</v>
      </c>
      <c r="C433" s="106">
        <f t="shared" si="56"/>
        <v>2020</v>
      </c>
      <c r="D433" s="101">
        <v>43992</v>
      </c>
      <c r="E433" s="102"/>
      <c r="F433" s="103"/>
      <c r="G433" s="103"/>
      <c r="H433" s="103"/>
      <c r="I433" s="90">
        <f t="shared" si="57"/>
        <v>0</v>
      </c>
      <c r="J433" s="90">
        <f t="shared" si="58"/>
        <v>0</v>
      </c>
      <c r="K433" s="91">
        <f t="shared" si="59"/>
        <v>0.72916666666666674</v>
      </c>
      <c r="L433" s="91">
        <f t="shared" si="60"/>
        <v>3.333333333333333</v>
      </c>
      <c r="M433" s="29">
        <f t="shared" si="64"/>
        <v>12</v>
      </c>
      <c r="N433" s="92">
        <f t="shared" si="61"/>
        <v>0</v>
      </c>
      <c r="O433" s="104">
        <f t="shared" si="62"/>
        <v>1.016</v>
      </c>
      <c r="P433" s="105">
        <f t="shared" si="63"/>
        <v>0</v>
      </c>
    </row>
    <row r="434" spans="2:16" x14ac:dyDescent="0.25">
      <c r="B434" s="88" t="s">
        <v>18</v>
      </c>
      <c r="C434" s="106">
        <f t="shared" si="56"/>
        <v>2020</v>
      </c>
      <c r="D434" s="101">
        <v>43993</v>
      </c>
      <c r="E434" s="102"/>
      <c r="F434" s="103"/>
      <c r="G434" s="103"/>
      <c r="H434" s="103"/>
      <c r="I434" s="90">
        <f t="shared" si="57"/>
        <v>0</v>
      </c>
      <c r="J434" s="90">
        <f t="shared" si="58"/>
        <v>0</v>
      </c>
      <c r="K434" s="91">
        <f t="shared" si="59"/>
        <v>0.72916666666666674</v>
      </c>
      <c r="L434" s="91">
        <f t="shared" si="60"/>
        <v>3.333333333333333</v>
      </c>
      <c r="M434" s="29">
        <f t="shared" si="64"/>
        <v>12</v>
      </c>
      <c r="N434" s="92">
        <f t="shared" si="61"/>
        <v>0</v>
      </c>
      <c r="O434" s="104">
        <f t="shared" si="62"/>
        <v>1.016</v>
      </c>
      <c r="P434" s="105">
        <f t="shared" si="63"/>
        <v>0</v>
      </c>
    </row>
    <row r="435" spans="2:16" x14ac:dyDescent="0.25">
      <c r="B435" s="88" t="s">
        <v>18</v>
      </c>
      <c r="C435" s="106">
        <f t="shared" si="56"/>
        <v>2020</v>
      </c>
      <c r="D435" s="101">
        <v>43994</v>
      </c>
      <c r="E435" s="102">
        <v>0.6875</v>
      </c>
      <c r="F435" s="103">
        <v>0.70833333333333337</v>
      </c>
      <c r="G435" s="103">
        <v>0.6875</v>
      </c>
      <c r="H435" s="103">
        <v>0.70833333333333337</v>
      </c>
      <c r="I435" s="90">
        <f t="shared" si="57"/>
        <v>0.50000000000000089</v>
      </c>
      <c r="J435" s="90">
        <f t="shared" si="58"/>
        <v>0.50000000000000089</v>
      </c>
      <c r="K435" s="91">
        <f t="shared" si="59"/>
        <v>0.72916666666666674</v>
      </c>
      <c r="L435" s="91">
        <f t="shared" si="60"/>
        <v>3.333333333333333</v>
      </c>
      <c r="M435" s="29">
        <f t="shared" si="64"/>
        <v>12</v>
      </c>
      <c r="N435" s="92">
        <f t="shared" si="61"/>
        <v>0.50000000000000089</v>
      </c>
      <c r="O435" s="104">
        <f t="shared" si="62"/>
        <v>1.016</v>
      </c>
      <c r="P435" s="105">
        <f t="shared" si="63"/>
        <v>4.267200000000007</v>
      </c>
    </row>
    <row r="436" spans="2:16" x14ac:dyDescent="0.25">
      <c r="B436" s="88" t="s">
        <v>18</v>
      </c>
      <c r="C436" s="106">
        <f t="shared" si="56"/>
        <v>2020</v>
      </c>
      <c r="D436" s="101">
        <v>43995</v>
      </c>
      <c r="E436" s="102"/>
      <c r="F436" s="103"/>
      <c r="G436" s="103"/>
      <c r="H436" s="103"/>
      <c r="I436" s="90">
        <f t="shared" si="57"/>
        <v>0</v>
      </c>
      <c r="J436" s="90">
        <f t="shared" si="58"/>
        <v>0</v>
      </c>
      <c r="K436" s="91">
        <f t="shared" si="59"/>
        <v>0.72916666666666674</v>
      </c>
      <c r="L436" s="91">
        <f t="shared" si="60"/>
        <v>3.333333333333333</v>
      </c>
      <c r="M436" s="29">
        <f t="shared" si="64"/>
        <v>12</v>
      </c>
      <c r="N436" s="92">
        <f t="shared" si="61"/>
        <v>0</v>
      </c>
      <c r="O436" s="104">
        <f t="shared" si="62"/>
        <v>1.016</v>
      </c>
      <c r="P436" s="105">
        <f t="shared" si="63"/>
        <v>0</v>
      </c>
    </row>
    <row r="437" spans="2:16" x14ac:dyDescent="0.25">
      <c r="B437" s="88" t="s">
        <v>18</v>
      </c>
      <c r="C437" s="106">
        <f t="shared" si="56"/>
        <v>2020</v>
      </c>
      <c r="D437" s="101">
        <v>43996</v>
      </c>
      <c r="E437" s="102"/>
      <c r="F437" s="103"/>
      <c r="G437" s="103"/>
      <c r="H437" s="103"/>
      <c r="I437" s="90">
        <f t="shared" si="57"/>
        <v>0</v>
      </c>
      <c r="J437" s="90">
        <f t="shared" si="58"/>
        <v>0</v>
      </c>
      <c r="K437" s="91">
        <f t="shared" si="59"/>
        <v>0.72916666666666674</v>
      </c>
      <c r="L437" s="91">
        <f t="shared" si="60"/>
        <v>3.333333333333333</v>
      </c>
      <c r="M437" s="29">
        <f t="shared" si="64"/>
        <v>12</v>
      </c>
      <c r="N437" s="92">
        <f t="shared" si="61"/>
        <v>0</v>
      </c>
      <c r="O437" s="104">
        <f t="shared" si="62"/>
        <v>1.016</v>
      </c>
      <c r="P437" s="105">
        <f t="shared" si="63"/>
        <v>0</v>
      </c>
    </row>
    <row r="438" spans="2:16" x14ac:dyDescent="0.25">
      <c r="B438" s="88" t="s">
        <v>18</v>
      </c>
      <c r="C438" s="106">
        <f t="shared" si="56"/>
        <v>2020</v>
      </c>
      <c r="D438" s="101">
        <v>43997</v>
      </c>
      <c r="E438" s="102"/>
      <c r="F438" s="103"/>
      <c r="G438" s="103"/>
      <c r="H438" s="103"/>
      <c r="I438" s="90">
        <f t="shared" si="57"/>
        <v>0</v>
      </c>
      <c r="J438" s="90">
        <f t="shared" si="58"/>
        <v>0</v>
      </c>
      <c r="K438" s="91">
        <f t="shared" si="59"/>
        <v>0.72916666666666674</v>
      </c>
      <c r="L438" s="91">
        <f t="shared" si="60"/>
        <v>3.333333333333333</v>
      </c>
      <c r="M438" s="29">
        <f t="shared" si="64"/>
        <v>12</v>
      </c>
      <c r="N438" s="92">
        <f t="shared" si="61"/>
        <v>0</v>
      </c>
      <c r="O438" s="104">
        <f t="shared" si="62"/>
        <v>1.016</v>
      </c>
      <c r="P438" s="105">
        <f t="shared" si="63"/>
        <v>0</v>
      </c>
    </row>
    <row r="439" spans="2:16" x14ac:dyDescent="0.25">
      <c r="B439" s="88" t="s">
        <v>18</v>
      </c>
      <c r="C439" s="106">
        <f t="shared" si="56"/>
        <v>2020</v>
      </c>
      <c r="D439" s="101">
        <v>43998</v>
      </c>
      <c r="E439" s="102"/>
      <c r="F439" s="103"/>
      <c r="G439" s="103"/>
      <c r="H439" s="103"/>
      <c r="I439" s="90">
        <f t="shared" si="57"/>
        <v>0</v>
      </c>
      <c r="J439" s="90">
        <f t="shared" si="58"/>
        <v>0</v>
      </c>
      <c r="K439" s="91">
        <f t="shared" si="59"/>
        <v>0.72916666666666674</v>
      </c>
      <c r="L439" s="91">
        <f t="shared" si="60"/>
        <v>3.333333333333333</v>
      </c>
      <c r="M439" s="29">
        <f t="shared" si="64"/>
        <v>12</v>
      </c>
      <c r="N439" s="92">
        <f t="shared" si="61"/>
        <v>0</v>
      </c>
      <c r="O439" s="104">
        <f t="shared" si="62"/>
        <v>1.016</v>
      </c>
      <c r="P439" s="105">
        <f t="shared" si="63"/>
        <v>0</v>
      </c>
    </row>
    <row r="440" spans="2:16" x14ac:dyDescent="0.25">
      <c r="B440" s="88" t="s">
        <v>18</v>
      </c>
      <c r="C440" s="106">
        <f t="shared" si="56"/>
        <v>2020</v>
      </c>
      <c r="D440" s="101">
        <v>43999</v>
      </c>
      <c r="E440" s="102"/>
      <c r="F440" s="103"/>
      <c r="G440" s="103"/>
      <c r="H440" s="103"/>
      <c r="I440" s="90">
        <f t="shared" si="57"/>
        <v>0</v>
      </c>
      <c r="J440" s="90">
        <f t="shared" si="58"/>
        <v>0</v>
      </c>
      <c r="K440" s="91">
        <f t="shared" si="59"/>
        <v>0.72916666666666674</v>
      </c>
      <c r="L440" s="91">
        <f t="shared" si="60"/>
        <v>3.333333333333333</v>
      </c>
      <c r="M440" s="29">
        <f t="shared" si="64"/>
        <v>12</v>
      </c>
      <c r="N440" s="92">
        <f t="shared" si="61"/>
        <v>0</v>
      </c>
      <c r="O440" s="104">
        <f t="shared" si="62"/>
        <v>1.016</v>
      </c>
      <c r="P440" s="105">
        <f t="shared" si="63"/>
        <v>0</v>
      </c>
    </row>
    <row r="441" spans="2:16" x14ac:dyDescent="0.25">
      <c r="B441" s="88" t="s">
        <v>18</v>
      </c>
      <c r="C441" s="106">
        <f t="shared" si="56"/>
        <v>2020</v>
      </c>
      <c r="D441" s="101">
        <v>44000</v>
      </c>
      <c r="E441" s="102">
        <v>0.4375</v>
      </c>
      <c r="F441" s="103">
        <v>0.45833333333333331</v>
      </c>
      <c r="G441" s="103">
        <v>0.4375</v>
      </c>
      <c r="H441" s="103">
        <v>0.45833333333333331</v>
      </c>
      <c r="I441" s="90">
        <f t="shared" si="57"/>
        <v>0.49999999999999956</v>
      </c>
      <c r="J441" s="90">
        <f t="shared" si="58"/>
        <v>0.49999999999999956</v>
      </c>
      <c r="K441" s="91">
        <f t="shared" si="59"/>
        <v>0.72916666666666674</v>
      </c>
      <c r="L441" s="91">
        <f t="shared" si="60"/>
        <v>3.333333333333333</v>
      </c>
      <c r="M441" s="29">
        <f t="shared" si="64"/>
        <v>12</v>
      </c>
      <c r="N441" s="92">
        <f t="shared" si="61"/>
        <v>0.49999999999999956</v>
      </c>
      <c r="O441" s="104">
        <f t="shared" si="62"/>
        <v>1.016</v>
      </c>
      <c r="P441" s="105">
        <f t="shared" si="63"/>
        <v>4.2671999999999963</v>
      </c>
    </row>
    <row r="442" spans="2:16" x14ac:dyDescent="0.25">
      <c r="B442" s="88" t="s">
        <v>18</v>
      </c>
      <c r="C442" s="106">
        <f t="shared" si="56"/>
        <v>2020</v>
      </c>
      <c r="D442" s="101">
        <v>44001</v>
      </c>
      <c r="E442" s="102"/>
      <c r="F442" s="103"/>
      <c r="G442" s="103"/>
      <c r="H442" s="103"/>
      <c r="I442" s="90">
        <f t="shared" si="57"/>
        <v>0</v>
      </c>
      <c r="J442" s="90">
        <f t="shared" si="58"/>
        <v>0</v>
      </c>
      <c r="K442" s="91">
        <f t="shared" si="59"/>
        <v>0.72916666666666674</v>
      </c>
      <c r="L442" s="91">
        <f t="shared" si="60"/>
        <v>3.333333333333333</v>
      </c>
      <c r="M442" s="29">
        <f t="shared" si="64"/>
        <v>12</v>
      </c>
      <c r="N442" s="92">
        <f t="shared" si="61"/>
        <v>0</v>
      </c>
      <c r="O442" s="104">
        <f t="shared" si="62"/>
        <v>1.016</v>
      </c>
      <c r="P442" s="105">
        <f t="shared" si="63"/>
        <v>0</v>
      </c>
    </row>
    <row r="443" spans="2:16" x14ac:dyDescent="0.25">
      <c r="B443" s="88" t="s">
        <v>18</v>
      </c>
      <c r="C443" s="106">
        <f t="shared" si="56"/>
        <v>2020</v>
      </c>
      <c r="D443" s="101">
        <v>44002</v>
      </c>
      <c r="E443" s="102"/>
      <c r="F443" s="103"/>
      <c r="G443" s="103"/>
      <c r="H443" s="103"/>
      <c r="I443" s="90">
        <f t="shared" si="57"/>
        <v>0</v>
      </c>
      <c r="J443" s="90">
        <f t="shared" si="58"/>
        <v>0</v>
      </c>
      <c r="K443" s="91">
        <f t="shared" si="59"/>
        <v>0.72916666666666674</v>
      </c>
      <c r="L443" s="91">
        <f t="shared" si="60"/>
        <v>3.333333333333333</v>
      </c>
      <c r="M443" s="29">
        <f t="shared" si="64"/>
        <v>12</v>
      </c>
      <c r="N443" s="92">
        <f t="shared" si="61"/>
        <v>0</v>
      </c>
      <c r="O443" s="104">
        <f t="shared" si="62"/>
        <v>1.016</v>
      </c>
      <c r="P443" s="105">
        <f t="shared" si="63"/>
        <v>0</v>
      </c>
    </row>
    <row r="444" spans="2:16" x14ac:dyDescent="0.25">
      <c r="B444" s="88" t="s">
        <v>18</v>
      </c>
      <c r="C444" s="106">
        <f t="shared" si="56"/>
        <v>2020</v>
      </c>
      <c r="D444" s="101">
        <v>44003</v>
      </c>
      <c r="E444" s="102">
        <v>0.5625</v>
      </c>
      <c r="F444" s="103">
        <v>0.58333333333333337</v>
      </c>
      <c r="G444" s="103">
        <v>0.5625</v>
      </c>
      <c r="H444" s="103">
        <v>0.58333333333333337</v>
      </c>
      <c r="I444" s="90">
        <f t="shared" si="57"/>
        <v>0.50000000000000089</v>
      </c>
      <c r="J444" s="90">
        <f t="shared" si="58"/>
        <v>0.50000000000000089</v>
      </c>
      <c r="K444" s="91">
        <f t="shared" si="59"/>
        <v>0.72916666666666674</v>
      </c>
      <c r="L444" s="91">
        <f t="shared" si="60"/>
        <v>3.333333333333333</v>
      </c>
      <c r="M444" s="29">
        <f t="shared" si="64"/>
        <v>12</v>
      </c>
      <c r="N444" s="92">
        <f t="shared" si="61"/>
        <v>0.50000000000000089</v>
      </c>
      <c r="O444" s="104">
        <f t="shared" si="62"/>
        <v>1.016</v>
      </c>
      <c r="P444" s="105">
        <f t="shared" si="63"/>
        <v>4.267200000000007</v>
      </c>
    </row>
    <row r="445" spans="2:16" x14ac:dyDescent="0.25">
      <c r="B445" s="88" t="s">
        <v>18</v>
      </c>
      <c r="C445" s="106">
        <f t="shared" si="56"/>
        <v>2020</v>
      </c>
      <c r="D445" s="101">
        <v>44004</v>
      </c>
      <c r="E445" s="102"/>
      <c r="F445" s="103"/>
      <c r="G445" s="103"/>
      <c r="H445" s="103"/>
      <c r="I445" s="90">
        <f t="shared" si="57"/>
        <v>0</v>
      </c>
      <c r="J445" s="90">
        <f t="shared" si="58"/>
        <v>0</v>
      </c>
      <c r="K445" s="91">
        <f t="shared" si="59"/>
        <v>0.72916666666666674</v>
      </c>
      <c r="L445" s="91">
        <f t="shared" si="60"/>
        <v>3.333333333333333</v>
      </c>
      <c r="M445" s="29">
        <f t="shared" si="64"/>
        <v>12</v>
      </c>
      <c r="N445" s="92">
        <f t="shared" si="61"/>
        <v>0</v>
      </c>
      <c r="O445" s="104">
        <f t="shared" si="62"/>
        <v>1.016</v>
      </c>
      <c r="P445" s="105">
        <f t="shared" si="63"/>
        <v>0</v>
      </c>
    </row>
    <row r="446" spans="2:16" x14ac:dyDescent="0.25">
      <c r="B446" s="88" t="s">
        <v>18</v>
      </c>
      <c r="C446" s="106">
        <f t="shared" si="56"/>
        <v>2020</v>
      </c>
      <c r="D446" s="101">
        <v>44005</v>
      </c>
      <c r="E446" s="102"/>
      <c r="F446" s="103"/>
      <c r="G446" s="103"/>
      <c r="H446" s="103"/>
      <c r="I446" s="90">
        <f t="shared" si="57"/>
        <v>0</v>
      </c>
      <c r="J446" s="90">
        <f t="shared" si="58"/>
        <v>0</v>
      </c>
      <c r="K446" s="91">
        <f t="shared" si="59"/>
        <v>0.72916666666666674</v>
      </c>
      <c r="L446" s="91">
        <f t="shared" si="60"/>
        <v>3.333333333333333</v>
      </c>
      <c r="M446" s="29">
        <f t="shared" si="64"/>
        <v>12</v>
      </c>
      <c r="N446" s="92">
        <f t="shared" si="61"/>
        <v>0</v>
      </c>
      <c r="O446" s="104">
        <f t="shared" si="62"/>
        <v>1.016</v>
      </c>
      <c r="P446" s="105">
        <f t="shared" si="63"/>
        <v>0</v>
      </c>
    </row>
    <row r="447" spans="2:16" x14ac:dyDescent="0.25">
      <c r="B447" s="88" t="s">
        <v>18</v>
      </c>
      <c r="C447" s="106">
        <f t="shared" si="56"/>
        <v>2020</v>
      </c>
      <c r="D447" s="101">
        <v>44006</v>
      </c>
      <c r="E447" s="102"/>
      <c r="F447" s="103"/>
      <c r="G447" s="103"/>
      <c r="H447" s="103"/>
      <c r="I447" s="90">
        <f t="shared" si="57"/>
        <v>0</v>
      </c>
      <c r="J447" s="90">
        <f t="shared" si="58"/>
        <v>0</v>
      </c>
      <c r="K447" s="91">
        <f t="shared" si="59"/>
        <v>0.72916666666666674</v>
      </c>
      <c r="L447" s="91">
        <f t="shared" si="60"/>
        <v>3.333333333333333</v>
      </c>
      <c r="M447" s="29">
        <f t="shared" si="64"/>
        <v>12</v>
      </c>
      <c r="N447" s="92">
        <f t="shared" si="61"/>
        <v>0</v>
      </c>
      <c r="O447" s="104">
        <f t="shared" si="62"/>
        <v>1.016</v>
      </c>
      <c r="P447" s="105">
        <f t="shared" si="63"/>
        <v>0</v>
      </c>
    </row>
    <row r="448" spans="2:16" x14ac:dyDescent="0.25">
      <c r="B448" s="88" t="s">
        <v>18</v>
      </c>
      <c r="C448" s="106">
        <f t="shared" si="56"/>
        <v>2020</v>
      </c>
      <c r="D448" s="101">
        <v>44007</v>
      </c>
      <c r="E448" s="102"/>
      <c r="F448" s="103"/>
      <c r="G448" s="103"/>
      <c r="H448" s="103"/>
      <c r="I448" s="90">
        <f t="shared" si="57"/>
        <v>0</v>
      </c>
      <c r="J448" s="90">
        <f t="shared" si="58"/>
        <v>0</v>
      </c>
      <c r="K448" s="91">
        <f t="shared" si="59"/>
        <v>0.72916666666666674</v>
      </c>
      <c r="L448" s="91">
        <f t="shared" si="60"/>
        <v>3.333333333333333</v>
      </c>
      <c r="M448" s="29">
        <f t="shared" si="64"/>
        <v>12</v>
      </c>
      <c r="N448" s="92">
        <f t="shared" si="61"/>
        <v>0</v>
      </c>
      <c r="O448" s="104">
        <f t="shared" si="62"/>
        <v>1.016</v>
      </c>
      <c r="P448" s="105">
        <f t="shared" si="63"/>
        <v>0</v>
      </c>
    </row>
    <row r="449" spans="2:16" x14ac:dyDescent="0.25">
      <c r="B449" s="88" t="s">
        <v>18</v>
      </c>
      <c r="C449" s="106">
        <f t="shared" si="56"/>
        <v>2020</v>
      </c>
      <c r="D449" s="101">
        <v>44008</v>
      </c>
      <c r="E449" s="102">
        <v>0.60416666666666663</v>
      </c>
      <c r="F449" s="103">
        <v>0.625</v>
      </c>
      <c r="G449" s="103">
        <v>0.60416666666666663</v>
      </c>
      <c r="H449" s="103">
        <v>0.625</v>
      </c>
      <c r="I449" s="90">
        <f t="shared" si="57"/>
        <v>0.50000000000000089</v>
      </c>
      <c r="J449" s="90">
        <f t="shared" si="58"/>
        <v>0.50000000000000089</v>
      </c>
      <c r="K449" s="91">
        <f t="shared" si="59"/>
        <v>0.72916666666666674</v>
      </c>
      <c r="L449" s="91">
        <f t="shared" si="60"/>
        <v>3.333333333333333</v>
      </c>
      <c r="M449" s="29">
        <f t="shared" si="64"/>
        <v>12</v>
      </c>
      <c r="N449" s="92">
        <f t="shared" si="61"/>
        <v>0.50000000000000089</v>
      </c>
      <c r="O449" s="104">
        <f t="shared" si="62"/>
        <v>1.016</v>
      </c>
      <c r="P449" s="105">
        <f t="shared" si="63"/>
        <v>4.267200000000007</v>
      </c>
    </row>
    <row r="450" spans="2:16" x14ac:dyDescent="0.25">
      <c r="B450" s="88" t="s">
        <v>18</v>
      </c>
      <c r="C450" s="106">
        <f t="shared" si="56"/>
        <v>2020</v>
      </c>
      <c r="D450" s="101">
        <v>44009</v>
      </c>
      <c r="E450" s="102"/>
      <c r="F450" s="103"/>
      <c r="G450" s="103"/>
      <c r="H450" s="103"/>
      <c r="I450" s="90">
        <f t="shared" si="57"/>
        <v>0</v>
      </c>
      <c r="J450" s="90">
        <f t="shared" si="58"/>
        <v>0</v>
      </c>
      <c r="K450" s="91">
        <f t="shared" si="59"/>
        <v>0.72916666666666674</v>
      </c>
      <c r="L450" s="91">
        <f t="shared" si="60"/>
        <v>3.333333333333333</v>
      </c>
      <c r="M450" s="29">
        <f t="shared" si="64"/>
        <v>12</v>
      </c>
      <c r="N450" s="92">
        <f t="shared" si="61"/>
        <v>0</v>
      </c>
      <c r="O450" s="104">
        <f t="shared" si="62"/>
        <v>1.016</v>
      </c>
      <c r="P450" s="105">
        <f t="shared" si="63"/>
        <v>0</v>
      </c>
    </row>
    <row r="451" spans="2:16" x14ac:dyDescent="0.25">
      <c r="B451" s="88" t="s">
        <v>18</v>
      </c>
      <c r="C451" s="106">
        <f t="shared" si="56"/>
        <v>2020</v>
      </c>
      <c r="D451" s="101">
        <v>44010</v>
      </c>
      <c r="E451" s="102"/>
      <c r="F451" s="103"/>
      <c r="G451" s="103"/>
      <c r="H451" s="103"/>
      <c r="I451" s="90">
        <f t="shared" si="57"/>
        <v>0</v>
      </c>
      <c r="J451" s="90">
        <f t="shared" si="58"/>
        <v>0</v>
      </c>
      <c r="K451" s="91">
        <f t="shared" si="59"/>
        <v>0.72916666666666674</v>
      </c>
      <c r="L451" s="91">
        <f t="shared" si="60"/>
        <v>3.333333333333333</v>
      </c>
      <c r="M451" s="29">
        <f t="shared" si="64"/>
        <v>12</v>
      </c>
      <c r="N451" s="92">
        <f t="shared" si="61"/>
        <v>0</v>
      </c>
      <c r="O451" s="104">
        <f t="shared" si="62"/>
        <v>1.016</v>
      </c>
      <c r="P451" s="105">
        <f t="shared" si="63"/>
        <v>0</v>
      </c>
    </row>
    <row r="452" spans="2:16" x14ac:dyDescent="0.25">
      <c r="B452" s="88" t="s">
        <v>18</v>
      </c>
      <c r="C452" s="106">
        <f t="shared" si="56"/>
        <v>2020</v>
      </c>
      <c r="D452" s="101">
        <v>44011</v>
      </c>
      <c r="E452" s="102"/>
      <c r="F452" s="103"/>
      <c r="G452" s="103"/>
      <c r="H452" s="103"/>
      <c r="I452" s="90">
        <f t="shared" si="57"/>
        <v>0</v>
      </c>
      <c r="J452" s="90">
        <f t="shared" si="58"/>
        <v>0</v>
      </c>
      <c r="K452" s="91">
        <f t="shared" si="59"/>
        <v>0.72916666666666674</v>
      </c>
      <c r="L452" s="91">
        <f t="shared" si="60"/>
        <v>3.333333333333333</v>
      </c>
      <c r="M452" s="29">
        <f t="shared" si="64"/>
        <v>12</v>
      </c>
      <c r="N452" s="92">
        <f t="shared" si="61"/>
        <v>0</v>
      </c>
      <c r="O452" s="104">
        <f t="shared" si="62"/>
        <v>1.016</v>
      </c>
      <c r="P452" s="105">
        <f t="shared" si="63"/>
        <v>0</v>
      </c>
    </row>
    <row r="453" spans="2:16" x14ac:dyDescent="0.25">
      <c r="B453" s="88" t="s">
        <v>18</v>
      </c>
      <c r="C453" s="106">
        <f t="shared" si="56"/>
        <v>2020</v>
      </c>
      <c r="D453" s="101">
        <v>44012</v>
      </c>
      <c r="E453" s="102"/>
      <c r="F453" s="103"/>
      <c r="G453" s="103"/>
      <c r="H453" s="103"/>
      <c r="I453" s="90">
        <f t="shared" si="57"/>
        <v>0</v>
      </c>
      <c r="J453" s="90">
        <f t="shared" si="58"/>
        <v>0</v>
      </c>
      <c r="K453" s="91">
        <f t="shared" si="59"/>
        <v>0.72916666666666674</v>
      </c>
      <c r="L453" s="91">
        <f t="shared" si="60"/>
        <v>3.333333333333333</v>
      </c>
      <c r="M453" s="29">
        <f t="shared" si="64"/>
        <v>12</v>
      </c>
      <c r="N453" s="92">
        <f t="shared" si="61"/>
        <v>0</v>
      </c>
      <c r="O453" s="104">
        <f t="shared" si="62"/>
        <v>1.016</v>
      </c>
      <c r="P453" s="105">
        <f t="shared" si="63"/>
        <v>0</v>
      </c>
    </row>
    <row r="454" spans="2:16" x14ac:dyDescent="0.25">
      <c r="B454" s="88" t="s">
        <v>18</v>
      </c>
      <c r="C454" s="106">
        <f t="shared" si="56"/>
        <v>2020</v>
      </c>
      <c r="D454" s="101">
        <v>44013</v>
      </c>
      <c r="E454" s="102"/>
      <c r="F454" s="103"/>
      <c r="G454" s="103"/>
      <c r="H454" s="103"/>
      <c r="I454" s="90">
        <f t="shared" si="57"/>
        <v>0</v>
      </c>
      <c r="J454" s="90">
        <f t="shared" si="58"/>
        <v>0</v>
      </c>
      <c r="K454" s="91">
        <f t="shared" si="59"/>
        <v>0.72916666666666674</v>
      </c>
      <c r="L454" s="91">
        <f t="shared" si="60"/>
        <v>3.333333333333333</v>
      </c>
      <c r="M454" s="29">
        <f t="shared" si="64"/>
        <v>12</v>
      </c>
      <c r="N454" s="92">
        <f t="shared" si="61"/>
        <v>0</v>
      </c>
      <c r="O454" s="104">
        <f t="shared" si="62"/>
        <v>1.016</v>
      </c>
      <c r="P454" s="105">
        <f t="shared" si="63"/>
        <v>0</v>
      </c>
    </row>
    <row r="455" spans="2:16" x14ac:dyDescent="0.25">
      <c r="B455" s="88" t="s">
        <v>18</v>
      </c>
      <c r="C455" s="106">
        <f t="shared" si="56"/>
        <v>2020</v>
      </c>
      <c r="D455" s="101">
        <v>44014</v>
      </c>
      <c r="E455" s="102">
        <v>0.66666666666666663</v>
      </c>
      <c r="F455" s="103">
        <v>0.6875</v>
      </c>
      <c r="G455" s="103">
        <v>0.66666666666666663</v>
      </c>
      <c r="H455" s="103">
        <v>0.6875</v>
      </c>
      <c r="I455" s="90">
        <f t="shared" si="57"/>
        <v>0.50000000000000089</v>
      </c>
      <c r="J455" s="90">
        <f t="shared" si="58"/>
        <v>0.50000000000000089</v>
      </c>
      <c r="K455" s="91">
        <f t="shared" si="59"/>
        <v>0.72916666666666674</v>
      </c>
      <c r="L455" s="91">
        <f t="shared" si="60"/>
        <v>3.333333333333333</v>
      </c>
      <c r="M455" s="29">
        <f t="shared" si="64"/>
        <v>12</v>
      </c>
      <c r="N455" s="92">
        <f t="shared" si="61"/>
        <v>0.50000000000000089</v>
      </c>
      <c r="O455" s="104">
        <f t="shared" si="62"/>
        <v>1.016</v>
      </c>
      <c r="P455" s="105">
        <f t="shared" si="63"/>
        <v>4.267200000000007</v>
      </c>
    </row>
    <row r="456" spans="2:16" x14ac:dyDescent="0.25">
      <c r="B456" s="88" t="s">
        <v>18</v>
      </c>
      <c r="C456" s="106">
        <f t="shared" si="56"/>
        <v>2020</v>
      </c>
      <c r="D456" s="101">
        <v>44015</v>
      </c>
      <c r="E456" s="102"/>
      <c r="F456" s="103"/>
      <c r="G456" s="103"/>
      <c r="H456" s="103"/>
      <c r="I456" s="90">
        <f t="shared" si="57"/>
        <v>0</v>
      </c>
      <c r="J456" s="90">
        <f t="shared" si="58"/>
        <v>0</v>
      </c>
      <c r="K456" s="91">
        <f t="shared" si="59"/>
        <v>0.72916666666666674</v>
      </c>
      <c r="L456" s="91">
        <f t="shared" si="60"/>
        <v>3.333333333333333</v>
      </c>
      <c r="M456" s="29">
        <f t="shared" si="64"/>
        <v>12</v>
      </c>
      <c r="N456" s="92">
        <f t="shared" si="61"/>
        <v>0</v>
      </c>
      <c r="O456" s="104">
        <f t="shared" si="62"/>
        <v>1.016</v>
      </c>
      <c r="P456" s="105">
        <f t="shared" si="63"/>
        <v>0</v>
      </c>
    </row>
    <row r="457" spans="2:16" x14ac:dyDescent="0.25">
      <c r="B457" s="88" t="s">
        <v>18</v>
      </c>
      <c r="C457" s="106">
        <f t="shared" si="56"/>
        <v>2020</v>
      </c>
      <c r="D457" s="101">
        <v>44016</v>
      </c>
      <c r="E457" s="102"/>
      <c r="F457" s="103"/>
      <c r="G457" s="103"/>
      <c r="H457" s="103"/>
      <c r="I457" s="90">
        <f t="shared" si="57"/>
        <v>0</v>
      </c>
      <c r="J457" s="90">
        <f t="shared" si="58"/>
        <v>0</v>
      </c>
      <c r="K457" s="91">
        <f t="shared" si="59"/>
        <v>0.72916666666666674</v>
      </c>
      <c r="L457" s="91">
        <f t="shared" si="60"/>
        <v>3.333333333333333</v>
      </c>
      <c r="M457" s="29">
        <f t="shared" si="64"/>
        <v>12</v>
      </c>
      <c r="N457" s="92">
        <f t="shared" si="61"/>
        <v>0</v>
      </c>
      <c r="O457" s="104">
        <f t="shared" si="62"/>
        <v>1.016</v>
      </c>
      <c r="P457" s="105">
        <f t="shared" si="63"/>
        <v>0</v>
      </c>
    </row>
    <row r="458" spans="2:16" x14ac:dyDescent="0.25">
      <c r="B458" s="88" t="s">
        <v>18</v>
      </c>
      <c r="C458" s="106">
        <f t="shared" si="56"/>
        <v>2020</v>
      </c>
      <c r="D458" s="101">
        <v>44017</v>
      </c>
      <c r="E458" s="102"/>
      <c r="F458" s="103"/>
      <c r="G458" s="103"/>
      <c r="H458" s="103"/>
      <c r="I458" s="90">
        <f t="shared" si="57"/>
        <v>0</v>
      </c>
      <c r="J458" s="90">
        <f t="shared" si="58"/>
        <v>0</v>
      </c>
      <c r="K458" s="91">
        <f t="shared" si="59"/>
        <v>0.72916666666666674</v>
      </c>
      <c r="L458" s="91">
        <f t="shared" si="60"/>
        <v>3.333333333333333</v>
      </c>
      <c r="M458" s="29">
        <f t="shared" si="64"/>
        <v>12</v>
      </c>
      <c r="N458" s="92">
        <f t="shared" si="61"/>
        <v>0</v>
      </c>
      <c r="O458" s="104">
        <f t="shared" si="62"/>
        <v>1.016</v>
      </c>
      <c r="P458" s="105">
        <f t="shared" si="63"/>
        <v>0</v>
      </c>
    </row>
    <row r="459" spans="2:16" x14ac:dyDescent="0.25">
      <c r="B459" s="88" t="s">
        <v>18</v>
      </c>
      <c r="C459" s="106">
        <f t="shared" si="56"/>
        <v>2020</v>
      </c>
      <c r="D459" s="101">
        <v>44018</v>
      </c>
      <c r="E459" s="102"/>
      <c r="F459" s="103"/>
      <c r="G459" s="103"/>
      <c r="H459" s="103"/>
      <c r="I459" s="90">
        <f t="shared" si="57"/>
        <v>0</v>
      </c>
      <c r="J459" s="90">
        <f t="shared" si="58"/>
        <v>0</v>
      </c>
      <c r="K459" s="91">
        <f t="shared" si="59"/>
        <v>0.72916666666666674</v>
      </c>
      <c r="L459" s="91">
        <f t="shared" si="60"/>
        <v>3.333333333333333</v>
      </c>
      <c r="M459" s="29">
        <f t="shared" si="64"/>
        <v>12</v>
      </c>
      <c r="N459" s="92">
        <f t="shared" si="61"/>
        <v>0</v>
      </c>
      <c r="O459" s="104">
        <f t="shared" si="62"/>
        <v>1.016</v>
      </c>
      <c r="P459" s="105">
        <f t="shared" si="63"/>
        <v>0</v>
      </c>
    </row>
    <row r="460" spans="2:16" x14ac:dyDescent="0.25">
      <c r="B460" s="88" t="s">
        <v>18</v>
      </c>
      <c r="C460" s="106">
        <f t="shared" si="56"/>
        <v>2020</v>
      </c>
      <c r="D460" s="101">
        <v>44019</v>
      </c>
      <c r="E460" s="102"/>
      <c r="F460" s="103"/>
      <c r="G460" s="103"/>
      <c r="H460" s="103"/>
      <c r="I460" s="90">
        <f t="shared" si="57"/>
        <v>0</v>
      </c>
      <c r="J460" s="90">
        <f t="shared" si="58"/>
        <v>0</v>
      </c>
      <c r="K460" s="91">
        <f t="shared" si="59"/>
        <v>0.72916666666666674</v>
      </c>
      <c r="L460" s="91">
        <f t="shared" si="60"/>
        <v>3.333333333333333</v>
      </c>
      <c r="M460" s="29">
        <f t="shared" si="64"/>
        <v>12</v>
      </c>
      <c r="N460" s="92">
        <f t="shared" si="61"/>
        <v>0</v>
      </c>
      <c r="O460" s="104">
        <f t="shared" si="62"/>
        <v>1.016</v>
      </c>
      <c r="P460" s="105">
        <f t="shared" si="63"/>
        <v>0</v>
      </c>
    </row>
    <row r="461" spans="2:16" x14ac:dyDescent="0.25">
      <c r="B461" s="88" t="s">
        <v>18</v>
      </c>
      <c r="C461" s="106">
        <f t="shared" si="56"/>
        <v>2020</v>
      </c>
      <c r="D461" s="101">
        <v>44020</v>
      </c>
      <c r="E461" s="102">
        <v>0.45833333333333331</v>
      </c>
      <c r="F461" s="103">
        <v>0.47916666666666669</v>
      </c>
      <c r="G461" s="103">
        <v>0.45833333333333331</v>
      </c>
      <c r="H461" s="103">
        <v>0.47916666666666669</v>
      </c>
      <c r="I461" s="90">
        <f t="shared" si="57"/>
        <v>0.50000000000000089</v>
      </c>
      <c r="J461" s="90">
        <f t="shared" si="58"/>
        <v>0.50000000000000089</v>
      </c>
      <c r="K461" s="91">
        <f t="shared" si="59"/>
        <v>0.72916666666666674</v>
      </c>
      <c r="L461" s="91">
        <f t="shared" si="60"/>
        <v>3.333333333333333</v>
      </c>
      <c r="M461" s="29">
        <f t="shared" si="64"/>
        <v>12</v>
      </c>
      <c r="N461" s="92">
        <f t="shared" si="61"/>
        <v>0.50000000000000089</v>
      </c>
      <c r="O461" s="104">
        <f t="shared" si="62"/>
        <v>1.016</v>
      </c>
      <c r="P461" s="105">
        <f t="shared" si="63"/>
        <v>4.267200000000007</v>
      </c>
    </row>
    <row r="462" spans="2:16" x14ac:dyDescent="0.25">
      <c r="B462" s="88" t="s">
        <v>18</v>
      </c>
      <c r="C462" s="106">
        <f t="shared" si="56"/>
        <v>2020</v>
      </c>
      <c r="D462" s="101">
        <v>44021</v>
      </c>
      <c r="E462" s="102"/>
      <c r="F462" s="103"/>
      <c r="G462" s="103"/>
      <c r="H462" s="103"/>
      <c r="I462" s="90">
        <f t="shared" si="57"/>
        <v>0</v>
      </c>
      <c r="J462" s="90">
        <f t="shared" si="58"/>
        <v>0</v>
      </c>
      <c r="K462" s="91">
        <f t="shared" si="59"/>
        <v>0.72916666666666674</v>
      </c>
      <c r="L462" s="91">
        <f t="shared" si="60"/>
        <v>3.333333333333333</v>
      </c>
      <c r="M462" s="29">
        <f t="shared" si="64"/>
        <v>12</v>
      </c>
      <c r="N462" s="92">
        <f t="shared" si="61"/>
        <v>0</v>
      </c>
      <c r="O462" s="104">
        <f t="shared" si="62"/>
        <v>1.016</v>
      </c>
      <c r="P462" s="105">
        <f t="shared" si="63"/>
        <v>0</v>
      </c>
    </row>
    <row r="463" spans="2:16" x14ac:dyDescent="0.25">
      <c r="B463" s="88" t="s">
        <v>18</v>
      </c>
      <c r="C463" s="106">
        <f t="shared" si="56"/>
        <v>2020</v>
      </c>
      <c r="D463" s="101">
        <v>44022</v>
      </c>
      <c r="E463" s="102"/>
      <c r="F463" s="103"/>
      <c r="G463" s="103"/>
      <c r="H463" s="103"/>
      <c r="I463" s="90">
        <f t="shared" si="57"/>
        <v>0</v>
      </c>
      <c r="J463" s="90">
        <f t="shared" si="58"/>
        <v>0</v>
      </c>
      <c r="K463" s="91">
        <f t="shared" si="59"/>
        <v>0.72916666666666674</v>
      </c>
      <c r="L463" s="91">
        <f t="shared" si="60"/>
        <v>3.333333333333333</v>
      </c>
      <c r="M463" s="29">
        <f t="shared" si="64"/>
        <v>12</v>
      </c>
      <c r="N463" s="92">
        <f t="shared" si="61"/>
        <v>0</v>
      </c>
      <c r="O463" s="104">
        <f t="shared" si="62"/>
        <v>1.016</v>
      </c>
      <c r="P463" s="105">
        <f t="shared" si="63"/>
        <v>0</v>
      </c>
    </row>
    <row r="464" spans="2:16" x14ac:dyDescent="0.25">
      <c r="B464" s="88" t="s">
        <v>18</v>
      </c>
      <c r="C464" s="106">
        <f t="shared" si="56"/>
        <v>2020</v>
      </c>
      <c r="D464" s="101">
        <v>44023</v>
      </c>
      <c r="E464" s="102"/>
      <c r="F464" s="103"/>
      <c r="G464" s="103"/>
      <c r="H464" s="103"/>
      <c r="I464" s="90">
        <f t="shared" si="57"/>
        <v>0</v>
      </c>
      <c r="J464" s="90">
        <f t="shared" si="58"/>
        <v>0</v>
      </c>
      <c r="K464" s="91">
        <f t="shared" si="59"/>
        <v>0.72916666666666674</v>
      </c>
      <c r="L464" s="91">
        <f t="shared" si="60"/>
        <v>3.333333333333333</v>
      </c>
      <c r="M464" s="29">
        <f t="shared" si="64"/>
        <v>12</v>
      </c>
      <c r="N464" s="92">
        <f t="shared" si="61"/>
        <v>0</v>
      </c>
      <c r="O464" s="104">
        <f t="shared" si="62"/>
        <v>1.016</v>
      </c>
      <c r="P464" s="105">
        <f t="shared" si="63"/>
        <v>0</v>
      </c>
    </row>
    <row r="465" spans="2:16" x14ac:dyDescent="0.25">
      <c r="B465" s="88" t="s">
        <v>18</v>
      </c>
      <c r="C465" s="106">
        <f t="shared" si="56"/>
        <v>2020</v>
      </c>
      <c r="D465" s="101">
        <v>44024</v>
      </c>
      <c r="E465" s="102"/>
      <c r="F465" s="103"/>
      <c r="G465" s="103"/>
      <c r="H465" s="103"/>
      <c r="I465" s="90">
        <f t="shared" si="57"/>
        <v>0</v>
      </c>
      <c r="J465" s="90">
        <f t="shared" si="58"/>
        <v>0</v>
      </c>
      <c r="K465" s="91">
        <f t="shared" si="59"/>
        <v>0.72916666666666674</v>
      </c>
      <c r="L465" s="91">
        <f t="shared" si="60"/>
        <v>3.333333333333333</v>
      </c>
      <c r="M465" s="29">
        <f t="shared" si="64"/>
        <v>12</v>
      </c>
      <c r="N465" s="92">
        <f t="shared" si="61"/>
        <v>0</v>
      </c>
      <c r="O465" s="104">
        <f t="shared" si="62"/>
        <v>1.016</v>
      </c>
      <c r="P465" s="105">
        <f t="shared" si="63"/>
        <v>0</v>
      </c>
    </row>
    <row r="466" spans="2:16" x14ac:dyDescent="0.25">
      <c r="B466" s="88" t="s">
        <v>18</v>
      </c>
      <c r="C466" s="106">
        <f t="shared" si="56"/>
        <v>2020</v>
      </c>
      <c r="D466" s="101">
        <v>44025</v>
      </c>
      <c r="E466" s="102">
        <v>0.70833333333333337</v>
      </c>
      <c r="F466" s="103">
        <v>0.72916666666666663</v>
      </c>
      <c r="G466" s="103">
        <v>0.70833333333333337</v>
      </c>
      <c r="H466" s="103">
        <v>0.72916666666666663</v>
      </c>
      <c r="I466" s="90">
        <f t="shared" si="57"/>
        <v>0.49999999999999822</v>
      </c>
      <c r="J466" s="90">
        <f t="shared" si="58"/>
        <v>0.49999999999999822</v>
      </c>
      <c r="K466" s="91">
        <f t="shared" si="59"/>
        <v>0.72916666666666674</v>
      </c>
      <c r="L466" s="91">
        <f t="shared" si="60"/>
        <v>3.333333333333333</v>
      </c>
      <c r="M466" s="29">
        <f t="shared" si="64"/>
        <v>12</v>
      </c>
      <c r="N466" s="92">
        <f t="shared" si="61"/>
        <v>0.49999999999999822</v>
      </c>
      <c r="O466" s="104">
        <f t="shared" si="62"/>
        <v>1.016</v>
      </c>
      <c r="P466" s="105">
        <f t="shared" si="63"/>
        <v>4.2671999999999848</v>
      </c>
    </row>
    <row r="467" spans="2:16" x14ac:dyDescent="0.25">
      <c r="B467" s="88" t="s">
        <v>18</v>
      </c>
      <c r="C467" s="106">
        <f t="shared" si="56"/>
        <v>2020</v>
      </c>
      <c r="D467" s="101">
        <v>44026</v>
      </c>
      <c r="E467" s="102"/>
      <c r="F467" s="103"/>
      <c r="G467" s="103"/>
      <c r="H467" s="103"/>
      <c r="I467" s="90">
        <f t="shared" si="57"/>
        <v>0</v>
      </c>
      <c r="J467" s="90">
        <f t="shared" si="58"/>
        <v>0</v>
      </c>
      <c r="K467" s="91">
        <f t="shared" si="59"/>
        <v>0.72916666666666674</v>
      </c>
      <c r="L467" s="91">
        <f t="shared" si="60"/>
        <v>3.333333333333333</v>
      </c>
      <c r="M467" s="29">
        <f t="shared" si="64"/>
        <v>12</v>
      </c>
      <c r="N467" s="92">
        <f t="shared" si="61"/>
        <v>0</v>
      </c>
      <c r="O467" s="104">
        <f t="shared" si="62"/>
        <v>1.016</v>
      </c>
      <c r="P467" s="105">
        <f t="shared" si="63"/>
        <v>0</v>
      </c>
    </row>
    <row r="468" spans="2:16" x14ac:dyDescent="0.25">
      <c r="B468" s="88" t="s">
        <v>18</v>
      </c>
      <c r="C468" s="106">
        <f t="shared" si="56"/>
        <v>2020</v>
      </c>
      <c r="D468" s="101">
        <v>44027</v>
      </c>
      <c r="E468" s="102"/>
      <c r="F468" s="103"/>
      <c r="G468" s="103"/>
      <c r="H468" s="103"/>
      <c r="I468" s="90">
        <f t="shared" si="57"/>
        <v>0</v>
      </c>
      <c r="J468" s="90">
        <f t="shared" si="58"/>
        <v>0</v>
      </c>
      <c r="K468" s="91">
        <f t="shared" si="59"/>
        <v>0.72916666666666674</v>
      </c>
      <c r="L468" s="91">
        <f t="shared" si="60"/>
        <v>3.333333333333333</v>
      </c>
      <c r="M468" s="29">
        <f t="shared" si="64"/>
        <v>12</v>
      </c>
      <c r="N468" s="92">
        <f t="shared" si="61"/>
        <v>0</v>
      </c>
      <c r="O468" s="104">
        <f t="shared" si="62"/>
        <v>1.016</v>
      </c>
      <c r="P468" s="105">
        <f t="shared" si="63"/>
        <v>0</v>
      </c>
    </row>
    <row r="469" spans="2:16" x14ac:dyDescent="0.25">
      <c r="B469" s="88" t="s">
        <v>18</v>
      </c>
      <c r="C469" s="106">
        <f t="shared" si="56"/>
        <v>2020</v>
      </c>
      <c r="D469" s="101">
        <v>44028</v>
      </c>
      <c r="E469" s="102"/>
      <c r="F469" s="103"/>
      <c r="G469" s="103"/>
      <c r="H469" s="103"/>
      <c r="I469" s="90">
        <f t="shared" si="57"/>
        <v>0</v>
      </c>
      <c r="J469" s="90">
        <f t="shared" si="58"/>
        <v>0</v>
      </c>
      <c r="K469" s="91">
        <f t="shared" si="59"/>
        <v>0.72916666666666674</v>
      </c>
      <c r="L469" s="91">
        <f t="shared" si="60"/>
        <v>3.333333333333333</v>
      </c>
      <c r="M469" s="29">
        <f t="shared" si="64"/>
        <v>12</v>
      </c>
      <c r="N469" s="92">
        <f t="shared" si="61"/>
        <v>0</v>
      </c>
      <c r="O469" s="104">
        <f t="shared" si="62"/>
        <v>1.016</v>
      </c>
      <c r="P469" s="105">
        <f t="shared" si="63"/>
        <v>0</v>
      </c>
    </row>
    <row r="470" spans="2:16" x14ac:dyDescent="0.25">
      <c r="B470" s="88" t="s">
        <v>18</v>
      </c>
      <c r="C470" s="106">
        <f t="shared" si="56"/>
        <v>2020</v>
      </c>
      <c r="D470" s="101">
        <v>44029</v>
      </c>
      <c r="E470" s="102"/>
      <c r="F470" s="103"/>
      <c r="G470" s="103"/>
      <c r="H470" s="103"/>
      <c r="I470" s="90">
        <f t="shared" si="57"/>
        <v>0</v>
      </c>
      <c r="J470" s="90">
        <f t="shared" si="58"/>
        <v>0</v>
      </c>
      <c r="K470" s="91">
        <f t="shared" si="59"/>
        <v>0.72916666666666674</v>
      </c>
      <c r="L470" s="91">
        <f t="shared" si="60"/>
        <v>3.333333333333333</v>
      </c>
      <c r="M470" s="29">
        <f t="shared" si="64"/>
        <v>12</v>
      </c>
      <c r="N470" s="92">
        <f t="shared" si="61"/>
        <v>0</v>
      </c>
      <c r="O470" s="104">
        <f t="shared" si="62"/>
        <v>1.016</v>
      </c>
      <c r="P470" s="105">
        <f t="shared" si="63"/>
        <v>0</v>
      </c>
    </row>
    <row r="471" spans="2:16" x14ac:dyDescent="0.25">
      <c r="B471" s="88" t="s">
        <v>18</v>
      </c>
      <c r="C471" s="106">
        <f t="shared" si="56"/>
        <v>2020</v>
      </c>
      <c r="D471" s="101">
        <v>44030</v>
      </c>
      <c r="E471" s="102"/>
      <c r="F471" s="103"/>
      <c r="G471" s="103"/>
      <c r="H471" s="103"/>
      <c r="I471" s="90">
        <f t="shared" si="57"/>
        <v>0</v>
      </c>
      <c r="J471" s="90">
        <f t="shared" si="58"/>
        <v>0</v>
      </c>
      <c r="K471" s="91">
        <f t="shared" si="59"/>
        <v>0.72916666666666674</v>
      </c>
      <c r="L471" s="91">
        <f t="shared" si="60"/>
        <v>3.333333333333333</v>
      </c>
      <c r="M471" s="29">
        <f t="shared" si="64"/>
        <v>12</v>
      </c>
      <c r="N471" s="92">
        <f t="shared" si="61"/>
        <v>0</v>
      </c>
      <c r="O471" s="104">
        <f t="shared" si="62"/>
        <v>1.016</v>
      </c>
      <c r="P471" s="105">
        <f t="shared" si="63"/>
        <v>0</v>
      </c>
    </row>
    <row r="472" spans="2:16" x14ac:dyDescent="0.25">
      <c r="B472" s="88" t="s">
        <v>18</v>
      </c>
      <c r="C472" s="106">
        <f t="shared" si="56"/>
        <v>2020</v>
      </c>
      <c r="D472" s="101">
        <v>44031</v>
      </c>
      <c r="E472" s="102"/>
      <c r="F472" s="103"/>
      <c r="G472" s="103"/>
      <c r="H472" s="103"/>
      <c r="I472" s="90">
        <f t="shared" si="57"/>
        <v>0</v>
      </c>
      <c r="J472" s="90">
        <f t="shared" si="58"/>
        <v>0</v>
      </c>
      <c r="K472" s="91">
        <f t="shared" si="59"/>
        <v>0.72916666666666674</v>
      </c>
      <c r="L472" s="91">
        <f t="shared" si="60"/>
        <v>3.333333333333333</v>
      </c>
      <c r="M472" s="29">
        <f t="shared" si="64"/>
        <v>12</v>
      </c>
      <c r="N472" s="92">
        <f t="shared" si="61"/>
        <v>0</v>
      </c>
      <c r="O472" s="104">
        <f t="shared" si="62"/>
        <v>1.016</v>
      </c>
      <c r="P472" s="105">
        <f t="shared" si="63"/>
        <v>0</v>
      </c>
    </row>
    <row r="473" spans="2:16" x14ac:dyDescent="0.25">
      <c r="B473" s="88" t="s">
        <v>18</v>
      </c>
      <c r="C473" s="106">
        <f t="shared" si="56"/>
        <v>2020</v>
      </c>
      <c r="D473" s="101">
        <v>44032</v>
      </c>
      <c r="E473" s="102">
        <v>0.4375</v>
      </c>
      <c r="F473" s="103">
        <v>0.45833333333333331</v>
      </c>
      <c r="G473" s="103">
        <v>0.4375</v>
      </c>
      <c r="H473" s="103">
        <v>0.45833333333333331</v>
      </c>
      <c r="I473" s="90">
        <f t="shared" si="57"/>
        <v>0.49999999999999956</v>
      </c>
      <c r="J473" s="90">
        <f t="shared" si="58"/>
        <v>0.49999999999999956</v>
      </c>
      <c r="K473" s="91">
        <f t="shared" si="59"/>
        <v>0.72916666666666674</v>
      </c>
      <c r="L473" s="91">
        <f t="shared" si="60"/>
        <v>3.333333333333333</v>
      </c>
      <c r="M473" s="29">
        <f t="shared" si="64"/>
        <v>12</v>
      </c>
      <c r="N473" s="92">
        <f t="shared" si="61"/>
        <v>0.49999999999999956</v>
      </c>
      <c r="O473" s="104">
        <f t="shared" si="62"/>
        <v>1.016</v>
      </c>
      <c r="P473" s="105">
        <f t="shared" si="63"/>
        <v>4.2671999999999963</v>
      </c>
    </row>
    <row r="474" spans="2:16" x14ac:dyDescent="0.25">
      <c r="B474" s="88" t="s">
        <v>18</v>
      </c>
      <c r="C474" s="106">
        <f t="shared" si="56"/>
        <v>2020</v>
      </c>
      <c r="D474" s="101">
        <v>44033</v>
      </c>
      <c r="E474" s="102"/>
      <c r="F474" s="103"/>
      <c r="G474" s="103"/>
      <c r="H474" s="103"/>
      <c r="I474" s="90">
        <f t="shared" si="57"/>
        <v>0</v>
      </c>
      <c r="J474" s="90">
        <f t="shared" si="58"/>
        <v>0</v>
      </c>
      <c r="K474" s="91">
        <f t="shared" si="59"/>
        <v>0.72916666666666674</v>
      </c>
      <c r="L474" s="91">
        <f t="shared" si="60"/>
        <v>3.333333333333333</v>
      </c>
      <c r="M474" s="29">
        <f t="shared" si="64"/>
        <v>12</v>
      </c>
      <c r="N474" s="92">
        <f t="shared" si="61"/>
        <v>0</v>
      </c>
      <c r="O474" s="104">
        <f t="shared" si="62"/>
        <v>1.016</v>
      </c>
      <c r="P474" s="105">
        <f t="shared" si="63"/>
        <v>0</v>
      </c>
    </row>
    <row r="475" spans="2:16" x14ac:dyDescent="0.25">
      <c r="B475" s="88" t="s">
        <v>18</v>
      </c>
      <c r="C475" s="106">
        <f t="shared" ref="C475" si="65">YEAR(D475)</f>
        <v>2020</v>
      </c>
      <c r="D475" s="101">
        <v>44034</v>
      </c>
      <c r="E475" s="102"/>
      <c r="F475" s="103"/>
      <c r="G475" s="103"/>
      <c r="H475" s="103"/>
      <c r="I475" s="90">
        <f t="shared" ref="I475:I539" si="66">((F475-E475)-INT($D$20))*24</f>
        <v>0</v>
      </c>
      <c r="J475" s="90">
        <f t="shared" ref="J475:J539" si="67">((H475-G475)-INT($D$20))*24</f>
        <v>0</v>
      </c>
      <c r="K475" s="91">
        <f t="shared" ref="K475:K538" si="68">VLOOKUP(B475,$B$5:$J$17,5,FALSE)</f>
        <v>0.72916666666666674</v>
      </c>
      <c r="L475" s="91">
        <f t="shared" ref="L475:L538" si="69">VLOOKUP(B475,$B$5:$J$17,6,FALSE)</f>
        <v>3.333333333333333</v>
      </c>
      <c r="M475" s="29">
        <f t="shared" si="64"/>
        <v>12</v>
      </c>
      <c r="N475" s="92">
        <f t="shared" ref="N475" si="70">I475</f>
        <v>0</v>
      </c>
      <c r="O475" s="104">
        <f t="shared" ref="O475:O637" si="71">$D$21/1000</f>
        <v>1.016</v>
      </c>
      <c r="P475" s="105">
        <f t="shared" ref="P475" si="72">M475*N475*O475*0.7</f>
        <v>0</v>
      </c>
    </row>
    <row r="476" spans="2:16" x14ac:dyDescent="0.25">
      <c r="B476" s="88" t="s">
        <v>18</v>
      </c>
      <c r="C476" s="106">
        <f>YEAR(D476)</f>
        <v>2020</v>
      </c>
      <c r="D476" s="101">
        <v>44035</v>
      </c>
      <c r="E476" s="102">
        <v>0.5625</v>
      </c>
      <c r="F476" s="103">
        <v>0.58333333333333337</v>
      </c>
      <c r="G476" s="103">
        <v>0.5625</v>
      </c>
      <c r="H476" s="103">
        <v>0.58333333333333337</v>
      </c>
      <c r="I476" s="90">
        <f t="shared" si="66"/>
        <v>0.50000000000000089</v>
      </c>
      <c r="J476" s="90">
        <f t="shared" si="67"/>
        <v>0.50000000000000089</v>
      </c>
      <c r="K476" s="91">
        <f t="shared" si="68"/>
        <v>0.72916666666666674</v>
      </c>
      <c r="L476" s="91">
        <f t="shared" si="69"/>
        <v>3.333333333333333</v>
      </c>
      <c r="M476" s="29">
        <f>VLOOKUP(B476,$I$5:$J$17,2,FALSE)</f>
        <v>12</v>
      </c>
      <c r="N476" s="92">
        <f>I476</f>
        <v>0.50000000000000089</v>
      </c>
      <c r="O476" s="104">
        <f t="shared" si="71"/>
        <v>1.016</v>
      </c>
      <c r="P476" s="105">
        <f>M476*N476*O476*0.7</f>
        <v>4.267200000000007</v>
      </c>
    </row>
    <row r="477" spans="2:16" x14ac:dyDescent="0.25">
      <c r="B477" s="88" t="s">
        <v>18</v>
      </c>
      <c r="C477" s="106">
        <f t="shared" ref="C477:C500" si="73">YEAR(D477)</f>
        <v>2020</v>
      </c>
      <c r="D477" s="101">
        <v>44036</v>
      </c>
      <c r="E477" s="102"/>
      <c r="F477" s="103"/>
      <c r="G477" s="103"/>
      <c r="H477" s="103"/>
      <c r="I477" s="90">
        <f t="shared" si="66"/>
        <v>0</v>
      </c>
      <c r="J477" s="90">
        <f t="shared" si="67"/>
        <v>0</v>
      </c>
      <c r="K477" s="91">
        <f t="shared" si="68"/>
        <v>0.72916666666666674</v>
      </c>
      <c r="L477" s="91">
        <f t="shared" si="69"/>
        <v>3.333333333333333</v>
      </c>
      <c r="M477" s="29">
        <f t="shared" ref="M477:M540" si="74">VLOOKUP(B477,$I$5:$J$17,2,FALSE)</f>
        <v>12</v>
      </c>
      <c r="N477" s="92">
        <f t="shared" ref="N477:N540" si="75">I477</f>
        <v>0</v>
      </c>
      <c r="O477" s="104">
        <f t="shared" si="71"/>
        <v>1.016</v>
      </c>
      <c r="P477" s="105">
        <f t="shared" ref="P477:P540" si="76">M477*N477*O477*0.7</f>
        <v>0</v>
      </c>
    </row>
    <row r="478" spans="2:16" x14ac:dyDescent="0.25">
      <c r="B478" s="88" t="s">
        <v>18</v>
      </c>
      <c r="C478" s="106">
        <f t="shared" si="73"/>
        <v>2020</v>
      </c>
      <c r="D478" s="101">
        <v>44037</v>
      </c>
      <c r="E478" s="102"/>
      <c r="F478" s="103"/>
      <c r="G478" s="103"/>
      <c r="H478" s="103"/>
      <c r="I478" s="90">
        <f t="shared" si="66"/>
        <v>0</v>
      </c>
      <c r="J478" s="90">
        <f t="shared" si="67"/>
        <v>0</v>
      </c>
      <c r="K478" s="91">
        <f t="shared" si="68"/>
        <v>0.72916666666666674</v>
      </c>
      <c r="L478" s="91">
        <f t="shared" si="69"/>
        <v>3.333333333333333</v>
      </c>
      <c r="M478" s="29">
        <f t="shared" si="74"/>
        <v>12</v>
      </c>
      <c r="N478" s="92">
        <f t="shared" si="75"/>
        <v>0</v>
      </c>
      <c r="O478" s="104">
        <f t="shared" si="71"/>
        <v>1.016</v>
      </c>
      <c r="P478" s="105">
        <f t="shared" si="76"/>
        <v>0</v>
      </c>
    </row>
    <row r="479" spans="2:16" x14ac:dyDescent="0.25">
      <c r="B479" s="88" t="s">
        <v>18</v>
      </c>
      <c r="C479" s="106">
        <f t="shared" si="73"/>
        <v>2020</v>
      </c>
      <c r="D479" s="101">
        <v>44038</v>
      </c>
      <c r="E479" s="102"/>
      <c r="F479" s="103"/>
      <c r="G479" s="103"/>
      <c r="H479" s="103"/>
      <c r="I479" s="90">
        <f t="shared" si="66"/>
        <v>0</v>
      </c>
      <c r="J479" s="90">
        <f t="shared" si="67"/>
        <v>0</v>
      </c>
      <c r="K479" s="91">
        <f t="shared" si="68"/>
        <v>0.72916666666666674</v>
      </c>
      <c r="L479" s="91">
        <f t="shared" si="69"/>
        <v>3.333333333333333</v>
      </c>
      <c r="M479" s="29">
        <f t="shared" si="74"/>
        <v>12</v>
      </c>
      <c r="N479" s="92">
        <f t="shared" si="75"/>
        <v>0</v>
      </c>
      <c r="O479" s="104">
        <f t="shared" si="71"/>
        <v>1.016</v>
      </c>
      <c r="P479" s="105">
        <f t="shared" si="76"/>
        <v>0</v>
      </c>
    </row>
    <row r="480" spans="2:16" x14ac:dyDescent="0.25">
      <c r="B480" s="88" t="s">
        <v>18</v>
      </c>
      <c r="C480" s="106">
        <f t="shared" si="73"/>
        <v>2020</v>
      </c>
      <c r="D480" s="101">
        <v>44039</v>
      </c>
      <c r="E480" s="102"/>
      <c r="F480" s="103"/>
      <c r="G480" s="103"/>
      <c r="H480" s="103"/>
      <c r="I480" s="90">
        <f t="shared" si="66"/>
        <v>0</v>
      </c>
      <c r="J480" s="90">
        <f t="shared" si="67"/>
        <v>0</v>
      </c>
      <c r="K480" s="91">
        <f t="shared" si="68"/>
        <v>0.72916666666666674</v>
      </c>
      <c r="L480" s="91">
        <f t="shared" si="69"/>
        <v>3.333333333333333</v>
      </c>
      <c r="M480" s="29">
        <f t="shared" si="74"/>
        <v>12</v>
      </c>
      <c r="N480" s="92">
        <f t="shared" si="75"/>
        <v>0</v>
      </c>
      <c r="O480" s="104">
        <f t="shared" si="71"/>
        <v>1.016</v>
      </c>
      <c r="P480" s="105">
        <f t="shared" si="76"/>
        <v>0</v>
      </c>
    </row>
    <row r="481" spans="2:16" x14ac:dyDescent="0.25">
      <c r="B481" s="88" t="s">
        <v>18</v>
      </c>
      <c r="C481" s="106">
        <f t="shared" si="73"/>
        <v>2020</v>
      </c>
      <c r="D481" s="101">
        <v>44040</v>
      </c>
      <c r="E481" s="102">
        <v>0.60416666666666663</v>
      </c>
      <c r="F481" s="103">
        <v>0.625</v>
      </c>
      <c r="G481" s="103">
        <v>0.60416666666666663</v>
      </c>
      <c r="H481" s="103">
        <v>0.625</v>
      </c>
      <c r="I481" s="90">
        <f t="shared" si="66"/>
        <v>0.50000000000000089</v>
      </c>
      <c r="J481" s="90">
        <f t="shared" si="67"/>
        <v>0.50000000000000089</v>
      </c>
      <c r="K481" s="91">
        <f t="shared" si="68"/>
        <v>0.72916666666666674</v>
      </c>
      <c r="L481" s="91">
        <f t="shared" si="69"/>
        <v>3.333333333333333</v>
      </c>
      <c r="M481" s="29">
        <f t="shared" si="74"/>
        <v>12</v>
      </c>
      <c r="N481" s="92">
        <f t="shared" si="75"/>
        <v>0.50000000000000089</v>
      </c>
      <c r="O481" s="104">
        <f t="shared" si="71"/>
        <v>1.016</v>
      </c>
      <c r="P481" s="105">
        <f t="shared" si="76"/>
        <v>4.267200000000007</v>
      </c>
    </row>
    <row r="482" spans="2:16" x14ac:dyDescent="0.25">
      <c r="B482" s="88" t="s">
        <v>18</v>
      </c>
      <c r="C482" s="106">
        <f t="shared" si="73"/>
        <v>2020</v>
      </c>
      <c r="D482" s="101">
        <v>44041</v>
      </c>
      <c r="E482" s="102"/>
      <c r="F482" s="103"/>
      <c r="G482" s="103"/>
      <c r="H482" s="103"/>
      <c r="I482" s="90">
        <f t="shared" si="66"/>
        <v>0</v>
      </c>
      <c r="J482" s="90">
        <f t="shared" si="67"/>
        <v>0</v>
      </c>
      <c r="K482" s="91">
        <f t="shared" si="68"/>
        <v>0.72916666666666674</v>
      </c>
      <c r="L482" s="91">
        <f t="shared" si="69"/>
        <v>3.333333333333333</v>
      </c>
      <c r="M482" s="29">
        <f t="shared" si="74"/>
        <v>12</v>
      </c>
      <c r="N482" s="92">
        <f t="shared" si="75"/>
        <v>0</v>
      </c>
      <c r="O482" s="104">
        <f t="shared" si="71"/>
        <v>1.016</v>
      </c>
      <c r="P482" s="105">
        <f t="shared" si="76"/>
        <v>0</v>
      </c>
    </row>
    <row r="483" spans="2:16" x14ac:dyDescent="0.25">
      <c r="B483" s="88" t="s">
        <v>18</v>
      </c>
      <c r="C483" s="106">
        <f t="shared" si="73"/>
        <v>2020</v>
      </c>
      <c r="D483" s="101">
        <v>44042</v>
      </c>
      <c r="E483" s="102"/>
      <c r="F483" s="103"/>
      <c r="G483" s="103"/>
      <c r="H483" s="103"/>
      <c r="I483" s="90">
        <f t="shared" si="66"/>
        <v>0</v>
      </c>
      <c r="J483" s="90">
        <f t="shared" si="67"/>
        <v>0</v>
      </c>
      <c r="K483" s="91">
        <f t="shared" si="68"/>
        <v>0.72916666666666674</v>
      </c>
      <c r="L483" s="91">
        <f t="shared" si="69"/>
        <v>3.333333333333333</v>
      </c>
      <c r="M483" s="29">
        <f t="shared" si="74"/>
        <v>12</v>
      </c>
      <c r="N483" s="92">
        <f t="shared" si="75"/>
        <v>0</v>
      </c>
      <c r="O483" s="104">
        <f t="shared" si="71"/>
        <v>1.016</v>
      </c>
      <c r="P483" s="105">
        <f t="shared" si="76"/>
        <v>0</v>
      </c>
    </row>
    <row r="484" spans="2:16" x14ac:dyDescent="0.25">
      <c r="B484" s="88" t="s">
        <v>18</v>
      </c>
      <c r="C484" s="106">
        <f t="shared" si="73"/>
        <v>2020</v>
      </c>
      <c r="D484" s="101">
        <v>44043</v>
      </c>
      <c r="E484" s="102"/>
      <c r="F484" s="103"/>
      <c r="G484" s="103"/>
      <c r="H484" s="103"/>
      <c r="I484" s="90">
        <f t="shared" si="66"/>
        <v>0</v>
      </c>
      <c r="J484" s="90">
        <f t="shared" si="67"/>
        <v>0</v>
      </c>
      <c r="K484" s="91">
        <f t="shared" si="68"/>
        <v>0.72916666666666674</v>
      </c>
      <c r="L484" s="91">
        <f t="shared" si="69"/>
        <v>3.333333333333333</v>
      </c>
      <c r="M484" s="29">
        <f t="shared" si="74"/>
        <v>12</v>
      </c>
      <c r="N484" s="92">
        <f t="shared" si="75"/>
        <v>0</v>
      </c>
      <c r="O484" s="104">
        <f t="shared" si="71"/>
        <v>1.016</v>
      </c>
      <c r="P484" s="105">
        <f t="shared" si="76"/>
        <v>0</v>
      </c>
    </row>
    <row r="485" spans="2:16" x14ac:dyDescent="0.25">
      <c r="B485" s="88" t="s">
        <v>18</v>
      </c>
      <c r="C485" s="106">
        <f t="shared" si="73"/>
        <v>2020</v>
      </c>
      <c r="D485" s="101">
        <v>44044</v>
      </c>
      <c r="E485" s="102"/>
      <c r="F485" s="103"/>
      <c r="G485" s="103"/>
      <c r="H485" s="103"/>
      <c r="I485" s="90">
        <f t="shared" si="66"/>
        <v>0</v>
      </c>
      <c r="J485" s="90">
        <f t="shared" si="67"/>
        <v>0</v>
      </c>
      <c r="K485" s="91">
        <f t="shared" si="68"/>
        <v>0.72916666666666674</v>
      </c>
      <c r="L485" s="91">
        <f t="shared" si="69"/>
        <v>3.333333333333333</v>
      </c>
      <c r="M485" s="29">
        <f t="shared" si="74"/>
        <v>12</v>
      </c>
      <c r="N485" s="92">
        <f t="shared" si="75"/>
        <v>0</v>
      </c>
      <c r="O485" s="104">
        <f t="shared" si="71"/>
        <v>1.016</v>
      </c>
      <c r="P485" s="105">
        <f t="shared" si="76"/>
        <v>0</v>
      </c>
    </row>
    <row r="486" spans="2:16" x14ac:dyDescent="0.25">
      <c r="B486" s="88" t="s">
        <v>18</v>
      </c>
      <c r="C486" s="106">
        <f t="shared" si="73"/>
        <v>2020</v>
      </c>
      <c r="D486" s="101">
        <v>44045</v>
      </c>
      <c r="E486" s="102"/>
      <c r="F486" s="103"/>
      <c r="G486" s="103"/>
      <c r="H486" s="103"/>
      <c r="I486" s="90">
        <f t="shared" si="66"/>
        <v>0</v>
      </c>
      <c r="J486" s="90">
        <f t="shared" si="67"/>
        <v>0</v>
      </c>
      <c r="K486" s="91">
        <f t="shared" si="68"/>
        <v>0.72916666666666674</v>
      </c>
      <c r="L486" s="91">
        <f t="shared" si="69"/>
        <v>3.333333333333333</v>
      </c>
      <c r="M486" s="29">
        <f t="shared" si="74"/>
        <v>12</v>
      </c>
      <c r="N486" s="92">
        <f t="shared" si="75"/>
        <v>0</v>
      </c>
      <c r="O486" s="104">
        <f t="shared" si="71"/>
        <v>1.016</v>
      </c>
      <c r="P486" s="105">
        <f t="shared" si="76"/>
        <v>0</v>
      </c>
    </row>
    <row r="487" spans="2:16" x14ac:dyDescent="0.25">
      <c r="B487" s="88" t="s">
        <v>18</v>
      </c>
      <c r="C487" s="106">
        <f t="shared" si="73"/>
        <v>2020</v>
      </c>
      <c r="D487" s="101">
        <v>44046</v>
      </c>
      <c r="E487" s="102">
        <v>0.4375</v>
      </c>
      <c r="F487" s="103">
        <v>0.45833333333333331</v>
      </c>
      <c r="G487" s="103">
        <v>0.4375</v>
      </c>
      <c r="H487" s="103">
        <v>0.45833333333333331</v>
      </c>
      <c r="I487" s="90">
        <f t="shared" si="66"/>
        <v>0.49999999999999956</v>
      </c>
      <c r="J487" s="90">
        <f t="shared" si="67"/>
        <v>0.49999999999999956</v>
      </c>
      <c r="K487" s="91">
        <f t="shared" si="68"/>
        <v>0.72916666666666674</v>
      </c>
      <c r="L487" s="91">
        <f t="shared" si="69"/>
        <v>3.333333333333333</v>
      </c>
      <c r="M487" s="29">
        <f t="shared" si="74"/>
        <v>12</v>
      </c>
      <c r="N487" s="92">
        <f t="shared" si="75"/>
        <v>0.49999999999999956</v>
      </c>
      <c r="O487" s="104">
        <f t="shared" si="71"/>
        <v>1.016</v>
      </c>
      <c r="P487" s="105">
        <f t="shared" si="76"/>
        <v>4.2671999999999963</v>
      </c>
    </row>
    <row r="488" spans="2:16" x14ac:dyDescent="0.25">
      <c r="B488" s="88" t="s">
        <v>18</v>
      </c>
      <c r="C488" s="106">
        <f t="shared" si="73"/>
        <v>2020</v>
      </c>
      <c r="D488" s="101">
        <v>44047</v>
      </c>
      <c r="E488" s="102"/>
      <c r="F488" s="103"/>
      <c r="G488" s="103"/>
      <c r="H488" s="103"/>
      <c r="I488" s="90">
        <f t="shared" si="66"/>
        <v>0</v>
      </c>
      <c r="J488" s="90">
        <f t="shared" si="67"/>
        <v>0</v>
      </c>
      <c r="K488" s="91">
        <f t="shared" si="68"/>
        <v>0.72916666666666674</v>
      </c>
      <c r="L488" s="91">
        <f t="shared" si="69"/>
        <v>3.333333333333333</v>
      </c>
      <c r="M488" s="29">
        <f t="shared" si="74"/>
        <v>12</v>
      </c>
      <c r="N488" s="92">
        <f t="shared" si="75"/>
        <v>0</v>
      </c>
      <c r="O488" s="104">
        <f t="shared" si="71"/>
        <v>1.016</v>
      </c>
      <c r="P488" s="105">
        <f t="shared" si="76"/>
        <v>0</v>
      </c>
    </row>
    <row r="489" spans="2:16" x14ac:dyDescent="0.25">
      <c r="B489" s="88" t="s">
        <v>18</v>
      </c>
      <c r="C489" s="106">
        <f t="shared" si="73"/>
        <v>2020</v>
      </c>
      <c r="D489" s="101">
        <v>44048</v>
      </c>
      <c r="E489" s="102"/>
      <c r="F489" s="103"/>
      <c r="G489" s="103"/>
      <c r="H489" s="103"/>
      <c r="I489" s="90">
        <f t="shared" si="66"/>
        <v>0</v>
      </c>
      <c r="J489" s="90">
        <f t="shared" si="67"/>
        <v>0</v>
      </c>
      <c r="K489" s="91">
        <f t="shared" si="68"/>
        <v>0.72916666666666674</v>
      </c>
      <c r="L489" s="91">
        <f t="shared" si="69"/>
        <v>3.333333333333333</v>
      </c>
      <c r="M489" s="29">
        <f t="shared" si="74"/>
        <v>12</v>
      </c>
      <c r="N489" s="92">
        <f t="shared" si="75"/>
        <v>0</v>
      </c>
      <c r="O489" s="104">
        <f t="shared" si="71"/>
        <v>1.016</v>
      </c>
      <c r="P489" s="105">
        <f t="shared" si="76"/>
        <v>0</v>
      </c>
    </row>
    <row r="490" spans="2:16" x14ac:dyDescent="0.25">
      <c r="B490" s="88" t="s">
        <v>18</v>
      </c>
      <c r="C490" s="106">
        <f t="shared" si="73"/>
        <v>2020</v>
      </c>
      <c r="D490" s="101">
        <v>44049</v>
      </c>
      <c r="E490" s="102"/>
      <c r="F490" s="103"/>
      <c r="G490" s="103"/>
      <c r="H490" s="103"/>
      <c r="I490" s="90">
        <f t="shared" si="66"/>
        <v>0</v>
      </c>
      <c r="J490" s="90">
        <f t="shared" si="67"/>
        <v>0</v>
      </c>
      <c r="K490" s="91">
        <f t="shared" si="68"/>
        <v>0.72916666666666674</v>
      </c>
      <c r="L490" s="91">
        <f t="shared" si="69"/>
        <v>3.333333333333333</v>
      </c>
      <c r="M490" s="29">
        <f t="shared" si="74"/>
        <v>12</v>
      </c>
      <c r="N490" s="92">
        <f t="shared" si="75"/>
        <v>0</v>
      </c>
      <c r="O490" s="104">
        <f t="shared" si="71"/>
        <v>1.016</v>
      </c>
      <c r="P490" s="105">
        <f t="shared" si="76"/>
        <v>0</v>
      </c>
    </row>
    <row r="491" spans="2:16" x14ac:dyDescent="0.25">
      <c r="B491" s="88" t="s">
        <v>18</v>
      </c>
      <c r="C491" s="106">
        <f t="shared" si="73"/>
        <v>2020</v>
      </c>
      <c r="D491" s="101">
        <v>44050</v>
      </c>
      <c r="E491" s="102"/>
      <c r="F491" s="103"/>
      <c r="G491" s="103"/>
      <c r="H491" s="103"/>
      <c r="I491" s="90">
        <f t="shared" si="66"/>
        <v>0</v>
      </c>
      <c r="J491" s="90">
        <f t="shared" si="67"/>
        <v>0</v>
      </c>
      <c r="K491" s="91">
        <f t="shared" si="68"/>
        <v>0.72916666666666674</v>
      </c>
      <c r="L491" s="91">
        <f t="shared" si="69"/>
        <v>3.333333333333333</v>
      </c>
      <c r="M491" s="29">
        <f t="shared" si="74"/>
        <v>12</v>
      </c>
      <c r="N491" s="92">
        <f t="shared" si="75"/>
        <v>0</v>
      </c>
      <c r="O491" s="104">
        <f t="shared" si="71"/>
        <v>1.016</v>
      </c>
      <c r="P491" s="105">
        <f t="shared" si="76"/>
        <v>0</v>
      </c>
    </row>
    <row r="492" spans="2:16" x14ac:dyDescent="0.25">
      <c r="B492" s="88" t="s">
        <v>18</v>
      </c>
      <c r="C492" s="106">
        <f t="shared" si="73"/>
        <v>2020</v>
      </c>
      <c r="D492" s="101">
        <v>44051</v>
      </c>
      <c r="E492" s="102"/>
      <c r="F492" s="103"/>
      <c r="G492" s="103"/>
      <c r="H492" s="103"/>
      <c r="I492" s="90">
        <f t="shared" si="66"/>
        <v>0</v>
      </c>
      <c r="J492" s="90">
        <f t="shared" si="67"/>
        <v>0</v>
      </c>
      <c r="K492" s="91">
        <f t="shared" si="68"/>
        <v>0.72916666666666674</v>
      </c>
      <c r="L492" s="91">
        <f t="shared" si="69"/>
        <v>3.333333333333333</v>
      </c>
      <c r="M492" s="29">
        <f t="shared" si="74"/>
        <v>12</v>
      </c>
      <c r="N492" s="92">
        <f t="shared" si="75"/>
        <v>0</v>
      </c>
      <c r="O492" s="104">
        <f t="shared" si="71"/>
        <v>1.016</v>
      </c>
      <c r="P492" s="105">
        <f t="shared" si="76"/>
        <v>0</v>
      </c>
    </row>
    <row r="493" spans="2:16" x14ac:dyDescent="0.25">
      <c r="B493" s="88" t="s">
        <v>18</v>
      </c>
      <c r="C493" s="106">
        <f t="shared" si="73"/>
        <v>2020</v>
      </c>
      <c r="D493" s="101">
        <v>44052</v>
      </c>
      <c r="E493" s="102">
        <v>0.55208333333333337</v>
      </c>
      <c r="F493" s="103">
        <v>0.57291666666666663</v>
      </c>
      <c r="G493" s="103">
        <v>0.55208333333333337</v>
      </c>
      <c r="H493" s="103">
        <v>0.57291666666666663</v>
      </c>
      <c r="I493" s="90">
        <f t="shared" si="66"/>
        <v>0.49999999999999822</v>
      </c>
      <c r="J493" s="90">
        <f t="shared" si="67"/>
        <v>0.49999999999999822</v>
      </c>
      <c r="K493" s="91">
        <f t="shared" si="68"/>
        <v>0.72916666666666674</v>
      </c>
      <c r="L493" s="91">
        <f t="shared" si="69"/>
        <v>3.333333333333333</v>
      </c>
      <c r="M493" s="29">
        <f t="shared" si="74"/>
        <v>12</v>
      </c>
      <c r="N493" s="92">
        <f t="shared" si="75"/>
        <v>0.49999999999999822</v>
      </c>
      <c r="O493" s="104">
        <f t="shared" si="71"/>
        <v>1.016</v>
      </c>
      <c r="P493" s="105">
        <f t="shared" si="76"/>
        <v>4.2671999999999848</v>
      </c>
    </row>
    <row r="494" spans="2:16" x14ac:dyDescent="0.25">
      <c r="B494" s="88" t="s">
        <v>18</v>
      </c>
      <c r="C494" s="106">
        <f t="shared" si="73"/>
        <v>2020</v>
      </c>
      <c r="D494" s="101">
        <v>44053</v>
      </c>
      <c r="E494" s="102"/>
      <c r="F494" s="103"/>
      <c r="G494" s="103"/>
      <c r="H494" s="103"/>
      <c r="I494" s="90">
        <f t="shared" si="66"/>
        <v>0</v>
      </c>
      <c r="J494" s="90">
        <f t="shared" si="67"/>
        <v>0</v>
      </c>
      <c r="K494" s="91">
        <f t="shared" si="68"/>
        <v>0.72916666666666674</v>
      </c>
      <c r="L494" s="91">
        <f t="shared" si="69"/>
        <v>3.333333333333333</v>
      </c>
      <c r="M494" s="29">
        <f t="shared" si="74"/>
        <v>12</v>
      </c>
      <c r="N494" s="92">
        <f t="shared" si="75"/>
        <v>0</v>
      </c>
      <c r="O494" s="104">
        <f t="shared" si="71"/>
        <v>1.016</v>
      </c>
      <c r="P494" s="105">
        <f t="shared" si="76"/>
        <v>0</v>
      </c>
    </row>
    <row r="495" spans="2:16" x14ac:dyDescent="0.25">
      <c r="B495" s="88" t="s">
        <v>18</v>
      </c>
      <c r="C495" s="106">
        <f t="shared" si="73"/>
        <v>2020</v>
      </c>
      <c r="D495" s="101">
        <v>44054</v>
      </c>
      <c r="E495" s="102"/>
      <c r="F495" s="103"/>
      <c r="G495" s="103"/>
      <c r="H495" s="103"/>
      <c r="I495" s="90">
        <f t="shared" si="66"/>
        <v>0</v>
      </c>
      <c r="J495" s="90">
        <f t="shared" si="67"/>
        <v>0</v>
      </c>
      <c r="K495" s="91">
        <f t="shared" si="68"/>
        <v>0.72916666666666674</v>
      </c>
      <c r="L495" s="91">
        <f t="shared" si="69"/>
        <v>3.333333333333333</v>
      </c>
      <c r="M495" s="29">
        <f t="shared" si="74"/>
        <v>12</v>
      </c>
      <c r="N495" s="92">
        <f t="shared" si="75"/>
        <v>0</v>
      </c>
      <c r="O495" s="104">
        <f t="shared" si="71"/>
        <v>1.016</v>
      </c>
      <c r="P495" s="105">
        <f t="shared" si="76"/>
        <v>0</v>
      </c>
    </row>
    <row r="496" spans="2:16" x14ac:dyDescent="0.25">
      <c r="B496" s="88" t="s">
        <v>18</v>
      </c>
      <c r="C496" s="106">
        <f t="shared" si="73"/>
        <v>2020</v>
      </c>
      <c r="D496" s="101">
        <v>44055</v>
      </c>
      <c r="E496" s="102"/>
      <c r="F496" s="103"/>
      <c r="G496" s="103"/>
      <c r="H496" s="103"/>
      <c r="I496" s="90">
        <f t="shared" si="66"/>
        <v>0</v>
      </c>
      <c r="J496" s="90">
        <f t="shared" si="67"/>
        <v>0</v>
      </c>
      <c r="K496" s="91">
        <f t="shared" si="68"/>
        <v>0.72916666666666674</v>
      </c>
      <c r="L496" s="91">
        <f t="shared" si="69"/>
        <v>3.333333333333333</v>
      </c>
      <c r="M496" s="29">
        <f t="shared" si="74"/>
        <v>12</v>
      </c>
      <c r="N496" s="92">
        <f t="shared" si="75"/>
        <v>0</v>
      </c>
      <c r="O496" s="104">
        <f t="shared" si="71"/>
        <v>1.016</v>
      </c>
      <c r="P496" s="105">
        <f t="shared" si="76"/>
        <v>0</v>
      </c>
    </row>
    <row r="497" spans="2:16" x14ac:dyDescent="0.25">
      <c r="B497" s="88" t="s">
        <v>18</v>
      </c>
      <c r="C497" s="106">
        <f t="shared" si="73"/>
        <v>2020</v>
      </c>
      <c r="D497" s="101">
        <v>44056</v>
      </c>
      <c r="E497" s="102"/>
      <c r="F497" s="103"/>
      <c r="G497" s="103"/>
      <c r="H497" s="103"/>
      <c r="I497" s="90">
        <f t="shared" si="66"/>
        <v>0</v>
      </c>
      <c r="J497" s="90">
        <f t="shared" si="67"/>
        <v>0</v>
      </c>
      <c r="K497" s="91">
        <f t="shared" si="68"/>
        <v>0.72916666666666674</v>
      </c>
      <c r="L497" s="91">
        <f t="shared" si="69"/>
        <v>3.333333333333333</v>
      </c>
      <c r="M497" s="29">
        <f t="shared" si="74"/>
        <v>12</v>
      </c>
      <c r="N497" s="92">
        <f t="shared" si="75"/>
        <v>0</v>
      </c>
      <c r="O497" s="104">
        <f t="shared" si="71"/>
        <v>1.016</v>
      </c>
      <c r="P497" s="105">
        <f t="shared" si="76"/>
        <v>0</v>
      </c>
    </row>
    <row r="498" spans="2:16" x14ac:dyDescent="0.25">
      <c r="B498" s="88" t="s">
        <v>18</v>
      </c>
      <c r="C498" s="106">
        <f t="shared" si="73"/>
        <v>2020</v>
      </c>
      <c r="D498" s="101">
        <v>44057</v>
      </c>
      <c r="E498" s="102"/>
      <c r="F498" s="103"/>
      <c r="G498" s="103"/>
      <c r="H498" s="103"/>
      <c r="I498" s="90">
        <f t="shared" si="66"/>
        <v>0</v>
      </c>
      <c r="J498" s="90">
        <f t="shared" si="67"/>
        <v>0</v>
      </c>
      <c r="K498" s="91">
        <f t="shared" si="68"/>
        <v>0.72916666666666674</v>
      </c>
      <c r="L498" s="91">
        <f t="shared" si="69"/>
        <v>3.333333333333333</v>
      </c>
      <c r="M498" s="29">
        <f t="shared" si="74"/>
        <v>12</v>
      </c>
      <c r="N498" s="92">
        <f t="shared" si="75"/>
        <v>0</v>
      </c>
      <c r="O498" s="104">
        <f t="shared" si="71"/>
        <v>1.016</v>
      </c>
      <c r="P498" s="105">
        <f t="shared" si="76"/>
        <v>0</v>
      </c>
    </row>
    <row r="499" spans="2:16" x14ac:dyDescent="0.25">
      <c r="B499" s="88" t="s">
        <v>18</v>
      </c>
      <c r="C499" s="106">
        <f t="shared" si="73"/>
        <v>2020</v>
      </c>
      <c r="D499" s="101">
        <v>44058</v>
      </c>
      <c r="E499" s="102"/>
      <c r="F499" s="103"/>
      <c r="G499" s="103"/>
      <c r="H499" s="103"/>
      <c r="I499" s="90">
        <f t="shared" si="66"/>
        <v>0</v>
      </c>
      <c r="J499" s="90">
        <f t="shared" si="67"/>
        <v>0</v>
      </c>
      <c r="K499" s="91">
        <f t="shared" si="68"/>
        <v>0.72916666666666674</v>
      </c>
      <c r="L499" s="91">
        <f t="shared" si="69"/>
        <v>3.333333333333333</v>
      </c>
      <c r="M499" s="29">
        <f t="shared" si="74"/>
        <v>12</v>
      </c>
      <c r="N499" s="92">
        <f t="shared" si="75"/>
        <v>0</v>
      </c>
      <c r="O499" s="104">
        <f t="shared" si="71"/>
        <v>1.016</v>
      </c>
      <c r="P499" s="105">
        <f t="shared" si="76"/>
        <v>0</v>
      </c>
    </row>
    <row r="500" spans="2:16" x14ac:dyDescent="0.25">
      <c r="B500" s="88" t="s">
        <v>18</v>
      </c>
      <c r="C500" s="106">
        <f t="shared" si="73"/>
        <v>2020</v>
      </c>
      <c r="D500" s="101">
        <v>44059</v>
      </c>
      <c r="E500" s="102">
        <v>0.4375</v>
      </c>
      <c r="F500" s="103">
        <v>0.45833333333333331</v>
      </c>
      <c r="G500" s="103">
        <v>0.4375</v>
      </c>
      <c r="H500" s="103">
        <v>0.45833333333333331</v>
      </c>
      <c r="I500" s="90">
        <f t="shared" si="66"/>
        <v>0.49999999999999956</v>
      </c>
      <c r="J500" s="90">
        <f t="shared" si="67"/>
        <v>0.49999999999999956</v>
      </c>
      <c r="K500" s="91">
        <f t="shared" si="68"/>
        <v>0.72916666666666674</v>
      </c>
      <c r="L500" s="91">
        <f t="shared" si="69"/>
        <v>3.333333333333333</v>
      </c>
      <c r="M500" s="29">
        <f t="shared" si="74"/>
        <v>12</v>
      </c>
      <c r="N500" s="92">
        <f t="shared" si="75"/>
        <v>0.49999999999999956</v>
      </c>
      <c r="O500" s="104">
        <f t="shared" si="71"/>
        <v>1.016</v>
      </c>
      <c r="P500" s="105">
        <f t="shared" si="76"/>
        <v>4.2671999999999963</v>
      </c>
    </row>
    <row r="501" spans="2:16" x14ac:dyDescent="0.25">
      <c r="B501" s="88" t="s">
        <v>18</v>
      </c>
      <c r="C501" s="106">
        <f>YEAR(D501)</f>
        <v>2020</v>
      </c>
      <c r="D501" s="101">
        <v>44060</v>
      </c>
      <c r="E501" s="102"/>
      <c r="F501" s="103"/>
      <c r="G501" s="103"/>
      <c r="H501" s="103"/>
      <c r="I501" s="90">
        <f t="shared" si="66"/>
        <v>0</v>
      </c>
      <c r="J501" s="90">
        <f t="shared" si="67"/>
        <v>0</v>
      </c>
      <c r="K501" s="91">
        <f t="shared" si="68"/>
        <v>0.72916666666666674</v>
      </c>
      <c r="L501" s="91">
        <f t="shared" si="69"/>
        <v>3.333333333333333</v>
      </c>
      <c r="M501" s="29">
        <f t="shared" si="74"/>
        <v>12</v>
      </c>
      <c r="N501" s="92">
        <f t="shared" si="75"/>
        <v>0</v>
      </c>
      <c r="O501" s="104">
        <f t="shared" si="71"/>
        <v>1.016</v>
      </c>
      <c r="P501" s="105">
        <f t="shared" si="76"/>
        <v>0</v>
      </c>
    </row>
    <row r="502" spans="2:16" x14ac:dyDescent="0.25">
      <c r="B502" s="88" t="s">
        <v>18</v>
      </c>
      <c r="C502" s="106">
        <f t="shared" ref="C502:C565" si="77">YEAR(D502)</f>
        <v>2020</v>
      </c>
      <c r="D502" s="101">
        <v>44061</v>
      </c>
      <c r="E502" s="102"/>
      <c r="F502" s="103"/>
      <c r="G502" s="103"/>
      <c r="H502" s="103"/>
      <c r="I502" s="90">
        <f t="shared" si="66"/>
        <v>0</v>
      </c>
      <c r="J502" s="90">
        <f t="shared" si="67"/>
        <v>0</v>
      </c>
      <c r="K502" s="91">
        <f t="shared" si="68"/>
        <v>0.72916666666666674</v>
      </c>
      <c r="L502" s="91">
        <f t="shared" si="69"/>
        <v>3.333333333333333</v>
      </c>
      <c r="M502" s="29">
        <f t="shared" si="74"/>
        <v>12</v>
      </c>
      <c r="N502" s="92">
        <f t="shared" si="75"/>
        <v>0</v>
      </c>
      <c r="O502" s="104">
        <f t="shared" si="71"/>
        <v>1.016</v>
      </c>
      <c r="P502" s="105">
        <f t="shared" si="76"/>
        <v>0</v>
      </c>
    </row>
    <row r="503" spans="2:16" x14ac:dyDescent="0.25">
      <c r="B503" s="88" t="s">
        <v>18</v>
      </c>
      <c r="C503" s="106">
        <f t="shared" si="77"/>
        <v>2020</v>
      </c>
      <c r="D503" s="101">
        <v>44062</v>
      </c>
      <c r="E503" s="102">
        <v>0.5625</v>
      </c>
      <c r="F503" s="103">
        <v>0.58333333333333337</v>
      </c>
      <c r="G503" s="103">
        <v>0.5625</v>
      </c>
      <c r="H503" s="103">
        <v>0.58333333333333337</v>
      </c>
      <c r="I503" s="90">
        <f t="shared" si="66"/>
        <v>0.50000000000000089</v>
      </c>
      <c r="J503" s="90">
        <f t="shared" si="67"/>
        <v>0.50000000000000089</v>
      </c>
      <c r="K503" s="91">
        <f t="shared" si="68"/>
        <v>0.72916666666666674</v>
      </c>
      <c r="L503" s="91">
        <f t="shared" si="69"/>
        <v>3.333333333333333</v>
      </c>
      <c r="M503" s="29">
        <f t="shared" si="74"/>
        <v>12</v>
      </c>
      <c r="N503" s="92">
        <f t="shared" si="75"/>
        <v>0.50000000000000089</v>
      </c>
      <c r="O503" s="104">
        <f t="shared" si="71"/>
        <v>1.016</v>
      </c>
      <c r="P503" s="105">
        <f t="shared" si="76"/>
        <v>4.267200000000007</v>
      </c>
    </row>
    <row r="504" spans="2:16" x14ac:dyDescent="0.25">
      <c r="B504" s="88" t="s">
        <v>18</v>
      </c>
      <c r="C504" s="106">
        <f t="shared" si="77"/>
        <v>2020</v>
      </c>
      <c r="D504" s="101">
        <v>44063</v>
      </c>
      <c r="E504" s="102"/>
      <c r="F504" s="103"/>
      <c r="G504" s="103"/>
      <c r="H504" s="103"/>
      <c r="I504" s="90">
        <f t="shared" si="66"/>
        <v>0</v>
      </c>
      <c r="J504" s="90">
        <f t="shared" si="67"/>
        <v>0</v>
      </c>
      <c r="K504" s="91">
        <f t="shared" si="68"/>
        <v>0.72916666666666674</v>
      </c>
      <c r="L504" s="91">
        <f t="shared" si="69"/>
        <v>3.333333333333333</v>
      </c>
      <c r="M504" s="29">
        <f t="shared" si="74"/>
        <v>12</v>
      </c>
      <c r="N504" s="92">
        <f t="shared" si="75"/>
        <v>0</v>
      </c>
      <c r="O504" s="104">
        <f t="shared" si="71"/>
        <v>1.016</v>
      </c>
      <c r="P504" s="105">
        <f t="shared" si="76"/>
        <v>0</v>
      </c>
    </row>
    <row r="505" spans="2:16" x14ac:dyDescent="0.25">
      <c r="B505" s="88" t="s">
        <v>18</v>
      </c>
      <c r="C505" s="106">
        <f t="shared" si="77"/>
        <v>2020</v>
      </c>
      <c r="D505" s="101">
        <v>44064</v>
      </c>
      <c r="E505" s="102"/>
      <c r="F505" s="103"/>
      <c r="G505" s="103"/>
      <c r="H505" s="103"/>
      <c r="I505" s="90">
        <f t="shared" si="66"/>
        <v>0</v>
      </c>
      <c r="J505" s="90">
        <f t="shared" si="67"/>
        <v>0</v>
      </c>
      <c r="K505" s="91">
        <f t="shared" si="68"/>
        <v>0.72916666666666674</v>
      </c>
      <c r="L505" s="91">
        <f t="shared" si="69"/>
        <v>3.333333333333333</v>
      </c>
      <c r="M505" s="29">
        <f t="shared" si="74"/>
        <v>12</v>
      </c>
      <c r="N505" s="92">
        <f t="shared" si="75"/>
        <v>0</v>
      </c>
      <c r="O505" s="104">
        <f t="shared" si="71"/>
        <v>1.016</v>
      </c>
      <c r="P505" s="105">
        <f t="shared" si="76"/>
        <v>0</v>
      </c>
    </row>
    <row r="506" spans="2:16" x14ac:dyDescent="0.25">
      <c r="B506" s="88" t="s">
        <v>18</v>
      </c>
      <c r="C506" s="106">
        <f t="shared" si="77"/>
        <v>2020</v>
      </c>
      <c r="D506" s="101">
        <v>44065</v>
      </c>
      <c r="E506" s="102"/>
      <c r="F506" s="103"/>
      <c r="G506" s="103"/>
      <c r="H506" s="103"/>
      <c r="I506" s="90">
        <f t="shared" si="66"/>
        <v>0</v>
      </c>
      <c r="J506" s="90">
        <f t="shared" si="67"/>
        <v>0</v>
      </c>
      <c r="K506" s="91">
        <f t="shared" si="68"/>
        <v>0.72916666666666674</v>
      </c>
      <c r="L506" s="91">
        <f t="shared" si="69"/>
        <v>3.333333333333333</v>
      </c>
      <c r="M506" s="29">
        <f t="shared" si="74"/>
        <v>12</v>
      </c>
      <c r="N506" s="92">
        <f t="shared" si="75"/>
        <v>0</v>
      </c>
      <c r="O506" s="104">
        <f t="shared" si="71"/>
        <v>1.016</v>
      </c>
      <c r="P506" s="105">
        <f t="shared" si="76"/>
        <v>0</v>
      </c>
    </row>
    <row r="507" spans="2:16" x14ac:dyDescent="0.25">
      <c r="B507" s="88" t="s">
        <v>18</v>
      </c>
      <c r="C507" s="106">
        <f t="shared" si="77"/>
        <v>2020</v>
      </c>
      <c r="D507" s="101">
        <v>44066</v>
      </c>
      <c r="E507" s="102"/>
      <c r="F507" s="103"/>
      <c r="G507" s="103"/>
      <c r="H507" s="103"/>
      <c r="I507" s="90">
        <f t="shared" si="66"/>
        <v>0</v>
      </c>
      <c r="J507" s="90">
        <f t="shared" si="67"/>
        <v>0</v>
      </c>
      <c r="K507" s="91">
        <f t="shared" si="68"/>
        <v>0.72916666666666674</v>
      </c>
      <c r="L507" s="91">
        <f t="shared" si="69"/>
        <v>3.333333333333333</v>
      </c>
      <c r="M507" s="29">
        <f t="shared" si="74"/>
        <v>12</v>
      </c>
      <c r="N507" s="92">
        <f t="shared" si="75"/>
        <v>0</v>
      </c>
      <c r="O507" s="104">
        <f t="shared" si="71"/>
        <v>1.016</v>
      </c>
      <c r="P507" s="105">
        <f t="shared" si="76"/>
        <v>0</v>
      </c>
    </row>
    <row r="508" spans="2:16" x14ac:dyDescent="0.25">
      <c r="B508" s="88" t="s">
        <v>18</v>
      </c>
      <c r="C508" s="106">
        <f t="shared" si="77"/>
        <v>2020</v>
      </c>
      <c r="D508" s="101">
        <v>44067</v>
      </c>
      <c r="E508" s="102">
        <v>0.60416666666666663</v>
      </c>
      <c r="F508" s="103">
        <v>0.625</v>
      </c>
      <c r="G508" s="103">
        <v>0.60416666666666663</v>
      </c>
      <c r="H508" s="103">
        <v>0.625</v>
      </c>
      <c r="I508" s="90">
        <f t="shared" si="66"/>
        <v>0.50000000000000089</v>
      </c>
      <c r="J508" s="90">
        <f t="shared" si="67"/>
        <v>0.50000000000000089</v>
      </c>
      <c r="K508" s="91">
        <f t="shared" si="68"/>
        <v>0.72916666666666674</v>
      </c>
      <c r="L508" s="91">
        <f t="shared" si="69"/>
        <v>3.333333333333333</v>
      </c>
      <c r="M508" s="29">
        <f t="shared" si="74"/>
        <v>12</v>
      </c>
      <c r="N508" s="92">
        <f t="shared" si="75"/>
        <v>0.50000000000000089</v>
      </c>
      <c r="O508" s="104">
        <f t="shared" si="71"/>
        <v>1.016</v>
      </c>
      <c r="P508" s="105">
        <f t="shared" si="76"/>
        <v>4.267200000000007</v>
      </c>
    </row>
    <row r="509" spans="2:16" x14ac:dyDescent="0.25">
      <c r="B509" s="88" t="s">
        <v>18</v>
      </c>
      <c r="C509" s="106">
        <f t="shared" si="77"/>
        <v>2020</v>
      </c>
      <c r="D509" s="101">
        <v>44068</v>
      </c>
      <c r="E509" s="102"/>
      <c r="F509" s="103"/>
      <c r="G509" s="103"/>
      <c r="H509" s="103"/>
      <c r="I509" s="90">
        <f t="shared" si="66"/>
        <v>0</v>
      </c>
      <c r="J509" s="90">
        <f t="shared" si="67"/>
        <v>0</v>
      </c>
      <c r="K509" s="91">
        <f t="shared" si="68"/>
        <v>0.72916666666666674</v>
      </c>
      <c r="L509" s="91">
        <f t="shared" si="69"/>
        <v>3.333333333333333</v>
      </c>
      <c r="M509" s="29">
        <f t="shared" si="74"/>
        <v>12</v>
      </c>
      <c r="N509" s="92">
        <f t="shared" si="75"/>
        <v>0</v>
      </c>
      <c r="O509" s="104">
        <f t="shared" si="71"/>
        <v>1.016</v>
      </c>
      <c r="P509" s="105">
        <f t="shared" si="76"/>
        <v>0</v>
      </c>
    </row>
    <row r="510" spans="2:16" x14ac:dyDescent="0.25">
      <c r="B510" s="88" t="s">
        <v>18</v>
      </c>
      <c r="C510" s="106">
        <f t="shared" si="77"/>
        <v>2020</v>
      </c>
      <c r="D510" s="101">
        <v>44069</v>
      </c>
      <c r="E510" s="102"/>
      <c r="F510" s="103"/>
      <c r="G510" s="103"/>
      <c r="H510" s="103"/>
      <c r="I510" s="90">
        <f t="shared" si="66"/>
        <v>0</v>
      </c>
      <c r="J510" s="90">
        <f t="shared" si="67"/>
        <v>0</v>
      </c>
      <c r="K510" s="91">
        <f t="shared" si="68"/>
        <v>0.72916666666666674</v>
      </c>
      <c r="L510" s="91">
        <f t="shared" si="69"/>
        <v>3.333333333333333</v>
      </c>
      <c r="M510" s="29">
        <f t="shared" si="74"/>
        <v>12</v>
      </c>
      <c r="N510" s="92">
        <f t="shared" si="75"/>
        <v>0</v>
      </c>
      <c r="O510" s="104">
        <f t="shared" si="71"/>
        <v>1.016</v>
      </c>
      <c r="P510" s="105">
        <f t="shared" si="76"/>
        <v>0</v>
      </c>
    </row>
    <row r="511" spans="2:16" x14ac:dyDescent="0.25">
      <c r="B511" s="88" t="s">
        <v>18</v>
      </c>
      <c r="C511" s="106">
        <f t="shared" si="77"/>
        <v>2020</v>
      </c>
      <c r="D511" s="101">
        <v>44070</v>
      </c>
      <c r="E511" s="102"/>
      <c r="F511" s="103"/>
      <c r="G511" s="103"/>
      <c r="H511" s="103"/>
      <c r="I511" s="90">
        <f t="shared" si="66"/>
        <v>0</v>
      </c>
      <c r="J511" s="90">
        <f t="shared" si="67"/>
        <v>0</v>
      </c>
      <c r="K511" s="91">
        <f t="shared" si="68"/>
        <v>0.72916666666666674</v>
      </c>
      <c r="L511" s="91">
        <f t="shared" si="69"/>
        <v>3.333333333333333</v>
      </c>
      <c r="M511" s="29">
        <f t="shared" si="74"/>
        <v>12</v>
      </c>
      <c r="N511" s="92">
        <f t="shared" si="75"/>
        <v>0</v>
      </c>
      <c r="O511" s="104">
        <f t="shared" si="71"/>
        <v>1.016</v>
      </c>
      <c r="P511" s="105">
        <f t="shared" si="76"/>
        <v>0</v>
      </c>
    </row>
    <row r="512" spans="2:16" x14ac:dyDescent="0.25">
      <c r="B512" s="88" t="s">
        <v>18</v>
      </c>
      <c r="C512" s="106">
        <f t="shared" si="77"/>
        <v>2020</v>
      </c>
      <c r="D512" s="101">
        <v>44071</v>
      </c>
      <c r="E512" s="102"/>
      <c r="F512" s="103"/>
      <c r="G512" s="103"/>
      <c r="H512" s="103"/>
      <c r="I512" s="90">
        <f t="shared" si="66"/>
        <v>0</v>
      </c>
      <c r="J512" s="90">
        <f t="shared" si="67"/>
        <v>0</v>
      </c>
      <c r="K512" s="91">
        <f t="shared" si="68"/>
        <v>0.72916666666666674</v>
      </c>
      <c r="L512" s="91">
        <f t="shared" si="69"/>
        <v>3.333333333333333</v>
      </c>
      <c r="M512" s="29">
        <f t="shared" si="74"/>
        <v>12</v>
      </c>
      <c r="N512" s="92">
        <f t="shared" si="75"/>
        <v>0</v>
      </c>
      <c r="O512" s="104">
        <f t="shared" si="71"/>
        <v>1.016</v>
      </c>
      <c r="P512" s="105">
        <f t="shared" si="76"/>
        <v>0</v>
      </c>
    </row>
    <row r="513" spans="2:16" x14ac:dyDescent="0.25">
      <c r="B513" s="88" t="s">
        <v>18</v>
      </c>
      <c r="C513" s="106">
        <f t="shared" si="77"/>
        <v>2020</v>
      </c>
      <c r="D513" s="101">
        <v>44072</v>
      </c>
      <c r="E513" s="102"/>
      <c r="F513" s="103"/>
      <c r="G513" s="103"/>
      <c r="H513" s="103"/>
      <c r="I513" s="90">
        <f t="shared" si="66"/>
        <v>0</v>
      </c>
      <c r="J513" s="90">
        <f t="shared" si="67"/>
        <v>0</v>
      </c>
      <c r="K513" s="91">
        <f t="shared" si="68"/>
        <v>0.72916666666666674</v>
      </c>
      <c r="L513" s="91">
        <f t="shared" si="69"/>
        <v>3.333333333333333</v>
      </c>
      <c r="M513" s="29">
        <f t="shared" si="74"/>
        <v>12</v>
      </c>
      <c r="N513" s="92">
        <f t="shared" si="75"/>
        <v>0</v>
      </c>
      <c r="O513" s="104">
        <f t="shared" si="71"/>
        <v>1.016</v>
      </c>
      <c r="P513" s="105">
        <f t="shared" si="76"/>
        <v>0</v>
      </c>
    </row>
    <row r="514" spans="2:16" x14ac:dyDescent="0.25">
      <c r="B514" s="88" t="s">
        <v>18</v>
      </c>
      <c r="C514" s="106">
        <f t="shared" si="77"/>
        <v>2020</v>
      </c>
      <c r="D514" s="101">
        <v>44073</v>
      </c>
      <c r="E514" s="102">
        <v>0.66666666666666663</v>
      </c>
      <c r="F514" s="103">
        <v>0.6875</v>
      </c>
      <c r="G514" s="103">
        <v>0.66666666666666663</v>
      </c>
      <c r="H514" s="103">
        <v>0.6875</v>
      </c>
      <c r="I514" s="90">
        <f t="shared" si="66"/>
        <v>0.50000000000000089</v>
      </c>
      <c r="J514" s="90">
        <f t="shared" si="67"/>
        <v>0.50000000000000089</v>
      </c>
      <c r="K514" s="91">
        <f t="shared" si="68"/>
        <v>0.72916666666666674</v>
      </c>
      <c r="L514" s="91">
        <f t="shared" si="69"/>
        <v>3.333333333333333</v>
      </c>
      <c r="M514" s="29">
        <f t="shared" si="74"/>
        <v>12</v>
      </c>
      <c r="N514" s="92">
        <f t="shared" si="75"/>
        <v>0.50000000000000089</v>
      </c>
      <c r="O514" s="104">
        <f t="shared" si="71"/>
        <v>1.016</v>
      </c>
      <c r="P514" s="105">
        <f t="shared" si="76"/>
        <v>4.267200000000007</v>
      </c>
    </row>
    <row r="515" spans="2:16" x14ac:dyDescent="0.25">
      <c r="B515" s="88" t="s">
        <v>18</v>
      </c>
      <c r="C515" s="106">
        <f t="shared" si="77"/>
        <v>2020</v>
      </c>
      <c r="D515" s="101">
        <v>44074</v>
      </c>
      <c r="E515" s="102"/>
      <c r="F515" s="103"/>
      <c r="G515" s="103"/>
      <c r="H515" s="103"/>
      <c r="I515" s="90">
        <f t="shared" si="66"/>
        <v>0</v>
      </c>
      <c r="J515" s="90">
        <f t="shared" si="67"/>
        <v>0</v>
      </c>
      <c r="K515" s="91">
        <f t="shared" si="68"/>
        <v>0.72916666666666674</v>
      </c>
      <c r="L515" s="91">
        <f t="shared" si="69"/>
        <v>3.333333333333333</v>
      </c>
      <c r="M515" s="29">
        <f t="shared" si="74"/>
        <v>12</v>
      </c>
      <c r="N515" s="92">
        <f t="shared" si="75"/>
        <v>0</v>
      </c>
      <c r="O515" s="104">
        <f t="shared" si="71"/>
        <v>1.016</v>
      </c>
      <c r="P515" s="105">
        <f t="shared" si="76"/>
        <v>0</v>
      </c>
    </row>
    <row r="516" spans="2:16" x14ac:dyDescent="0.25">
      <c r="B516" s="88" t="s">
        <v>18</v>
      </c>
      <c r="C516" s="106">
        <f t="shared" si="77"/>
        <v>2020</v>
      </c>
      <c r="D516" s="101">
        <v>44075</v>
      </c>
      <c r="E516" s="102"/>
      <c r="F516" s="103"/>
      <c r="G516" s="103"/>
      <c r="H516" s="103"/>
      <c r="I516" s="90">
        <f t="shared" si="66"/>
        <v>0</v>
      </c>
      <c r="J516" s="90">
        <f t="shared" si="67"/>
        <v>0</v>
      </c>
      <c r="K516" s="91">
        <f t="shared" si="68"/>
        <v>0.72916666666666674</v>
      </c>
      <c r="L516" s="91">
        <f t="shared" si="69"/>
        <v>3.333333333333333</v>
      </c>
      <c r="M516" s="29">
        <f t="shared" si="74"/>
        <v>12</v>
      </c>
      <c r="N516" s="92">
        <f t="shared" si="75"/>
        <v>0</v>
      </c>
      <c r="O516" s="104">
        <f t="shared" si="71"/>
        <v>1.016</v>
      </c>
      <c r="P516" s="105">
        <f t="shared" si="76"/>
        <v>0</v>
      </c>
    </row>
    <row r="517" spans="2:16" x14ac:dyDescent="0.25">
      <c r="B517" s="88" t="s">
        <v>18</v>
      </c>
      <c r="C517" s="106">
        <f t="shared" si="77"/>
        <v>2020</v>
      </c>
      <c r="D517" s="101">
        <v>44076</v>
      </c>
      <c r="E517" s="102">
        <v>0.4375</v>
      </c>
      <c r="F517" s="103">
        <v>0.45833333333333331</v>
      </c>
      <c r="G517" s="103">
        <v>0.4375</v>
      </c>
      <c r="H517" s="103">
        <v>0.45833333333333331</v>
      </c>
      <c r="I517" s="90">
        <f t="shared" si="66"/>
        <v>0.49999999999999956</v>
      </c>
      <c r="J517" s="90">
        <f t="shared" si="67"/>
        <v>0.49999999999999956</v>
      </c>
      <c r="K517" s="91">
        <f t="shared" si="68"/>
        <v>0.72916666666666674</v>
      </c>
      <c r="L517" s="91">
        <f t="shared" si="69"/>
        <v>3.333333333333333</v>
      </c>
      <c r="M517" s="29">
        <f t="shared" si="74"/>
        <v>12</v>
      </c>
      <c r="N517" s="92">
        <f t="shared" si="75"/>
        <v>0.49999999999999956</v>
      </c>
      <c r="O517" s="104">
        <f t="shared" si="71"/>
        <v>1.016</v>
      </c>
      <c r="P517" s="105">
        <f t="shared" si="76"/>
        <v>4.2671999999999963</v>
      </c>
    </row>
    <row r="518" spans="2:16" x14ac:dyDescent="0.25">
      <c r="B518" s="88" t="s">
        <v>18</v>
      </c>
      <c r="C518" s="106">
        <f t="shared" si="77"/>
        <v>2020</v>
      </c>
      <c r="D518" s="101">
        <v>44077</v>
      </c>
      <c r="E518" s="102"/>
      <c r="F518" s="103"/>
      <c r="G518" s="103"/>
      <c r="H518" s="103"/>
      <c r="I518" s="90">
        <f t="shared" si="66"/>
        <v>0</v>
      </c>
      <c r="J518" s="90">
        <f t="shared" si="67"/>
        <v>0</v>
      </c>
      <c r="K518" s="91">
        <f t="shared" si="68"/>
        <v>0.72916666666666674</v>
      </c>
      <c r="L518" s="91">
        <f t="shared" si="69"/>
        <v>3.333333333333333</v>
      </c>
      <c r="M518" s="29">
        <f t="shared" si="74"/>
        <v>12</v>
      </c>
      <c r="N518" s="92">
        <f t="shared" si="75"/>
        <v>0</v>
      </c>
      <c r="O518" s="104">
        <f t="shared" si="71"/>
        <v>1.016</v>
      </c>
      <c r="P518" s="105">
        <f t="shared" si="76"/>
        <v>0</v>
      </c>
    </row>
    <row r="519" spans="2:16" x14ac:dyDescent="0.25">
      <c r="B519" s="88" t="s">
        <v>18</v>
      </c>
      <c r="C519" s="106">
        <f t="shared" si="77"/>
        <v>2020</v>
      </c>
      <c r="D519" s="101">
        <v>44078</v>
      </c>
      <c r="E519" s="102"/>
      <c r="F519" s="103"/>
      <c r="G519" s="103"/>
      <c r="H519" s="103"/>
      <c r="I519" s="90">
        <f t="shared" si="66"/>
        <v>0</v>
      </c>
      <c r="J519" s="90">
        <f t="shared" si="67"/>
        <v>0</v>
      </c>
      <c r="K519" s="91">
        <f t="shared" si="68"/>
        <v>0.72916666666666674</v>
      </c>
      <c r="L519" s="91">
        <f t="shared" si="69"/>
        <v>3.333333333333333</v>
      </c>
      <c r="M519" s="29">
        <f t="shared" si="74"/>
        <v>12</v>
      </c>
      <c r="N519" s="92">
        <f t="shared" si="75"/>
        <v>0</v>
      </c>
      <c r="O519" s="104">
        <f t="shared" si="71"/>
        <v>1.016</v>
      </c>
      <c r="P519" s="105">
        <f t="shared" si="76"/>
        <v>0</v>
      </c>
    </row>
    <row r="520" spans="2:16" x14ac:dyDescent="0.25">
      <c r="B520" s="88" t="s">
        <v>18</v>
      </c>
      <c r="C520" s="106">
        <f t="shared" si="77"/>
        <v>2020</v>
      </c>
      <c r="D520" s="101">
        <v>44079</v>
      </c>
      <c r="E520" s="102"/>
      <c r="F520" s="103"/>
      <c r="G520" s="103"/>
      <c r="H520" s="103"/>
      <c r="I520" s="90">
        <f t="shared" si="66"/>
        <v>0</v>
      </c>
      <c r="J520" s="90">
        <f t="shared" si="67"/>
        <v>0</v>
      </c>
      <c r="K520" s="91">
        <f t="shared" si="68"/>
        <v>0.72916666666666674</v>
      </c>
      <c r="L520" s="91">
        <f t="shared" si="69"/>
        <v>3.333333333333333</v>
      </c>
      <c r="M520" s="29">
        <f t="shared" si="74"/>
        <v>12</v>
      </c>
      <c r="N520" s="92">
        <f t="shared" si="75"/>
        <v>0</v>
      </c>
      <c r="O520" s="104">
        <f t="shared" si="71"/>
        <v>1.016</v>
      </c>
      <c r="P520" s="105">
        <f t="shared" si="76"/>
        <v>0</v>
      </c>
    </row>
    <row r="521" spans="2:16" x14ac:dyDescent="0.25">
      <c r="B521" s="88" t="s">
        <v>18</v>
      </c>
      <c r="C521" s="106">
        <f t="shared" si="77"/>
        <v>2020</v>
      </c>
      <c r="D521" s="101">
        <v>44080</v>
      </c>
      <c r="E521" s="102">
        <v>0.60416666666666663</v>
      </c>
      <c r="F521" s="103">
        <v>0.625</v>
      </c>
      <c r="G521" s="103">
        <v>0.60416666666666663</v>
      </c>
      <c r="H521" s="103">
        <v>0.625</v>
      </c>
      <c r="I521" s="90">
        <f t="shared" si="66"/>
        <v>0.50000000000000089</v>
      </c>
      <c r="J521" s="90">
        <f t="shared" si="67"/>
        <v>0.50000000000000089</v>
      </c>
      <c r="K521" s="91">
        <f t="shared" si="68"/>
        <v>0.72916666666666674</v>
      </c>
      <c r="L521" s="91">
        <f t="shared" si="69"/>
        <v>3.333333333333333</v>
      </c>
      <c r="M521" s="29">
        <f t="shared" si="74"/>
        <v>12</v>
      </c>
      <c r="N521" s="92">
        <f t="shared" si="75"/>
        <v>0.50000000000000089</v>
      </c>
      <c r="O521" s="104">
        <f t="shared" si="71"/>
        <v>1.016</v>
      </c>
      <c r="P521" s="105">
        <f t="shared" si="76"/>
        <v>4.267200000000007</v>
      </c>
    </row>
    <row r="522" spans="2:16" x14ac:dyDescent="0.25">
      <c r="B522" s="88" t="s">
        <v>18</v>
      </c>
      <c r="C522" s="106">
        <f t="shared" si="77"/>
        <v>2020</v>
      </c>
      <c r="D522" s="101">
        <v>44081</v>
      </c>
      <c r="E522" s="102"/>
      <c r="F522" s="103"/>
      <c r="G522" s="103"/>
      <c r="H522" s="103"/>
      <c r="I522" s="90">
        <f t="shared" si="66"/>
        <v>0</v>
      </c>
      <c r="J522" s="90">
        <f t="shared" si="67"/>
        <v>0</v>
      </c>
      <c r="K522" s="91">
        <f t="shared" si="68"/>
        <v>0.72916666666666674</v>
      </c>
      <c r="L522" s="91">
        <f t="shared" si="69"/>
        <v>3.333333333333333</v>
      </c>
      <c r="M522" s="29">
        <f t="shared" si="74"/>
        <v>12</v>
      </c>
      <c r="N522" s="92">
        <f t="shared" si="75"/>
        <v>0</v>
      </c>
      <c r="O522" s="104">
        <f t="shared" si="71"/>
        <v>1.016</v>
      </c>
      <c r="P522" s="105">
        <f t="shared" si="76"/>
        <v>0</v>
      </c>
    </row>
    <row r="523" spans="2:16" x14ac:dyDescent="0.25">
      <c r="B523" s="88" t="s">
        <v>18</v>
      </c>
      <c r="C523" s="106">
        <f t="shared" si="77"/>
        <v>2020</v>
      </c>
      <c r="D523" s="101">
        <v>44082</v>
      </c>
      <c r="E523" s="102"/>
      <c r="F523" s="103"/>
      <c r="G523" s="103"/>
      <c r="H523" s="103"/>
      <c r="I523" s="90">
        <f t="shared" si="66"/>
        <v>0</v>
      </c>
      <c r="J523" s="90">
        <f t="shared" si="67"/>
        <v>0</v>
      </c>
      <c r="K523" s="91">
        <f t="shared" si="68"/>
        <v>0.72916666666666674</v>
      </c>
      <c r="L523" s="91">
        <f t="shared" si="69"/>
        <v>3.333333333333333</v>
      </c>
      <c r="M523" s="29">
        <f t="shared" si="74"/>
        <v>12</v>
      </c>
      <c r="N523" s="92">
        <f t="shared" si="75"/>
        <v>0</v>
      </c>
      <c r="O523" s="104">
        <f t="shared" si="71"/>
        <v>1.016</v>
      </c>
      <c r="P523" s="105">
        <f t="shared" si="76"/>
        <v>0</v>
      </c>
    </row>
    <row r="524" spans="2:16" x14ac:dyDescent="0.25">
      <c r="B524" s="88" t="s">
        <v>18</v>
      </c>
      <c r="C524" s="106">
        <f t="shared" si="77"/>
        <v>2020</v>
      </c>
      <c r="D524" s="101">
        <v>44083</v>
      </c>
      <c r="E524" s="102"/>
      <c r="F524" s="103"/>
      <c r="G524" s="103"/>
      <c r="H524" s="103"/>
      <c r="I524" s="90">
        <f t="shared" si="66"/>
        <v>0</v>
      </c>
      <c r="J524" s="90">
        <f t="shared" si="67"/>
        <v>0</v>
      </c>
      <c r="K524" s="91">
        <f t="shared" si="68"/>
        <v>0.72916666666666674</v>
      </c>
      <c r="L524" s="91">
        <f t="shared" si="69"/>
        <v>3.333333333333333</v>
      </c>
      <c r="M524" s="29">
        <f t="shared" si="74"/>
        <v>12</v>
      </c>
      <c r="N524" s="92">
        <f t="shared" si="75"/>
        <v>0</v>
      </c>
      <c r="O524" s="104">
        <f t="shared" si="71"/>
        <v>1.016</v>
      </c>
      <c r="P524" s="105">
        <f t="shared" si="76"/>
        <v>0</v>
      </c>
    </row>
    <row r="525" spans="2:16" x14ac:dyDescent="0.25">
      <c r="B525" s="88" t="s">
        <v>18</v>
      </c>
      <c r="C525" s="106">
        <f t="shared" si="77"/>
        <v>2020</v>
      </c>
      <c r="D525" s="101">
        <v>44084</v>
      </c>
      <c r="E525" s="102"/>
      <c r="F525" s="103"/>
      <c r="G525" s="103"/>
      <c r="H525" s="103"/>
      <c r="I525" s="90">
        <f t="shared" si="66"/>
        <v>0</v>
      </c>
      <c r="J525" s="90">
        <f t="shared" si="67"/>
        <v>0</v>
      </c>
      <c r="K525" s="91">
        <f t="shared" si="68"/>
        <v>0.72916666666666674</v>
      </c>
      <c r="L525" s="91">
        <f t="shared" si="69"/>
        <v>3.333333333333333</v>
      </c>
      <c r="M525" s="29">
        <f t="shared" si="74"/>
        <v>12</v>
      </c>
      <c r="N525" s="92">
        <f t="shared" si="75"/>
        <v>0</v>
      </c>
      <c r="O525" s="104">
        <f t="shared" si="71"/>
        <v>1.016</v>
      </c>
      <c r="P525" s="105">
        <f t="shared" si="76"/>
        <v>0</v>
      </c>
    </row>
    <row r="526" spans="2:16" x14ac:dyDescent="0.25">
      <c r="B526" s="88" t="s">
        <v>18</v>
      </c>
      <c r="C526" s="106">
        <f t="shared" si="77"/>
        <v>2020</v>
      </c>
      <c r="D526" s="101">
        <v>44085</v>
      </c>
      <c r="E526" s="102">
        <v>0.66666666666666663</v>
      </c>
      <c r="F526" s="103">
        <v>0.6875</v>
      </c>
      <c r="G526" s="103">
        <v>0.66666666666666663</v>
      </c>
      <c r="H526" s="103">
        <v>0.6875</v>
      </c>
      <c r="I526" s="90">
        <f t="shared" si="66"/>
        <v>0.50000000000000089</v>
      </c>
      <c r="J526" s="90">
        <f t="shared" si="67"/>
        <v>0.50000000000000089</v>
      </c>
      <c r="K526" s="91">
        <f t="shared" si="68"/>
        <v>0.72916666666666674</v>
      </c>
      <c r="L526" s="91">
        <f t="shared" si="69"/>
        <v>3.333333333333333</v>
      </c>
      <c r="M526" s="29">
        <f t="shared" si="74"/>
        <v>12</v>
      </c>
      <c r="N526" s="92">
        <f t="shared" si="75"/>
        <v>0.50000000000000089</v>
      </c>
      <c r="O526" s="104">
        <f t="shared" si="71"/>
        <v>1.016</v>
      </c>
      <c r="P526" s="105">
        <f t="shared" si="76"/>
        <v>4.267200000000007</v>
      </c>
    </row>
    <row r="527" spans="2:16" x14ac:dyDescent="0.25">
      <c r="B527" s="88" t="s">
        <v>18</v>
      </c>
      <c r="C527" s="106">
        <f t="shared" si="77"/>
        <v>2020</v>
      </c>
      <c r="D527" s="101">
        <v>44086</v>
      </c>
      <c r="E527" s="102"/>
      <c r="F527" s="103"/>
      <c r="G527" s="103"/>
      <c r="H527" s="103"/>
      <c r="I527" s="90">
        <f t="shared" si="66"/>
        <v>0</v>
      </c>
      <c r="J527" s="90">
        <f t="shared" si="67"/>
        <v>0</v>
      </c>
      <c r="K527" s="91">
        <f t="shared" si="68"/>
        <v>0.72916666666666674</v>
      </c>
      <c r="L527" s="91">
        <f t="shared" si="69"/>
        <v>3.333333333333333</v>
      </c>
      <c r="M527" s="29">
        <f t="shared" si="74"/>
        <v>12</v>
      </c>
      <c r="N527" s="92">
        <f t="shared" si="75"/>
        <v>0</v>
      </c>
      <c r="O527" s="104">
        <f t="shared" si="71"/>
        <v>1.016</v>
      </c>
      <c r="P527" s="105">
        <f t="shared" si="76"/>
        <v>0</v>
      </c>
    </row>
    <row r="528" spans="2:16" x14ac:dyDescent="0.25">
      <c r="B528" s="88" t="s">
        <v>18</v>
      </c>
      <c r="C528" s="106">
        <f t="shared" si="77"/>
        <v>2020</v>
      </c>
      <c r="D528" s="101">
        <v>44087</v>
      </c>
      <c r="E528" s="102"/>
      <c r="F528" s="103"/>
      <c r="G528" s="103"/>
      <c r="H528" s="103"/>
      <c r="I528" s="90">
        <f t="shared" si="66"/>
        <v>0</v>
      </c>
      <c r="J528" s="90">
        <f t="shared" si="67"/>
        <v>0</v>
      </c>
      <c r="K528" s="91">
        <f t="shared" si="68"/>
        <v>0.72916666666666674</v>
      </c>
      <c r="L528" s="91">
        <f t="shared" si="69"/>
        <v>3.333333333333333</v>
      </c>
      <c r="M528" s="29">
        <f t="shared" si="74"/>
        <v>12</v>
      </c>
      <c r="N528" s="92">
        <f t="shared" si="75"/>
        <v>0</v>
      </c>
      <c r="O528" s="104">
        <f t="shared" si="71"/>
        <v>1.016</v>
      </c>
      <c r="P528" s="105">
        <f t="shared" si="76"/>
        <v>0</v>
      </c>
    </row>
    <row r="529" spans="2:16" x14ac:dyDescent="0.25">
      <c r="B529" s="88" t="s">
        <v>18</v>
      </c>
      <c r="C529" s="106">
        <f t="shared" si="77"/>
        <v>2020</v>
      </c>
      <c r="D529" s="101">
        <v>44088</v>
      </c>
      <c r="E529" s="102"/>
      <c r="F529" s="103"/>
      <c r="G529" s="103"/>
      <c r="H529" s="103"/>
      <c r="I529" s="90">
        <f t="shared" si="66"/>
        <v>0</v>
      </c>
      <c r="J529" s="90">
        <f t="shared" si="67"/>
        <v>0</v>
      </c>
      <c r="K529" s="91">
        <f t="shared" si="68"/>
        <v>0.72916666666666674</v>
      </c>
      <c r="L529" s="91">
        <f t="shared" si="69"/>
        <v>3.333333333333333</v>
      </c>
      <c r="M529" s="29">
        <f t="shared" si="74"/>
        <v>12</v>
      </c>
      <c r="N529" s="92">
        <f t="shared" si="75"/>
        <v>0</v>
      </c>
      <c r="O529" s="104">
        <f t="shared" si="71"/>
        <v>1.016</v>
      </c>
      <c r="P529" s="105">
        <f t="shared" si="76"/>
        <v>0</v>
      </c>
    </row>
    <row r="530" spans="2:16" x14ac:dyDescent="0.25">
      <c r="B530" s="88" t="s">
        <v>18</v>
      </c>
      <c r="C530" s="106">
        <f t="shared" si="77"/>
        <v>2020</v>
      </c>
      <c r="D530" s="101">
        <v>44089</v>
      </c>
      <c r="E530" s="102"/>
      <c r="F530" s="103"/>
      <c r="G530" s="103"/>
      <c r="H530" s="103"/>
      <c r="I530" s="90">
        <f t="shared" si="66"/>
        <v>0</v>
      </c>
      <c r="J530" s="90">
        <f t="shared" si="67"/>
        <v>0</v>
      </c>
      <c r="K530" s="91">
        <f t="shared" si="68"/>
        <v>0.72916666666666674</v>
      </c>
      <c r="L530" s="91">
        <f t="shared" si="69"/>
        <v>3.333333333333333</v>
      </c>
      <c r="M530" s="29">
        <f t="shared" si="74"/>
        <v>12</v>
      </c>
      <c r="N530" s="92">
        <f t="shared" si="75"/>
        <v>0</v>
      </c>
      <c r="O530" s="104">
        <f t="shared" si="71"/>
        <v>1.016</v>
      </c>
      <c r="P530" s="105">
        <f t="shared" si="76"/>
        <v>0</v>
      </c>
    </row>
    <row r="531" spans="2:16" x14ac:dyDescent="0.25">
      <c r="B531" s="88" t="s">
        <v>18</v>
      </c>
      <c r="C531" s="106">
        <f t="shared" si="77"/>
        <v>2020</v>
      </c>
      <c r="D531" s="101">
        <v>44090</v>
      </c>
      <c r="E531" s="102"/>
      <c r="F531" s="103"/>
      <c r="G531" s="103"/>
      <c r="H531" s="103"/>
      <c r="I531" s="90">
        <f t="shared" si="66"/>
        <v>0</v>
      </c>
      <c r="J531" s="90">
        <f t="shared" si="67"/>
        <v>0</v>
      </c>
      <c r="K531" s="91">
        <f t="shared" si="68"/>
        <v>0.72916666666666674</v>
      </c>
      <c r="L531" s="91">
        <f t="shared" si="69"/>
        <v>3.333333333333333</v>
      </c>
      <c r="M531" s="29">
        <f t="shared" si="74"/>
        <v>12</v>
      </c>
      <c r="N531" s="92">
        <f t="shared" si="75"/>
        <v>0</v>
      </c>
      <c r="O531" s="104">
        <f t="shared" si="71"/>
        <v>1.016</v>
      </c>
      <c r="P531" s="105">
        <f t="shared" si="76"/>
        <v>0</v>
      </c>
    </row>
    <row r="532" spans="2:16" x14ac:dyDescent="0.25">
      <c r="B532" s="88" t="s">
        <v>18</v>
      </c>
      <c r="C532" s="106">
        <f t="shared" si="77"/>
        <v>2020</v>
      </c>
      <c r="D532" s="101">
        <v>44091</v>
      </c>
      <c r="E532" s="102"/>
      <c r="F532" s="103"/>
      <c r="G532" s="103"/>
      <c r="H532" s="103"/>
      <c r="I532" s="90">
        <f t="shared" si="66"/>
        <v>0</v>
      </c>
      <c r="J532" s="90">
        <f t="shared" si="67"/>
        <v>0</v>
      </c>
      <c r="K532" s="91">
        <f t="shared" si="68"/>
        <v>0.72916666666666674</v>
      </c>
      <c r="L532" s="91">
        <f t="shared" si="69"/>
        <v>3.333333333333333</v>
      </c>
      <c r="M532" s="29">
        <f t="shared" si="74"/>
        <v>12</v>
      </c>
      <c r="N532" s="92">
        <f t="shared" si="75"/>
        <v>0</v>
      </c>
      <c r="O532" s="104">
        <f t="shared" si="71"/>
        <v>1.016</v>
      </c>
      <c r="P532" s="105">
        <f t="shared" si="76"/>
        <v>0</v>
      </c>
    </row>
    <row r="533" spans="2:16" x14ac:dyDescent="0.25">
      <c r="B533" s="88" t="s">
        <v>18</v>
      </c>
      <c r="C533" s="106">
        <f t="shared" si="77"/>
        <v>2020</v>
      </c>
      <c r="D533" s="101">
        <v>44092</v>
      </c>
      <c r="E533" s="102">
        <v>0.4375</v>
      </c>
      <c r="F533" s="103">
        <v>0.45833333333333331</v>
      </c>
      <c r="G533" s="103">
        <v>0.4375</v>
      </c>
      <c r="H533" s="103">
        <v>0.45833333333333331</v>
      </c>
      <c r="I533" s="90">
        <f t="shared" si="66"/>
        <v>0.49999999999999956</v>
      </c>
      <c r="J533" s="90">
        <f t="shared" si="67"/>
        <v>0.49999999999999956</v>
      </c>
      <c r="K533" s="91">
        <f t="shared" si="68"/>
        <v>0.72916666666666674</v>
      </c>
      <c r="L533" s="91">
        <f t="shared" si="69"/>
        <v>3.333333333333333</v>
      </c>
      <c r="M533" s="29">
        <f t="shared" si="74"/>
        <v>12</v>
      </c>
      <c r="N533" s="92">
        <f t="shared" si="75"/>
        <v>0.49999999999999956</v>
      </c>
      <c r="O533" s="104">
        <f t="shared" si="71"/>
        <v>1.016</v>
      </c>
      <c r="P533" s="105">
        <f t="shared" si="76"/>
        <v>4.2671999999999963</v>
      </c>
    </row>
    <row r="534" spans="2:16" x14ac:dyDescent="0.25">
      <c r="B534" s="88" t="s">
        <v>18</v>
      </c>
      <c r="C534" s="106">
        <f t="shared" si="77"/>
        <v>2020</v>
      </c>
      <c r="D534" s="101">
        <v>44093</v>
      </c>
      <c r="E534" s="102"/>
      <c r="F534" s="103"/>
      <c r="G534" s="103"/>
      <c r="H534" s="103"/>
      <c r="I534" s="90">
        <f t="shared" si="66"/>
        <v>0</v>
      </c>
      <c r="J534" s="90">
        <f t="shared" si="67"/>
        <v>0</v>
      </c>
      <c r="K534" s="91">
        <f t="shared" si="68"/>
        <v>0.72916666666666674</v>
      </c>
      <c r="L534" s="91">
        <f t="shared" si="69"/>
        <v>3.333333333333333</v>
      </c>
      <c r="M534" s="29">
        <f t="shared" si="74"/>
        <v>12</v>
      </c>
      <c r="N534" s="92">
        <f t="shared" si="75"/>
        <v>0</v>
      </c>
      <c r="O534" s="104">
        <f t="shared" si="71"/>
        <v>1.016</v>
      </c>
      <c r="P534" s="105">
        <f t="shared" si="76"/>
        <v>0</v>
      </c>
    </row>
    <row r="535" spans="2:16" x14ac:dyDescent="0.25">
      <c r="B535" s="88" t="s">
        <v>18</v>
      </c>
      <c r="C535" s="106">
        <f t="shared" si="77"/>
        <v>2020</v>
      </c>
      <c r="D535" s="101">
        <v>44094</v>
      </c>
      <c r="E535" s="102"/>
      <c r="F535" s="103"/>
      <c r="G535" s="103"/>
      <c r="H535" s="103"/>
      <c r="I535" s="90">
        <f t="shared" si="66"/>
        <v>0</v>
      </c>
      <c r="J535" s="90">
        <f t="shared" si="67"/>
        <v>0</v>
      </c>
      <c r="K535" s="91">
        <f t="shared" si="68"/>
        <v>0.72916666666666674</v>
      </c>
      <c r="L535" s="91">
        <f t="shared" si="69"/>
        <v>3.333333333333333</v>
      </c>
      <c r="M535" s="29">
        <f t="shared" si="74"/>
        <v>12</v>
      </c>
      <c r="N535" s="92">
        <f t="shared" si="75"/>
        <v>0</v>
      </c>
      <c r="O535" s="104">
        <f t="shared" si="71"/>
        <v>1.016</v>
      </c>
      <c r="P535" s="105">
        <f t="shared" si="76"/>
        <v>0</v>
      </c>
    </row>
    <row r="536" spans="2:16" x14ac:dyDescent="0.25">
      <c r="B536" s="88" t="s">
        <v>18</v>
      </c>
      <c r="C536" s="106">
        <f t="shared" si="77"/>
        <v>2020</v>
      </c>
      <c r="D536" s="101">
        <v>44095</v>
      </c>
      <c r="E536" s="102"/>
      <c r="F536" s="103"/>
      <c r="G536" s="103"/>
      <c r="H536" s="103"/>
      <c r="I536" s="90">
        <f t="shared" si="66"/>
        <v>0</v>
      </c>
      <c r="J536" s="90">
        <f t="shared" si="67"/>
        <v>0</v>
      </c>
      <c r="K536" s="91">
        <f t="shared" si="68"/>
        <v>0.72916666666666674</v>
      </c>
      <c r="L536" s="91">
        <f t="shared" si="69"/>
        <v>3.333333333333333</v>
      </c>
      <c r="M536" s="29">
        <f t="shared" si="74"/>
        <v>12</v>
      </c>
      <c r="N536" s="92">
        <f t="shared" si="75"/>
        <v>0</v>
      </c>
      <c r="O536" s="104">
        <f t="shared" si="71"/>
        <v>1.016</v>
      </c>
      <c r="P536" s="105">
        <f t="shared" si="76"/>
        <v>0</v>
      </c>
    </row>
    <row r="537" spans="2:16" x14ac:dyDescent="0.25">
      <c r="B537" s="88" t="s">
        <v>18</v>
      </c>
      <c r="C537" s="106">
        <f t="shared" si="77"/>
        <v>2020</v>
      </c>
      <c r="D537" s="101">
        <v>44096</v>
      </c>
      <c r="E537" s="102"/>
      <c r="F537" s="103"/>
      <c r="G537" s="103"/>
      <c r="H537" s="103"/>
      <c r="I537" s="90">
        <f t="shared" si="66"/>
        <v>0</v>
      </c>
      <c r="J537" s="90">
        <f t="shared" si="67"/>
        <v>0</v>
      </c>
      <c r="K537" s="91">
        <f t="shared" si="68"/>
        <v>0.72916666666666674</v>
      </c>
      <c r="L537" s="91">
        <f t="shared" si="69"/>
        <v>3.333333333333333</v>
      </c>
      <c r="M537" s="29">
        <f t="shared" si="74"/>
        <v>12</v>
      </c>
      <c r="N537" s="92">
        <f t="shared" si="75"/>
        <v>0</v>
      </c>
      <c r="O537" s="104">
        <f t="shared" si="71"/>
        <v>1.016</v>
      </c>
      <c r="P537" s="105">
        <f t="shared" si="76"/>
        <v>0</v>
      </c>
    </row>
    <row r="538" spans="2:16" x14ac:dyDescent="0.25">
      <c r="B538" s="88" t="s">
        <v>18</v>
      </c>
      <c r="C538" s="106">
        <f t="shared" si="77"/>
        <v>2020</v>
      </c>
      <c r="D538" s="101">
        <v>44097</v>
      </c>
      <c r="E538" s="102"/>
      <c r="F538" s="103"/>
      <c r="G538" s="103"/>
      <c r="H538" s="103"/>
      <c r="I538" s="90">
        <f t="shared" si="66"/>
        <v>0</v>
      </c>
      <c r="J538" s="90">
        <f t="shared" si="67"/>
        <v>0</v>
      </c>
      <c r="K538" s="91">
        <f t="shared" si="68"/>
        <v>0.72916666666666674</v>
      </c>
      <c r="L538" s="91">
        <f t="shared" si="69"/>
        <v>3.333333333333333</v>
      </c>
      <c r="M538" s="29">
        <f t="shared" si="74"/>
        <v>12</v>
      </c>
      <c r="N538" s="92">
        <f t="shared" si="75"/>
        <v>0</v>
      </c>
      <c r="O538" s="104">
        <f t="shared" si="71"/>
        <v>1.016</v>
      </c>
      <c r="P538" s="105">
        <f t="shared" si="76"/>
        <v>0</v>
      </c>
    </row>
    <row r="539" spans="2:16" x14ac:dyDescent="0.25">
      <c r="B539" s="88" t="s">
        <v>18</v>
      </c>
      <c r="C539" s="106">
        <f t="shared" si="77"/>
        <v>2020</v>
      </c>
      <c r="D539" s="101">
        <v>44098</v>
      </c>
      <c r="E539" s="102"/>
      <c r="F539" s="103"/>
      <c r="G539" s="103"/>
      <c r="H539" s="103"/>
      <c r="I539" s="90">
        <f t="shared" si="66"/>
        <v>0</v>
      </c>
      <c r="J539" s="90">
        <f t="shared" si="67"/>
        <v>0</v>
      </c>
      <c r="K539" s="91">
        <f t="shared" ref="K539:K602" si="78">VLOOKUP(B539,$B$5:$J$17,5,FALSE)</f>
        <v>0.72916666666666674</v>
      </c>
      <c r="L539" s="91">
        <f t="shared" ref="L539:L602" si="79">VLOOKUP(B539,$B$5:$J$17,6,FALSE)</f>
        <v>3.333333333333333</v>
      </c>
      <c r="M539" s="29">
        <f t="shared" si="74"/>
        <v>12</v>
      </c>
      <c r="N539" s="92">
        <f t="shared" si="75"/>
        <v>0</v>
      </c>
      <c r="O539" s="104">
        <f t="shared" si="71"/>
        <v>1.016</v>
      </c>
      <c r="P539" s="105">
        <f t="shared" si="76"/>
        <v>0</v>
      </c>
    </row>
    <row r="540" spans="2:16" x14ac:dyDescent="0.25">
      <c r="B540" s="88" t="s">
        <v>18</v>
      </c>
      <c r="C540" s="106">
        <f t="shared" si="77"/>
        <v>2020</v>
      </c>
      <c r="D540" s="101">
        <v>44099</v>
      </c>
      <c r="E540" s="102">
        <v>0.54166666666666663</v>
      </c>
      <c r="F540" s="103">
        <v>0.5625</v>
      </c>
      <c r="G540" s="103">
        <v>0.54166666666666663</v>
      </c>
      <c r="H540" s="103">
        <v>0.5625</v>
      </c>
      <c r="I540" s="90">
        <f t="shared" ref="I540:I603" si="80">((F540-E540)-INT($D$20))*24</f>
        <v>0.50000000000000089</v>
      </c>
      <c r="J540" s="90">
        <f t="shared" ref="J540:J603" si="81">((H540-G540)-INT($D$20))*24</f>
        <v>0.50000000000000089</v>
      </c>
      <c r="K540" s="91">
        <f t="shared" si="78"/>
        <v>0.72916666666666674</v>
      </c>
      <c r="L540" s="91">
        <f t="shared" si="79"/>
        <v>3.333333333333333</v>
      </c>
      <c r="M540" s="29">
        <f t="shared" si="74"/>
        <v>12</v>
      </c>
      <c r="N540" s="92">
        <f t="shared" si="75"/>
        <v>0.50000000000000089</v>
      </c>
      <c r="O540" s="104">
        <f t="shared" si="71"/>
        <v>1.016</v>
      </c>
      <c r="P540" s="105">
        <f t="shared" si="76"/>
        <v>4.267200000000007</v>
      </c>
    </row>
    <row r="541" spans="2:16" x14ac:dyDescent="0.25">
      <c r="B541" s="88" t="s">
        <v>18</v>
      </c>
      <c r="C541" s="106">
        <f t="shared" si="77"/>
        <v>2020</v>
      </c>
      <c r="D541" s="101">
        <v>44100</v>
      </c>
      <c r="E541" s="102"/>
      <c r="F541" s="103"/>
      <c r="G541" s="103"/>
      <c r="H541" s="103"/>
      <c r="I541" s="90">
        <f t="shared" si="80"/>
        <v>0</v>
      </c>
      <c r="J541" s="90">
        <f t="shared" si="81"/>
        <v>0</v>
      </c>
      <c r="K541" s="91">
        <f t="shared" si="78"/>
        <v>0.72916666666666674</v>
      </c>
      <c r="L541" s="91">
        <f t="shared" si="79"/>
        <v>3.333333333333333</v>
      </c>
      <c r="M541" s="29">
        <f t="shared" ref="M541:M604" si="82">VLOOKUP(B541,$I$5:$J$17,2,FALSE)</f>
        <v>12</v>
      </c>
      <c r="N541" s="92">
        <f t="shared" ref="N541:N604" si="83">I541</f>
        <v>0</v>
      </c>
      <c r="O541" s="104">
        <f t="shared" si="71"/>
        <v>1.016</v>
      </c>
      <c r="P541" s="105">
        <f t="shared" ref="P541:P604" si="84">M541*N541*O541*0.7</f>
        <v>0</v>
      </c>
    </row>
    <row r="542" spans="2:16" x14ac:dyDescent="0.25">
      <c r="B542" s="88" t="s">
        <v>18</v>
      </c>
      <c r="C542" s="106">
        <f t="shared" si="77"/>
        <v>2020</v>
      </c>
      <c r="D542" s="101">
        <v>44101</v>
      </c>
      <c r="E542" s="102"/>
      <c r="F542" s="103"/>
      <c r="G542" s="103"/>
      <c r="H542" s="103"/>
      <c r="I542" s="90">
        <f t="shared" si="80"/>
        <v>0</v>
      </c>
      <c r="J542" s="90">
        <f t="shared" si="81"/>
        <v>0</v>
      </c>
      <c r="K542" s="91">
        <f t="shared" si="78"/>
        <v>0.72916666666666674</v>
      </c>
      <c r="L542" s="91">
        <f t="shared" si="79"/>
        <v>3.333333333333333</v>
      </c>
      <c r="M542" s="29">
        <f t="shared" si="82"/>
        <v>12</v>
      </c>
      <c r="N542" s="92">
        <f t="shared" si="83"/>
        <v>0</v>
      </c>
      <c r="O542" s="104">
        <f t="shared" si="71"/>
        <v>1.016</v>
      </c>
      <c r="P542" s="105">
        <f t="shared" si="84"/>
        <v>0</v>
      </c>
    </row>
    <row r="543" spans="2:16" x14ac:dyDescent="0.25">
      <c r="B543" s="88" t="s">
        <v>18</v>
      </c>
      <c r="C543" s="106">
        <f t="shared" si="77"/>
        <v>2020</v>
      </c>
      <c r="D543" s="101">
        <v>44102</v>
      </c>
      <c r="E543" s="102"/>
      <c r="F543" s="103"/>
      <c r="G543" s="103"/>
      <c r="H543" s="103"/>
      <c r="I543" s="90">
        <f t="shared" si="80"/>
        <v>0</v>
      </c>
      <c r="J543" s="90">
        <f t="shared" si="81"/>
        <v>0</v>
      </c>
      <c r="K543" s="91">
        <f t="shared" si="78"/>
        <v>0.72916666666666674</v>
      </c>
      <c r="L543" s="91">
        <f t="shared" si="79"/>
        <v>3.333333333333333</v>
      </c>
      <c r="M543" s="29">
        <f t="shared" si="82"/>
        <v>12</v>
      </c>
      <c r="N543" s="92">
        <f t="shared" si="83"/>
        <v>0</v>
      </c>
      <c r="O543" s="104">
        <f t="shared" si="71"/>
        <v>1.016</v>
      </c>
      <c r="P543" s="105">
        <f t="shared" si="84"/>
        <v>0</v>
      </c>
    </row>
    <row r="544" spans="2:16" x14ac:dyDescent="0.25">
      <c r="B544" s="88" t="s">
        <v>18</v>
      </c>
      <c r="C544" s="106">
        <f t="shared" si="77"/>
        <v>2020</v>
      </c>
      <c r="D544" s="101">
        <v>44103</v>
      </c>
      <c r="E544" s="102"/>
      <c r="F544" s="103"/>
      <c r="G544" s="103"/>
      <c r="H544" s="103"/>
      <c r="I544" s="90">
        <f t="shared" si="80"/>
        <v>0</v>
      </c>
      <c r="J544" s="90">
        <f t="shared" si="81"/>
        <v>0</v>
      </c>
      <c r="K544" s="91">
        <f t="shared" si="78"/>
        <v>0.72916666666666674</v>
      </c>
      <c r="L544" s="91">
        <f t="shared" si="79"/>
        <v>3.333333333333333</v>
      </c>
      <c r="M544" s="29">
        <f t="shared" si="82"/>
        <v>12</v>
      </c>
      <c r="N544" s="92">
        <f t="shared" si="83"/>
        <v>0</v>
      </c>
      <c r="O544" s="104">
        <f t="shared" si="71"/>
        <v>1.016</v>
      </c>
      <c r="P544" s="105">
        <f t="shared" si="84"/>
        <v>0</v>
      </c>
    </row>
    <row r="545" spans="2:16" x14ac:dyDescent="0.25">
      <c r="B545" s="88" t="s">
        <v>18</v>
      </c>
      <c r="C545" s="106">
        <f t="shared" si="77"/>
        <v>2020</v>
      </c>
      <c r="D545" s="101">
        <v>44104</v>
      </c>
      <c r="E545" s="102"/>
      <c r="F545" s="103"/>
      <c r="G545" s="103"/>
      <c r="H545" s="103"/>
      <c r="I545" s="90">
        <f t="shared" si="80"/>
        <v>0</v>
      </c>
      <c r="J545" s="90">
        <f t="shared" si="81"/>
        <v>0</v>
      </c>
      <c r="K545" s="91">
        <f t="shared" si="78"/>
        <v>0.72916666666666674</v>
      </c>
      <c r="L545" s="91">
        <f t="shared" si="79"/>
        <v>3.333333333333333</v>
      </c>
      <c r="M545" s="29">
        <f t="shared" si="82"/>
        <v>12</v>
      </c>
      <c r="N545" s="92">
        <f t="shared" si="83"/>
        <v>0</v>
      </c>
      <c r="O545" s="104">
        <f t="shared" si="71"/>
        <v>1.016</v>
      </c>
      <c r="P545" s="105">
        <f t="shared" si="84"/>
        <v>0</v>
      </c>
    </row>
    <row r="546" spans="2:16" x14ac:dyDescent="0.25">
      <c r="B546" s="88" t="s">
        <v>18</v>
      </c>
      <c r="C546" s="106">
        <f t="shared" si="77"/>
        <v>2020</v>
      </c>
      <c r="D546" s="101">
        <v>44105</v>
      </c>
      <c r="E546" s="102">
        <v>0.60416666666666663</v>
      </c>
      <c r="F546" s="103">
        <v>0.625</v>
      </c>
      <c r="G546" s="103">
        <v>0.60416666666666663</v>
      </c>
      <c r="H546" s="103">
        <v>0.625</v>
      </c>
      <c r="I546" s="90">
        <f t="shared" si="80"/>
        <v>0.50000000000000089</v>
      </c>
      <c r="J546" s="90">
        <f t="shared" si="81"/>
        <v>0.50000000000000089</v>
      </c>
      <c r="K546" s="91">
        <f t="shared" si="78"/>
        <v>0.72916666666666674</v>
      </c>
      <c r="L546" s="91">
        <f t="shared" si="79"/>
        <v>3.333333333333333</v>
      </c>
      <c r="M546" s="29">
        <f t="shared" si="82"/>
        <v>12</v>
      </c>
      <c r="N546" s="92">
        <f t="shared" si="83"/>
        <v>0.50000000000000089</v>
      </c>
      <c r="O546" s="104">
        <f t="shared" si="71"/>
        <v>1.016</v>
      </c>
      <c r="P546" s="105">
        <f t="shared" si="84"/>
        <v>4.267200000000007</v>
      </c>
    </row>
    <row r="547" spans="2:16" x14ac:dyDescent="0.25">
      <c r="B547" s="88" t="s">
        <v>18</v>
      </c>
      <c r="C547" s="106">
        <f t="shared" si="77"/>
        <v>2020</v>
      </c>
      <c r="D547" s="101">
        <v>44106</v>
      </c>
      <c r="E547" s="102"/>
      <c r="F547" s="103"/>
      <c r="G547" s="103"/>
      <c r="H547" s="103"/>
      <c r="I547" s="90">
        <f t="shared" si="80"/>
        <v>0</v>
      </c>
      <c r="J547" s="90">
        <f t="shared" si="81"/>
        <v>0</v>
      </c>
      <c r="K547" s="91">
        <f t="shared" si="78"/>
        <v>0.72916666666666674</v>
      </c>
      <c r="L547" s="91">
        <f t="shared" si="79"/>
        <v>3.333333333333333</v>
      </c>
      <c r="M547" s="29">
        <f t="shared" si="82"/>
        <v>12</v>
      </c>
      <c r="N547" s="92">
        <f t="shared" si="83"/>
        <v>0</v>
      </c>
      <c r="O547" s="104">
        <f t="shared" si="71"/>
        <v>1.016</v>
      </c>
      <c r="P547" s="105">
        <f t="shared" si="84"/>
        <v>0</v>
      </c>
    </row>
    <row r="548" spans="2:16" x14ac:dyDescent="0.25">
      <c r="B548" s="88" t="s">
        <v>18</v>
      </c>
      <c r="C548" s="106">
        <f t="shared" si="77"/>
        <v>2020</v>
      </c>
      <c r="D548" s="101">
        <v>44107</v>
      </c>
      <c r="E548" s="102"/>
      <c r="F548" s="103"/>
      <c r="G548" s="103"/>
      <c r="H548" s="103"/>
      <c r="I548" s="90">
        <f t="shared" si="80"/>
        <v>0</v>
      </c>
      <c r="J548" s="90">
        <f t="shared" si="81"/>
        <v>0</v>
      </c>
      <c r="K548" s="91">
        <f t="shared" si="78"/>
        <v>0.72916666666666674</v>
      </c>
      <c r="L548" s="91">
        <f t="shared" si="79"/>
        <v>3.333333333333333</v>
      </c>
      <c r="M548" s="29">
        <f t="shared" si="82"/>
        <v>12</v>
      </c>
      <c r="N548" s="92">
        <f t="shared" si="83"/>
        <v>0</v>
      </c>
      <c r="O548" s="104">
        <f t="shared" si="71"/>
        <v>1.016</v>
      </c>
      <c r="P548" s="105">
        <f t="shared" si="84"/>
        <v>0</v>
      </c>
    </row>
    <row r="549" spans="2:16" x14ac:dyDescent="0.25">
      <c r="B549" s="88" t="s">
        <v>18</v>
      </c>
      <c r="C549" s="106">
        <f t="shared" si="77"/>
        <v>2020</v>
      </c>
      <c r="D549" s="101">
        <v>44108</v>
      </c>
      <c r="E549" s="102"/>
      <c r="F549" s="103"/>
      <c r="G549" s="103"/>
      <c r="H549" s="103"/>
      <c r="I549" s="90">
        <f t="shared" si="80"/>
        <v>0</v>
      </c>
      <c r="J549" s="90">
        <f t="shared" si="81"/>
        <v>0</v>
      </c>
      <c r="K549" s="91">
        <f t="shared" si="78"/>
        <v>0.72916666666666674</v>
      </c>
      <c r="L549" s="91">
        <f t="shared" si="79"/>
        <v>3.333333333333333</v>
      </c>
      <c r="M549" s="29">
        <f t="shared" si="82"/>
        <v>12</v>
      </c>
      <c r="N549" s="92">
        <f t="shared" si="83"/>
        <v>0</v>
      </c>
      <c r="O549" s="104">
        <f t="shared" si="71"/>
        <v>1.016</v>
      </c>
      <c r="P549" s="105">
        <f t="shared" si="84"/>
        <v>0</v>
      </c>
    </row>
    <row r="550" spans="2:16" x14ac:dyDescent="0.25">
      <c r="B550" s="88" t="s">
        <v>18</v>
      </c>
      <c r="C550" s="106">
        <f t="shared" si="77"/>
        <v>2020</v>
      </c>
      <c r="D550" s="101">
        <v>44109</v>
      </c>
      <c r="E550" s="102"/>
      <c r="F550" s="103"/>
      <c r="G550" s="103"/>
      <c r="H550" s="103"/>
      <c r="I550" s="90">
        <f t="shared" si="80"/>
        <v>0</v>
      </c>
      <c r="J550" s="90">
        <f t="shared" si="81"/>
        <v>0</v>
      </c>
      <c r="K550" s="91">
        <f t="shared" si="78"/>
        <v>0.72916666666666674</v>
      </c>
      <c r="L550" s="91">
        <f t="shared" si="79"/>
        <v>3.333333333333333</v>
      </c>
      <c r="M550" s="29">
        <f t="shared" si="82"/>
        <v>12</v>
      </c>
      <c r="N550" s="92">
        <f t="shared" si="83"/>
        <v>0</v>
      </c>
      <c r="O550" s="104">
        <f t="shared" si="71"/>
        <v>1.016</v>
      </c>
      <c r="P550" s="105">
        <f t="shared" si="84"/>
        <v>0</v>
      </c>
    </row>
    <row r="551" spans="2:16" x14ac:dyDescent="0.25">
      <c r="B551" s="88" t="s">
        <v>18</v>
      </c>
      <c r="C551" s="106">
        <f t="shared" si="77"/>
        <v>2020</v>
      </c>
      <c r="D551" s="101">
        <v>44110</v>
      </c>
      <c r="E551" s="102"/>
      <c r="F551" s="103"/>
      <c r="G551" s="103"/>
      <c r="H551" s="103"/>
      <c r="I551" s="90">
        <f t="shared" si="80"/>
        <v>0</v>
      </c>
      <c r="J551" s="90">
        <f t="shared" si="81"/>
        <v>0</v>
      </c>
      <c r="K551" s="91">
        <f t="shared" si="78"/>
        <v>0.72916666666666674</v>
      </c>
      <c r="L551" s="91">
        <f t="shared" si="79"/>
        <v>3.333333333333333</v>
      </c>
      <c r="M551" s="29">
        <f t="shared" si="82"/>
        <v>12</v>
      </c>
      <c r="N551" s="92">
        <f t="shared" si="83"/>
        <v>0</v>
      </c>
      <c r="O551" s="104">
        <f t="shared" si="71"/>
        <v>1.016</v>
      </c>
      <c r="P551" s="105">
        <f t="shared" si="84"/>
        <v>0</v>
      </c>
    </row>
    <row r="552" spans="2:16" x14ac:dyDescent="0.25">
      <c r="B552" s="88" t="s">
        <v>18</v>
      </c>
      <c r="C552" s="106">
        <f t="shared" si="77"/>
        <v>2020</v>
      </c>
      <c r="D552" s="101">
        <v>44111</v>
      </c>
      <c r="E552" s="102">
        <v>0.52083333333333337</v>
      </c>
      <c r="F552" s="103">
        <v>0.54166666666666663</v>
      </c>
      <c r="G552" s="103">
        <v>0.52083333333333337</v>
      </c>
      <c r="H552" s="103">
        <v>0.54166666666666663</v>
      </c>
      <c r="I552" s="90">
        <f t="shared" si="80"/>
        <v>0.49999999999999822</v>
      </c>
      <c r="J552" s="90">
        <f t="shared" si="81"/>
        <v>0.49999999999999822</v>
      </c>
      <c r="K552" s="91">
        <f t="shared" si="78"/>
        <v>0.72916666666666674</v>
      </c>
      <c r="L552" s="91">
        <f t="shared" si="79"/>
        <v>3.333333333333333</v>
      </c>
      <c r="M552" s="29">
        <f t="shared" si="82"/>
        <v>12</v>
      </c>
      <c r="N552" s="92">
        <f t="shared" si="83"/>
        <v>0.49999999999999822</v>
      </c>
      <c r="O552" s="104">
        <f t="shared" si="71"/>
        <v>1.016</v>
      </c>
      <c r="P552" s="105">
        <f t="shared" si="84"/>
        <v>4.2671999999999848</v>
      </c>
    </row>
    <row r="553" spans="2:16" x14ac:dyDescent="0.25">
      <c r="B553" s="88" t="s">
        <v>18</v>
      </c>
      <c r="C553" s="106">
        <f t="shared" si="77"/>
        <v>2020</v>
      </c>
      <c r="D553" s="101">
        <v>44112</v>
      </c>
      <c r="E553" s="102"/>
      <c r="F553" s="103"/>
      <c r="G553" s="103"/>
      <c r="H553" s="103"/>
      <c r="I553" s="90">
        <f t="shared" si="80"/>
        <v>0</v>
      </c>
      <c r="J553" s="90">
        <f t="shared" si="81"/>
        <v>0</v>
      </c>
      <c r="K553" s="91">
        <f t="shared" si="78"/>
        <v>0.72916666666666674</v>
      </c>
      <c r="L553" s="91">
        <f t="shared" si="79"/>
        <v>3.333333333333333</v>
      </c>
      <c r="M553" s="29">
        <f t="shared" si="82"/>
        <v>12</v>
      </c>
      <c r="N553" s="92">
        <f t="shared" si="83"/>
        <v>0</v>
      </c>
      <c r="O553" s="104">
        <f t="shared" si="71"/>
        <v>1.016</v>
      </c>
      <c r="P553" s="105">
        <f t="shared" si="84"/>
        <v>0</v>
      </c>
    </row>
    <row r="554" spans="2:16" x14ac:dyDescent="0.25">
      <c r="B554" s="88" t="s">
        <v>18</v>
      </c>
      <c r="C554" s="106">
        <f t="shared" si="77"/>
        <v>2020</v>
      </c>
      <c r="D554" s="101">
        <v>44113</v>
      </c>
      <c r="E554" s="102"/>
      <c r="F554" s="103"/>
      <c r="G554" s="103"/>
      <c r="H554" s="103"/>
      <c r="I554" s="90">
        <f t="shared" si="80"/>
        <v>0</v>
      </c>
      <c r="J554" s="90">
        <f t="shared" si="81"/>
        <v>0</v>
      </c>
      <c r="K554" s="91">
        <f t="shared" si="78"/>
        <v>0.72916666666666674</v>
      </c>
      <c r="L554" s="91">
        <f t="shared" si="79"/>
        <v>3.333333333333333</v>
      </c>
      <c r="M554" s="29">
        <f t="shared" si="82"/>
        <v>12</v>
      </c>
      <c r="N554" s="92">
        <f t="shared" si="83"/>
        <v>0</v>
      </c>
      <c r="O554" s="104">
        <f t="shared" si="71"/>
        <v>1.016</v>
      </c>
      <c r="P554" s="105">
        <f t="shared" si="84"/>
        <v>0</v>
      </c>
    </row>
    <row r="555" spans="2:16" x14ac:dyDescent="0.25">
      <c r="B555" s="88" t="s">
        <v>18</v>
      </c>
      <c r="C555" s="106">
        <f t="shared" si="77"/>
        <v>2020</v>
      </c>
      <c r="D555" s="101">
        <v>44114</v>
      </c>
      <c r="E555" s="102"/>
      <c r="F555" s="103"/>
      <c r="G555" s="103"/>
      <c r="H555" s="103"/>
      <c r="I555" s="90">
        <f t="shared" si="80"/>
        <v>0</v>
      </c>
      <c r="J555" s="90">
        <f t="shared" si="81"/>
        <v>0</v>
      </c>
      <c r="K555" s="91">
        <f t="shared" si="78"/>
        <v>0.72916666666666674</v>
      </c>
      <c r="L555" s="91">
        <f t="shared" si="79"/>
        <v>3.333333333333333</v>
      </c>
      <c r="M555" s="29">
        <f t="shared" si="82"/>
        <v>12</v>
      </c>
      <c r="N555" s="92">
        <f t="shared" si="83"/>
        <v>0</v>
      </c>
      <c r="O555" s="104">
        <f t="shared" si="71"/>
        <v>1.016</v>
      </c>
      <c r="P555" s="105">
        <f t="shared" si="84"/>
        <v>0</v>
      </c>
    </row>
    <row r="556" spans="2:16" x14ac:dyDescent="0.25">
      <c r="B556" s="88" t="s">
        <v>18</v>
      </c>
      <c r="C556" s="106">
        <f t="shared" si="77"/>
        <v>2020</v>
      </c>
      <c r="D556" s="101">
        <v>44115</v>
      </c>
      <c r="E556" s="102"/>
      <c r="F556" s="103"/>
      <c r="G556" s="103"/>
      <c r="H556" s="103"/>
      <c r="I556" s="90">
        <f t="shared" si="80"/>
        <v>0</v>
      </c>
      <c r="J556" s="90">
        <f t="shared" si="81"/>
        <v>0</v>
      </c>
      <c r="K556" s="91">
        <f t="shared" si="78"/>
        <v>0.72916666666666674</v>
      </c>
      <c r="L556" s="91">
        <f t="shared" si="79"/>
        <v>3.333333333333333</v>
      </c>
      <c r="M556" s="29">
        <f t="shared" si="82"/>
        <v>12</v>
      </c>
      <c r="N556" s="92">
        <f t="shared" si="83"/>
        <v>0</v>
      </c>
      <c r="O556" s="104">
        <f t="shared" si="71"/>
        <v>1.016</v>
      </c>
      <c r="P556" s="105">
        <f t="shared" si="84"/>
        <v>0</v>
      </c>
    </row>
    <row r="557" spans="2:16" x14ac:dyDescent="0.25">
      <c r="B557" s="88" t="s">
        <v>18</v>
      </c>
      <c r="C557" s="106">
        <f t="shared" si="77"/>
        <v>2020</v>
      </c>
      <c r="D557" s="101">
        <v>44116</v>
      </c>
      <c r="E557" s="102">
        <v>0.70833333333333337</v>
      </c>
      <c r="F557" s="103">
        <v>0.72916666666666663</v>
      </c>
      <c r="G557" s="103">
        <v>0.70833333333333337</v>
      </c>
      <c r="H557" s="103">
        <v>0.72916666666666663</v>
      </c>
      <c r="I557" s="90">
        <f t="shared" si="80"/>
        <v>0.49999999999999822</v>
      </c>
      <c r="J557" s="90">
        <f t="shared" si="81"/>
        <v>0.49999999999999822</v>
      </c>
      <c r="K557" s="91">
        <f t="shared" si="78"/>
        <v>0.72916666666666674</v>
      </c>
      <c r="L557" s="91">
        <f t="shared" si="79"/>
        <v>3.333333333333333</v>
      </c>
      <c r="M557" s="29">
        <f t="shared" si="82"/>
        <v>12</v>
      </c>
      <c r="N557" s="92">
        <f t="shared" si="83"/>
        <v>0.49999999999999822</v>
      </c>
      <c r="O557" s="104">
        <f t="shared" si="71"/>
        <v>1.016</v>
      </c>
      <c r="P557" s="105">
        <f t="shared" si="84"/>
        <v>4.2671999999999848</v>
      </c>
    </row>
    <row r="558" spans="2:16" x14ac:dyDescent="0.25">
      <c r="B558" s="88" t="s">
        <v>18</v>
      </c>
      <c r="C558" s="106">
        <f t="shared" si="77"/>
        <v>2020</v>
      </c>
      <c r="D558" s="101">
        <v>44117</v>
      </c>
      <c r="E558" s="102"/>
      <c r="F558" s="103"/>
      <c r="G558" s="103"/>
      <c r="H558" s="103"/>
      <c r="I558" s="90">
        <f t="shared" si="80"/>
        <v>0</v>
      </c>
      <c r="J558" s="90">
        <f t="shared" si="81"/>
        <v>0</v>
      </c>
      <c r="K558" s="91">
        <f t="shared" si="78"/>
        <v>0.72916666666666674</v>
      </c>
      <c r="L558" s="91">
        <f t="shared" si="79"/>
        <v>3.333333333333333</v>
      </c>
      <c r="M558" s="29">
        <f t="shared" si="82"/>
        <v>12</v>
      </c>
      <c r="N558" s="92">
        <f t="shared" si="83"/>
        <v>0</v>
      </c>
      <c r="O558" s="104">
        <f t="shared" si="71"/>
        <v>1.016</v>
      </c>
      <c r="P558" s="105">
        <f t="shared" si="84"/>
        <v>0</v>
      </c>
    </row>
    <row r="559" spans="2:16" x14ac:dyDescent="0.25">
      <c r="B559" s="88" t="s">
        <v>18</v>
      </c>
      <c r="C559" s="106">
        <f t="shared" si="77"/>
        <v>2020</v>
      </c>
      <c r="D559" s="101">
        <v>44118</v>
      </c>
      <c r="E559" s="102"/>
      <c r="F559" s="103"/>
      <c r="G559" s="103"/>
      <c r="H559" s="103"/>
      <c r="I559" s="90">
        <f t="shared" si="80"/>
        <v>0</v>
      </c>
      <c r="J559" s="90">
        <f t="shared" si="81"/>
        <v>0</v>
      </c>
      <c r="K559" s="91">
        <f t="shared" si="78"/>
        <v>0.72916666666666674</v>
      </c>
      <c r="L559" s="91">
        <f t="shared" si="79"/>
        <v>3.333333333333333</v>
      </c>
      <c r="M559" s="29">
        <f t="shared" si="82"/>
        <v>12</v>
      </c>
      <c r="N559" s="92">
        <f t="shared" si="83"/>
        <v>0</v>
      </c>
      <c r="O559" s="104">
        <f t="shared" si="71"/>
        <v>1.016</v>
      </c>
      <c r="P559" s="105">
        <f t="shared" si="84"/>
        <v>0</v>
      </c>
    </row>
    <row r="560" spans="2:16" x14ac:dyDescent="0.25">
      <c r="B560" s="88" t="s">
        <v>18</v>
      </c>
      <c r="C560" s="106">
        <f t="shared" si="77"/>
        <v>2020</v>
      </c>
      <c r="D560" s="101">
        <v>44119</v>
      </c>
      <c r="E560" s="102"/>
      <c r="F560" s="103"/>
      <c r="G560" s="103"/>
      <c r="H560" s="103"/>
      <c r="I560" s="90">
        <f t="shared" si="80"/>
        <v>0</v>
      </c>
      <c r="J560" s="90">
        <f t="shared" si="81"/>
        <v>0</v>
      </c>
      <c r="K560" s="91">
        <f t="shared" si="78"/>
        <v>0.72916666666666674</v>
      </c>
      <c r="L560" s="91">
        <f t="shared" si="79"/>
        <v>3.333333333333333</v>
      </c>
      <c r="M560" s="29">
        <f t="shared" si="82"/>
        <v>12</v>
      </c>
      <c r="N560" s="92">
        <f t="shared" si="83"/>
        <v>0</v>
      </c>
      <c r="O560" s="104">
        <f t="shared" si="71"/>
        <v>1.016</v>
      </c>
      <c r="P560" s="105">
        <f t="shared" si="84"/>
        <v>0</v>
      </c>
    </row>
    <row r="561" spans="2:16" x14ac:dyDescent="0.25">
      <c r="B561" s="88" t="s">
        <v>18</v>
      </c>
      <c r="C561" s="106">
        <f t="shared" si="77"/>
        <v>2020</v>
      </c>
      <c r="D561" s="101">
        <v>44120</v>
      </c>
      <c r="E561" s="102"/>
      <c r="F561" s="103"/>
      <c r="G561" s="103"/>
      <c r="H561" s="103"/>
      <c r="I561" s="90">
        <f t="shared" si="80"/>
        <v>0</v>
      </c>
      <c r="J561" s="90">
        <f t="shared" si="81"/>
        <v>0</v>
      </c>
      <c r="K561" s="91">
        <f t="shared" si="78"/>
        <v>0.72916666666666674</v>
      </c>
      <c r="L561" s="91">
        <f t="shared" si="79"/>
        <v>3.333333333333333</v>
      </c>
      <c r="M561" s="29">
        <f t="shared" si="82"/>
        <v>12</v>
      </c>
      <c r="N561" s="92">
        <f t="shared" si="83"/>
        <v>0</v>
      </c>
      <c r="O561" s="104">
        <f t="shared" si="71"/>
        <v>1.016</v>
      </c>
      <c r="P561" s="105">
        <f t="shared" si="84"/>
        <v>0</v>
      </c>
    </row>
    <row r="562" spans="2:16" x14ac:dyDescent="0.25">
      <c r="B562" s="88" t="s">
        <v>18</v>
      </c>
      <c r="C562" s="106">
        <f t="shared" si="77"/>
        <v>2020</v>
      </c>
      <c r="D562" s="101">
        <v>44121</v>
      </c>
      <c r="E562" s="102">
        <v>0.4375</v>
      </c>
      <c r="F562" s="103">
        <v>0.45833333333333331</v>
      </c>
      <c r="G562" s="103">
        <v>0.4375</v>
      </c>
      <c r="H562" s="103">
        <v>0.45833333333333331</v>
      </c>
      <c r="I562" s="90">
        <f t="shared" si="80"/>
        <v>0.49999999999999956</v>
      </c>
      <c r="J562" s="90">
        <f t="shared" si="81"/>
        <v>0.49999999999999956</v>
      </c>
      <c r="K562" s="91">
        <f t="shared" si="78"/>
        <v>0.72916666666666674</v>
      </c>
      <c r="L562" s="91">
        <f t="shared" si="79"/>
        <v>3.333333333333333</v>
      </c>
      <c r="M562" s="29">
        <f t="shared" si="82"/>
        <v>12</v>
      </c>
      <c r="N562" s="92">
        <f t="shared" si="83"/>
        <v>0.49999999999999956</v>
      </c>
      <c r="O562" s="104">
        <f t="shared" si="71"/>
        <v>1.016</v>
      </c>
      <c r="P562" s="105">
        <f t="shared" si="84"/>
        <v>4.2671999999999963</v>
      </c>
    </row>
    <row r="563" spans="2:16" x14ac:dyDescent="0.25">
      <c r="B563" s="88" t="s">
        <v>18</v>
      </c>
      <c r="C563" s="106">
        <f t="shared" si="77"/>
        <v>2020</v>
      </c>
      <c r="D563" s="101">
        <v>44122</v>
      </c>
      <c r="E563" s="102"/>
      <c r="F563" s="103"/>
      <c r="G563" s="103"/>
      <c r="H563" s="103"/>
      <c r="I563" s="90">
        <f t="shared" si="80"/>
        <v>0</v>
      </c>
      <c r="J563" s="90">
        <f t="shared" si="81"/>
        <v>0</v>
      </c>
      <c r="K563" s="91">
        <f t="shared" si="78"/>
        <v>0.72916666666666674</v>
      </c>
      <c r="L563" s="91">
        <f t="shared" si="79"/>
        <v>3.333333333333333</v>
      </c>
      <c r="M563" s="29">
        <f t="shared" si="82"/>
        <v>12</v>
      </c>
      <c r="N563" s="92">
        <f t="shared" si="83"/>
        <v>0</v>
      </c>
      <c r="O563" s="104">
        <f t="shared" si="71"/>
        <v>1.016</v>
      </c>
      <c r="P563" s="105">
        <f t="shared" si="84"/>
        <v>0</v>
      </c>
    </row>
    <row r="564" spans="2:16" x14ac:dyDescent="0.25">
      <c r="B564" s="88" t="s">
        <v>18</v>
      </c>
      <c r="C564" s="106">
        <f t="shared" si="77"/>
        <v>2020</v>
      </c>
      <c r="D564" s="101">
        <v>44123</v>
      </c>
      <c r="E564" s="102"/>
      <c r="F564" s="103"/>
      <c r="G564" s="103"/>
      <c r="H564" s="103"/>
      <c r="I564" s="90">
        <f t="shared" si="80"/>
        <v>0</v>
      </c>
      <c r="J564" s="90">
        <f t="shared" si="81"/>
        <v>0</v>
      </c>
      <c r="K564" s="91">
        <f t="shared" si="78"/>
        <v>0.72916666666666674</v>
      </c>
      <c r="L564" s="91">
        <f t="shared" si="79"/>
        <v>3.333333333333333</v>
      </c>
      <c r="M564" s="29">
        <f t="shared" si="82"/>
        <v>12</v>
      </c>
      <c r="N564" s="92">
        <f t="shared" si="83"/>
        <v>0</v>
      </c>
      <c r="O564" s="104">
        <f t="shared" si="71"/>
        <v>1.016</v>
      </c>
      <c r="P564" s="105">
        <f t="shared" si="84"/>
        <v>0</v>
      </c>
    </row>
    <row r="565" spans="2:16" x14ac:dyDescent="0.25">
      <c r="B565" s="88" t="s">
        <v>18</v>
      </c>
      <c r="C565" s="106">
        <f t="shared" si="77"/>
        <v>2020</v>
      </c>
      <c r="D565" s="101">
        <v>44124</v>
      </c>
      <c r="E565" s="102"/>
      <c r="F565" s="103"/>
      <c r="G565" s="103"/>
      <c r="H565" s="103"/>
      <c r="I565" s="90">
        <f t="shared" si="80"/>
        <v>0</v>
      </c>
      <c r="J565" s="90">
        <f t="shared" si="81"/>
        <v>0</v>
      </c>
      <c r="K565" s="91">
        <f t="shared" si="78"/>
        <v>0.72916666666666674</v>
      </c>
      <c r="L565" s="91">
        <f t="shared" si="79"/>
        <v>3.333333333333333</v>
      </c>
      <c r="M565" s="29">
        <f t="shared" si="82"/>
        <v>12</v>
      </c>
      <c r="N565" s="92">
        <f t="shared" si="83"/>
        <v>0</v>
      </c>
      <c r="O565" s="104">
        <f t="shared" si="71"/>
        <v>1.016</v>
      </c>
      <c r="P565" s="105">
        <f t="shared" si="84"/>
        <v>0</v>
      </c>
    </row>
    <row r="566" spans="2:16" x14ac:dyDescent="0.25">
      <c r="B566" s="88" t="s">
        <v>18</v>
      </c>
      <c r="C566" s="106">
        <f t="shared" ref="C566:C629" si="85">YEAR(D566)</f>
        <v>2020</v>
      </c>
      <c r="D566" s="101">
        <v>44125</v>
      </c>
      <c r="E566" s="102"/>
      <c r="F566" s="103"/>
      <c r="G566" s="103"/>
      <c r="H566" s="103"/>
      <c r="I566" s="90">
        <f t="shared" si="80"/>
        <v>0</v>
      </c>
      <c r="J566" s="90">
        <f t="shared" si="81"/>
        <v>0</v>
      </c>
      <c r="K566" s="91">
        <f t="shared" si="78"/>
        <v>0.72916666666666674</v>
      </c>
      <c r="L566" s="91">
        <f t="shared" si="79"/>
        <v>3.333333333333333</v>
      </c>
      <c r="M566" s="29">
        <f t="shared" si="82"/>
        <v>12</v>
      </c>
      <c r="N566" s="92">
        <f t="shared" si="83"/>
        <v>0</v>
      </c>
      <c r="O566" s="104">
        <f t="shared" si="71"/>
        <v>1.016</v>
      </c>
      <c r="P566" s="105">
        <f t="shared" si="84"/>
        <v>0</v>
      </c>
    </row>
    <row r="567" spans="2:16" x14ac:dyDescent="0.25">
      <c r="B567" s="88" t="s">
        <v>18</v>
      </c>
      <c r="C567" s="106">
        <f t="shared" si="85"/>
        <v>2020</v>
      </c>
      <c r="D567" s="101">
        <v>44126</v>
      </c>
      <c r="E567" s="102">
        <v>0.54166666666666663</v>
      </c>
      <c r="F567" s="103">
        <v>0.5625</v>
      </c>
      <c r="G567" s="103">
        <v>0.54166666666666663</v>
      </c>
      <c r="H567" s="103">
        <v>0.5625</v>
      </c>
      <c r="I567" s="90">
        <f t="shared" si="80"/>
        <v>0.50000000000000089</v>
      </c>
      <c r="J567" s="90">
        <f t="shared" si="81"/>
        <v>0.50000000000000089</v>
      </c>
      <c r="K567" s="91">
        <f t="shared" si="78"/>
        <v>0.72916666666666674</v>
      </c>
      <c r="L567" s="91">
        <f t="shared" si="79"/>
        <v>3.333333333333333</v>
      </c>
      <c r="M567" s="29">
        <f t="shared" si="82"/>
        <v>12</v>
      </c>
      <c r="N567" s="92">
        <f t="shared" si="83"/>
        <v>0.50000000000000089</v>
      </c>
      <c r="O567" s="104">
        <f t="shared" si="71"/>
        <v>1.016</v>
      </c>
      <c r="P567" s="105">
        <f t="shared" si="84"/>
        <v>4.267200000000007</v>
      </c>
    </row>
    <row r="568" spans="2:16" x14ac:dyDescent="0.25">
      <c r="B568" s="88" t="s">
        <v>18</v>
      </c>
      <c r="C568" s="106">
        <f t="shared" si="85"/>
        <v>2020</v>
      </c>
      <c r="D568" s="101">
        <v>44127</v>
      </c>
      <c r="E568" s="102"/>
      <c r="F568" s="103"/>
      <c r="G568" s="103"/>
      <c r="H568" s="103"/>
      <c r="I568" s="90">
        <f t="shared" si="80"/>
        <v>0</v>
      </c>
      <c r="J568" s="90">
        <f t="shared" si="81"/>
        <v>0</v>
      </c>
      <c r="K568" s="91">
        <f t="shared" si="78"/>
        <v>0.72916666666666674</v>
      </c>
      <c r="L568" s="91">
        <f t="shared" si="79"/>
        <v>3.333333333333333</v>
      </c>
      <c r="M568" s="29">
        <f t="shared" si="82"/>
        <v>12</v>
      </c>
      <c r="N568" s="92">
        <f t="shared" si="83"/>
        <v>0</v>
      </c>
      <c r="O568" s="104">
        <f t="shared" si="71"/>
        <v>1.016</v>
      </c>
      <c r="P568" s="105">
        <f t="shared" si="84"/>
        <v>0</v>
      </c>
    </row>
    <row r="569" spans="2:16" x14ac:dyDescent="0.25">
      <c r="B569" s="88" t="s">
        <v>18</v>
      </c>
      <c r="C569" s="106">
        <f t="shared" si="85"/>
        <v>2020</v>
      </c>
      <c r="D569" s="101">
        <v>44128</v>
      </c>
      <c r="E569" s="102"/>
      <c r="F569" s="103"/>
      <c r="G569" s="103"/>
      <c r="H569" s="103"/>
      <c r="I569" s="90">
        <f t="shared" si="80"/>
        <v>0</v>
      </c>
      <c r="J569" s="90">
        <f t="shared" si="81"/>
        <v>0</v>
      </c>
      <c r="K569" s="91">
        <f t="shared" si="78"/>
        <v>0.72916666666666674</v>
      </c>
      <c r="L569" s="91">
        <f t="shared" si="79"/>
        <v>3.333333333333333</v>
      </c>
      <c r="M569" s="29">
        <f t="shared" si="82"/>
        <v>12</v>
      </c>
      <c r="N569" s="92">
        <f t="shared" si="83"/>
        <v>0</v>
      </c>
      <c r="O569" s="104">
        <f t="shared" si="71"/>
        <v>1.016</v>
      </c>
      <c r="P569" s="105">
        <f t="shared" si="84"/>
        <v>0</v>
      </c>
    </row>
    <row r="570" spans="2:16" x14ac:dyDescent="0.25">
      <c r="B570" s="88" t="s">
        <v>18</v>
      </c>
      <c r="C570" s="106">
        <f t="shared" si="85"/>
        <v>2020</v>
      </c>
      <c r="D570" s="101">
        <v>44129</v>
      </c>
      <c r="E570" s="102"/>
      <c r="F570" s="103"/>
      <c r="G570" s="103"/>
      <c r="H570" s="103"/>
      <c r="I570" s="90">
        <f t="shared" si="80"/>
        <v>0</v>
      </c>
      <c r="J570" s="90">
        <f t="shared" si="81"/>
        <v>0</v>
      </c>
      <c r="K570" s="91">
        <f t="shared" si="78"/>
        <v>0.72916666666666674</v>
      </c>
      <c r="L570" s="91">
        <f t="shared" si="79"/>
        <v>3.333333333333333</v>
      </c>
      <c r="M570" s="29">
        <f t="shared" si="82"/>
        <v>12</v>
      </c>
      <c r="N570" s="92">
        <f t="shared" si="83"/>
        <v>0</v>
      </c>
      <c r="O570" s="104">
        <f t="shared" si="71"/>
        <v>1.016</v>
      </c>
      <c r="P570" s="105">
        <f t="shared" si="84"/>
        <v>0</v>
      </c>
    </row>
    <row r="571" spans="2:16" x14ac:dyDescent="0.25">
      <c r="B571" s="88" t="s">
        <v>18</v>
      </c>
      <c r="C571" s="106">
        <f t="shared" si="85"/>
        <v>2020</v>
      </c>
      <c r="D571" s="101">
        <v>44130</v>
      </c>
      <c r="E571" s="102"/>
      <c r="F571" s="103"/>
      <c r="G571" s="103"/>
      <c r="H571" s="103"/>
      <c r="I571" s="90">
        <f t="shared" si="80"/>
        <v>0</v>
      </c>
      <c r="J571" s="90">
        <f t="shared" si="81"/>
        <v>0</v>
      </c>
      <c r="K571" s="91">
        <f t="shared" si="78"/>
        <v>0.72916666666666674</v>
      </c>
      <c r="L571" s="91">
        <f t="shared" si="79"/>
        <v>3.333333333333333</v>
      </c>
      <c r="M571" s="29">
        <f t="shared" si="82"/>
        <v>12</v>
      </c>
      <c r="N571" s="92">
        <f t="shared" si="83"/>
        <v>0</v>
      </c>
      <c r="O571" s="104">
        <f t="shared" si="71"/>
        <v>1.016</v>
      </c>
      <c r="P571" s="105">
        <f t="shared" si="84"/>
        <v>0</v>
      </c>
    </row>
    <row r="572" spans="2:16" x14ac:dyDescent="0.25">
      <c r="B572" s="88" t="s">
        <v>18</v>
      </c>
      <c r="C572" s="106">
        <f t="shared" si="85"/>
        <v>2020</v>
      </c>
      <c r="D572" s="101">
        <v>44131</v>
      </c>
      <c r="E572" s="102">
        <v>0.52083333333333337</v>
      </c>
      <c r="F572" s="103">
        <v>0.54166666666666663</v>
      </c>
      <c r="G572" s="103">
        <v>0.52083333333333337</v>
      </c>
      <c r="H572" s="103">
        <v>0.54166666666666663</v>
      </c>
      <c r="I572" s="90">
        <f t="shared" si="80"/>
        <v>0.49999999999999822</v>
      </c>
      <c r="J572" s="90">
        <f t="shared" si="81"/>
        <v>0.49999999999999822</v>
      </c>
      <c r="K572" s="91">
        <f t="shared" si="78"/>
        <v>0.72916666666666674</v>
      </c>
      <c r="L572" s="91">
        <f t="shared" si="79"/>
        <v>3.333333333333333</v>
      </c>
      <c r="M572" s="29">
        <f t="shared" si="82"/>
        <v>12</v>
      </c>
      <c r="N572" s="92">
        <f t="shared" si="83"/>
        <v>0.49999999999999822</v>
      </c>
      <c r="O572" s="104">
        <f t="shared" si="71"/>
        <v>1.016</v>
      </c>
      <c r="P572" s="105">
        <f t="shared" si="84"/>
        <v>4.2671999999999848</v>
      </c>
    </row>
    <row r="573" spans="2:16" x14ac:dyDescent="0.25">
      <c r="B573" s="88" t="s">
        <v>18</v>
      </c>
      <c r="C573" s="106">
        <f t="shared" si="85"/>
        <v>2020</v>
      </c>
      <c r="D573" s="101">
        <v>44132</v>
      </c>
      <c r="E573" s="102"/>
      <c r="F573" s="103"/>
      <c r="G573" s="103"/>
      <c r="H573" s="103"/>
      <c r="I573" s="90">
        <f t="shared" si="80"/>
        <v>0</v>
      </c>
      <c r="J573" s="90">
        <f t="shared" si="81"/>
        <v>0</v>
      </c>
      <c r="K573" s="91">
        <f t="shared" si="78"/>
        <v>0.72916666666666674</v>
      </c>
      <c r="L573" s="91">
        <f t="shared" si="79"/>
        <v>3.333333333333333</v>
      </c>
      <c r="M573" s="29">
        <f t="shared" si="82"/>
        <v>12</v>
      </c>
      <c r="N573" s="92">
        <f t="shared" si="83"/>
        <v>0</v>
      </c>
      <c r="O573" s="104">
        <f t="shared" si="71"/>
        <v>1.016</v>
      </c>
      <c r="P573" s="105">
        <f t="shared" si="84"/>
        <v>0</v>
      </c>
    </row>
    <row r="574" spans="2:16" x14ac:dyDescent="0.25">
      <c r="B574" s="88" t="s">
        <v>18</v>
      </c>
      <c r="C574" s="106">
        <f t="shared" si="85"/>
        <v>2020</v>
      </c>
      <c r="D574" s="101">
        <v>44133</v>
      </c>
      <c r="E574" s="102"/>
      <c r="F574" s="103"/>
      <c r="G574" s="103"/>
      <c r="H574" s="103"/>
      <c r="I574" s="90">
        <f t="shared" si="80"/>
        <v>0</v>
      </c>
      <c r="J574" s="90">
        <f t="shared" si="81"/>
        <v>0</v>
      </c>
      <c r="K574" s="91">
        <f t="shared" si="78"/>
        <v>0.72916666666666674</v>
      </c>
      <c r="L574" s="91">
        <f t="shared" si="79"/>
        <v>3.333333333333333</v>
      </c>
      <c r="M574" s="29">
        <f t="shared" si="82"/>
        <v>12</v>
      </c>
      <c r="N574" s="92">
        <f t="shared" si="83"/>
        <v>0</v>
      </c>
      <c r="O574" s="104">
        <f t="shared" si="71"/>
        <v>1.016</v>
      </c>
      <c r="P574" s="105">
        <f t="shared" si="84"/>
        <v>0</v>
      </c>
    </row>
    <row r="575" spans="2:16" x14ac:dyDescent="0.25">
      <c r="B575" s="88" t="s">
        <v>18</v>
      </c>
      <c r="C575" s="106">
        <f t="shared" si="85"/>
        <v>2020</v>
      </c>
      <c r="D575" s="101">
        <v>44134</v>
      </c>
      <c r="E575" s="102"/>
      <c r="F575" s="103"/>
      <c r="G575" s="103"/>
      <c r="H575" s="103"/>
      <c r="I575" s="90">
        <f t="shared" si="80"/>
        <v>0</v>
      </c>
      <c r="J575" s="90">
        <f t="shared" si="81"/>
        <v>0</v>
      </c>
      <c r="K575" s="91">
        <f t="shared" si="78"/>
        <v>0.72916666666666674</v>
      </c>
      <c r="L575" s="91">
        <f t="shared" si="79"/>
        <v>3.333333333333333</v>
      </c>
      <c r="M575" s="29">
        <f t="shared" si="82"/>
        <v>12</v>
      </c>
      <c r="N575" s="92">
        <f t="shared" si="83"/>
        <v>0</v>
      </c>
      <c r="O575" s="104">
        <f t="shared" si="71"/>
        <v>1.016</v>
      </c>
      <c r="P575" s="105">
        <f t="shared" si="84"/>
        <v>0</v>
      </c>
    </row>
    <row r="576" spans="2:16" x14ac:dyDescent="0.25">
      <c r="B576" s="88" t="s">
        <v>18</v>
      </c>
      <c r="C576" s="106">
        <f t="shared" si="85"/>
        <v>2020</v>
      </c>
      <c r="D576" s="101">
        <v>44135</v>
      </c>
      <c r="E576" s="102"/>
      <c r="F576" s="103"/>
      <c r="G576" s="103"/>
      <c r="H576" s="103"/>
      <c r="I576" s="90">
        <f t="shared" si="80"/>
        <v>0</v>
      </c>
      <c r="J576" s="90">
        <f t="shared" si="81"/>
        <v>0</v>
      </c>
      <c r="K576" s="91">
        <f t="shared" si="78"/>
        <v>0.72916666666666674</v>
      </c>
      <c r="L576" s="91">
        <f t="shared" si="79"/>
        <v>3.333333333333333</v>
      </c>
      <c r="M576" s="29">
        <f t="shared" si="82"/>
        <v>12</v>
      </c>
      <c r="N576" s="92">
        <f t="shared" si="83"/>
        <v>0</v>
      </c>
      <c r="O576" s="104">
        <f t="shared" si="71"/>
        <v>1.016</v>
      </c>
      <c r="P576" s="105">
        <f t="shared" si="84"/>
        <v>0</v>
      </c>
    </row>
    <row r="577" spans="2:16" x14ac:dyDescent="0.25">
      <c r="B577" s="88" t="s">
        <v>18</v>
      </c>
      <c r="C577" s="106">
        <f t="shared" si="85"/>
        <v>2020</v>
      </c>
      <c r="D577" s="101">
        <v>44136</v>
      </c>
      <c r="E577" s="102">
        <v>0.70833333333333337</v>
      </c>
      <c r="F577" s="103">
        <v>0.72916666666666663</v>
      </c>
      <c r="G577" s="103">
        <v>0.70833333333333337</v>
      </c>
      <c r="H577" s="103">
        <v>0.72916666666666663</v>
      </c>
      <c r="I577" s="90">
        <f t="shared" si="80"/>
        <v>0.49999999999999822</v>
      </c>
      <c r="J577" s="90">
        <f t="shared" si="81"/>
        <v>0.49999999999999822</v>
      </c>
      <c r="K577" s="91">
        <f t="shared" si="78"/>
        <v>0.72916666666666674</v>
      </c>
      <c r="L577" s="91">
        <f t="shared" si="79"/>
        <v>3.333333333333333</v>
      </c>
      <c r="M577" s="29">
        <f t="shared" si="82"/>
        <v>12</v>
      </c>
      <c r="N577" s="92">
        <f t="shared" si="83"/>
        <v>0.49999999999999822</v>
      </c>
      <c r="O577" s="104">
        <f t="shared" si="71"/>
        <v>1.016</v>
      </c>
      <c r="P577" s="105">
        <f t="shared" si="84"/>
        <v>4.2671999999999848</v>
      </c>
    </row>
    <row r="578" spans="2:16" x14ac:dyDescent="0.25">
      <c r="B578" s="88" t="s">
        <v>18</v>
      </c>
      <c r="C578" s="106">
        <f t="shared" si="85"/>
        <v>2020</v>
      </c>
      <c r="D578" s="101">
        <v>44137</v>
      </c>
      <c r="E578" s="102"/>
      <c r="F578" s="103"/>
      <c r="G578" s="103"/>
      <c r="H578" s="103"/>
      <c r="I578" s="90">
        <f t="shared" si="80"/>
        <v>0</v>
      </c>
      <c r="J578" s="90">
        <f t="shared" si="81"/>
        <v>0</v>
      </c>
      <c r="K578" s="91">
        <f t="shared" si="78"/>
        <v>0.72916666666666674</v>
      </c>
      <c r="L578" s="91">
        <f t="shared" si="79"/>
        <v>3.333333333333333</v>
      </c>
      <c r="M578" s="29">
        <f t="shared" si="82"/>
        <v>12</v>
      </c>
      <c r="N578" s="92">
        <f t="shared" si="83"/>
        <v>0</v>
      </c>
      <c r="O578" s="104">
        <f t="shared" si="71"/>
        <v>1.016</v>
      </c>
      <c r="P578" s="105">
        <f t="shared" si="84"/>
        <v>0</v>
      </c>
    </row>
    <row r="579" spans="2:16" x14ac:dyDescent="0.25">
      <c r="B579" s="88" t="s">
        <v>18</v>
      </c>
      <c r="C579" s="106">
        <f t="shared" si="85"/>
        <v>2020</v>
      </c>
      <c r="D579" s="101">
        <v>44138</v>
      </c>
      <c r="E579" s="102"/>
      <c r="F579" s="103"/>
      <c r="G579" s="103"/>
      <c r="H579" s="103"/>
      <c r="I579" s="90">
        <f t="shared" si="80"/>
        <v>0</v>
      </c>
      <c r="J579" s="90">
        <f t="shared" si="81"/>
        <v>0</v>
      </c>
      <c r="K579" s="91">
        <f t="shared" si="78"/>
        <v>0.72916666666666674</v>
      </c>
      <c r="L579" s="91">
        <f t="shared" si="79"/>
        <v>3.333333333333333</v>
      </c>
      <c r="M579" s="29">
        <f t="shared" si="82"/>
        <v>12</v>
      </c>
      <c r="N579" s="92">
        <f t="shared" si="83"/>
        <v>0</v>
      </c>
      <c r="O579" s="104">
        <f t="shared" si="71"/>
        <v>1.016</v>
      </c>
      <c r="P579" s="105">
        <f t="shared" si="84"/>
        <v>0</v>
      </c>
    </row>
    <row r="580" spans="2:16" x14ac:dyDescent="0.25">
      <c r="B580" s="88" t="s">
        <v>18</v>
      </c>
      <c r="C580" s="106">
        <f t="shared" si="85"/>
        <v>2020</v>
      </c>
      <c r="D580" s="101">
        <v>44139</v>
      </c>
      <c r="E580" s="102"/>
      <c r="F580" s="103"/>
      <c r="G580" s="103"/>
      <c r="H580" s="103"/>
      <c r="I580" s="90">
        <f t="shared" si="80"/>
        <v>0</v>
      </c>
      <c r="J580" s="90">
        <f t="shared" si="81"/>
        <v>0</v>
      </c>
      <c r="K580" s="91">
        <f t="shared" si="78"/>
        <v>0.72916666666666674</v>
      </c>
      <c r="L580" s="91">
        <f t="shared" si="79"/>
        <v>3.333333333333333</v>
      </c>
      <c r="M580" s="29">
        <f t="shared" si="82"/>
        <v>12</v>
      </c>
      <c r="N580" s="92">
        <f t="shared" si="83"/>
        <v>0</v>
      </c>
      <c r="O580" s="104">
        <f t="shared" si="71"/>
        <v>1.016</v>
      </c>
      <c r="P580" s="105">
        <f t="shared" si="84"/>
        <v>0</v>
      </c>
    </row>
    <row r="581" spans="2:16" x14ac:dyDescent="0.25">
      <c r="B581" s="88" t="s">
        <v>18</v>
      </c>
      <c r="C581" s="106">
        <f t="shared" si="85"/>
        <v>2020</v>
      </c>
      <c r="D581" s="101">
        <v>44140</v>
      </c>
      <c r="E581" s="102"/>
      <c r="F581" s="103"/>
      <c r="G581" s="103"/>
      <c r="H581" s="103"/>
      <c r="I581" s="90">
        <f t="shared" si="80"/>
        <v>0</v>
      </c>
      <c r="J581" s="90">
        <f t="shared" si="81"/>
        <v>0</v>
      </c>
      <c r="K581" s="91">
        <f t="shared" si="78"/>
        <v>0.72916666666666674</v>
      </c>
      <c r="L581" s="91">
        <f t="shared" si="79"/>
        <v>3.333333333333333</v>
      </c>
      <c r="M581" s="29">
        <f t="shared" si="82"/>
        <v>12</v>
      </c>
      <c r="N581" s="92">
        <f t="shared" si="83"/>
        <v>0</v>
      </c>
      <c r="O581" s="104">
        <f t="shared" si="71"/>
        <v>1.016</v>
      </c>
      <c r="P581" s="105">
        <f t="shared" si="84"/>
        <v>0</v>
      </c>
    </row>
    <row r="582" spans="2:16" x14ac:dyDescent="0.25">
      <c r="B582" s="88" t="s">
        <v>18</v>
      </c>
      <c r="C582" s="106">
        <f t="shared" si="85"/>
        <v>2020</v>
      </c>
      <c r="D582" s="101">
        <v>44141</v>
      </c>
      <c r="E582" s="102">
        <v>0.4375</v>
      </c>
      <c r="F582" s="103">
        <v>0.45833333333333331</v>
      </c>
      <c r="G582" s="103">
        <v>0.4375</v>
      </c>
      <c r="H582" s="103">
        <v>0.45833333333333331</v>
      </c>
      <c r="I582" s="90">
        <f t="shared" si="80"/>
        <v>0.49999999999999956</v>
      </c>
      <c r="J582" s="90">
        <f t="shared" si="81"/>
        <v>0.49999999999999956</v>
      </c>
      <c r="K582" s="91">
        <f t="shared" si="78"/>
        <v>0.72916666666666674</v>
      </c>
      <c r="L582" s="91">
        <f t="shared" si="79"/>
        <v>3.333333333333333</v>
      </c>
      <c r="M582" s="29">
        <f t="shared" si="82"/>
        <v>12</v>
      </c>
      <c r="N582" s="92">
        <f t="shared" si="83"/>
        <v>0.49999999999999956</v>
      </c>
      <c r="O582" s="104">
        <f t="shared" si="71"/>
        <v>1.016</v>
      </c>
      <c r="P582" s="105">
        <f t="shared" si="84"/>
        <v>4.2671999999999963</v>
      </c>
    </row>
    <row r="583" spans="2:16" x14ac:dyDescent="0.25">
      <c r="B583" s="88" t="s">
        <v>18</v>
      </c>
      <c r="C583" s="106">
        <f t="shared" si="85"/>
        <v>2020</v>
      </c>
      <c r="D583" s="101">
        <v>44142</v>
      </c>
      <c r="E583" s="102"/>
      <c r="F583" s="103"/>
      <c r="G583" s="103"/>
      <c r="H583" s="103"/>
      <c r="I583" s="90">
        <f t="shared" si="80"/>
        <v>0</v>
      </c>
      <c r="J583" s="90">
        <f t="shared" si="81"/>
        <v>0</v>
      </c>
      <c r="K583" s="91">
        <f t="shared" si="78"/>
        <v>0.72916666666666674</v>
      </c>
      <c r="L583" s="91">
        <f t="shared" si="79"/>
        <v>3.333333333333333</v>
      </c>
      <c r="M583" s="29">
        <f t="shared" si="82"/>
        <v>12</v>
      </c>
      <c r="N583" s="92">
        <f t="shared" si="83"/>
        <v>0</v>
      </c>
      <c r="O583" s="104">
        <f t="shared" si="71"/>
        <v>1.016</v>
      </c>
      <c r="P583" s="105">
        <f t="shared" si="84"/>
        <v>0</v>
      </c>
    </row>
    <row r="584" spans="2:16" x14ac:dyDescent="0.25">
      <c r="B584" s="88" t="s">
        <v>18</v>
      </c>
      <c r="C584" s="106">
        <f t="shared" si="85"/>
        <v>2020</v>
      </c>
      <c r="D584" s="101">
        <v>44143</v>
      </c>
      <c r="E584" s="102"/>
      <c r="F584" s="103"/>
      <c r="G584" s="103"/>
      <c r="H584" s="103"/>
      <c r="I584" s="90">
        <f t="shared" si="80"/>
        <v>0</v>
      </c>
      <c r="J584" s="90">
        <f t="shared" si="81"/>
        <v>0</v>
      </c>
      <c r="K584" s="91">
        <f t="shared" si="78"/>
        <v>0.72916666666666674</v>
      </c>
      <c r="L584" s="91">
        <f t="shared" si="79"/>
        <v>3.333333333333333</v>
      </c>
      <c r="M584" s="29">
        <f t="shared" si="82"/>
        <v>12</v>
      </c>
      <c r="N584" s="92">
        <f t="shared" si="83"/>
        <v>0</v>
      </c>
      <c r="O584" s="104">
        <f t="shared" si="71"/>
        <v>1.016</v>
      </c>
      <c r="P584" s="105">
        <f t="shared" si="84"/>
        <v>0</v>
      </c>
    </row>
    <row r="585" spans="2:16" x14ac:dyDescent="0.25">
      <c r="B585" s="88" t="s">
        <v>18</v>
      </c>
      <c r="C585" s="106">
        <f t="shared" si="85"/>
        <v>2020</v>
      </c>
      <c r="D585" s="101">
        <v>44144</v>
      </c>
      <c r="E585" s="102">
        <v>0.6875</v>
      </c>
      <c r="F585" s="103">
        <v>0.70833333333333337</v>
      </c>
      <c r="G585" s="103">
        <v>0.6875</v>
      </c>
      <c r="H585" s="103">
        <v>0.70833333333333337</v>
      </c>
      <c r="I585" s="90">
        <f t="shared" si="80"/>
        <v>0.50000000000000089</v>
      </c>
      <c r="J585" s="90">
        <f t="shared" si="81"/>
        <v>0.50000000000000089</v>
      </c>
      <c r="K585" s="91">
        <f t="shared" si="78"/>
        <v>0.72916666666666674</v>
      </c>
      <c r="L585" s="91">
        <f t="shared" si="79"/>
        <v>3.333333333333333</v>
      </c>
      <c r="M585" s="29">
        <f t="shared" si="82"/>
        <v>12</v>
      </c>
      <c r="N585" s="92">
        <f t="shared" si="83"/>
        <v>0.50000000000000089</v>
      </c>
      <c r="O585" s="104">
        <f t="shared" si="71"/>
        <v>1.016</v>
      </c>
      <c r="P585" s="105">
        <f t="shared" si="84"/>
        <v>4.267200000000007</v>
      </c>
    </row>
    <row r="586" spans="2:16" x14ac:dyDescent="0.25">
      <c r="B586" s="88" t="s">
        <v>18</v>
      </c>
      <c r="C586" s="106">
        <f t="shared" si="85"/>
        <v>2020</v>
      </c>
      <c r="D586" s="101">
        <v>44145</v>
      </c>
      <c r="E586" s="102"/>
      <c r="F586" s="103"/>
      <c r="G586" s="103"/>
      <c r="H586" s="103"/>
      <c r="I586" s="90">
        <f t="shared" si="80"/>
        <v>0</v>
      </c>
      <c r="J586" s="90">
        <f t="shared" si="81"/>
        <v>0</v>
      </c>
      <c r="K586" s="91">
        <f t="shared" si="78"/>
        <v>0.72916666666666674</v>
      </c>
      <c r="L586" s="91">
        <f t="shared" si="79"/>
        <v>3.333333333333333</v>
      </c>
      <c r="M586" s="29">
        <f t="shared" si="82"/>
        <v>12</v>
      </c>
      <c r="N586" s="92">
        <f t="shared" si="83"/>
        <v>0</v>
      </c>
      <c r="O586" s="104">
        <f t="shared" si="71"/>
        <v>1.016</v>
      </c>
      <c r="P586" s="105">
        <f t="shared" si="84"/>
        <v>0</v>
      </c>
    </row>
    <row r="587" spans="2:16" x14ac:dyDescent="0.25">
      <c r="B587" s="88" t="s">
        <v>18</v>
      </c>
      <c r="C587" s="106">
        <f t="shared" si="85"/>
        <v>2020</v>
      </c>
      <c r="D587" s="101">
        <v>44146</v>
      </c>
      <c r="E587" s="102"/>
      <c r="F587" s="103"/>
      <c r="G587" s="103"/>
      <c r="H587" s="103"/>
      <c r="I587" s="90">
        <f t="shared" si="80"/>
        <v>0</v>
      </c>
      <c r="J587" s="90">
        <f t="shared" si="81"/>
        <v>0</v>
      </c>
      <c r="K587" s="91">
        <f t="shared" si="78"/>
        <v>0.72916666666666674</v>
      </c>
      <c r="L587" s="91">
        <f t="shared" si="79"/>
        <v>3.333333333333333</v>
      </c>
      <c r="M587" s="29">
        <f t="shared" si="82"/>
        <v>12</v>
      </c>
      <c r="N587" s="92">
        <f t="shared" si="83"/>
        <v>0</v>
      </c>
      <c r="O587" s="104">
        <f t="shared" si="71"/>
        <v>1.016</v>
      </c>
      <c r="P587" s="105">
        <f t="shared" si="84"/>
        <v>0</v>
      </c>
    </row>
    <row r="588" spans="2:16" x14ac:dyDescent="0.25">
      <c r="B588" s="88" t="s">
        <v>18</v>
      </c>
      <c r="C588" s="106">
        <f t="shared" si="85"/>
        <v>2020</v>
      </c>
      <c r="D588" s="101">
        <v>44147</v>
      </c>
      <c r="E588" s="102"/>
      <c r="F588" s="103"/>
      <c r="G588" s="103"/>
      <c r="H588" s="103"/>
      <c r="I588" s="90">
        <f t="shared" si="80"/>
        <v>0</v>
      </c>
      <c r="J588" s="90">
        <f t="shared" si="81"/>
        <v>0</v>
      </c>
      <c r="K588" s="91">
        <f t="shared" si="78"/>
        <v>0.72916666666666674</v>
      </c>
      <c r="L588" s="91">
        <f t="shared" si="79"/>
        <v>3.333333333333333</v>
      </c>
      <c r="M588" s="29">
        <f t="shared" si="82"/>
        <v>12</v>
      </c>
      <c r="N588" s="92">
        <f t="shared" si="83"/>
        <v>0</v>
      </c>
      <c r="O588" s="104">
        <f t="shared" si="71"/>
        <v>1.016</v>
      </c>
      <c r="P588" s="105">
        <f t="shared" si="84"/>
        <v>0</v>
      </c>
    </row>
    <row r="589" spans="2:16" x14ac:dyDescent="0.25">
      <c r="B589" s="88" t="s">
        <v>18</v>
      </c>
      <c r="C589" s="106">
        <f t="shared" si="85"/>
        <v>2020</v>
      </c>
      <c r="D589" s="101">
        <v>44148</v>
      </c>
      <c r="E589" s="102"/>
      <c r="F589" s="103"/>
      <c r="G589" s="103"/>
      <c r="H589" s="103"/>
      <c r="I589" s="90">
        <f t="shared" si="80"/>
        <v>0</v>
      </c>
      <c r="J589" s="90">
        <f t="shared" si="81"/>
        <v>0</v>
      </c>
      <c r="K589" s="91">
        <f t="shared" si="78"/>
        <v>0.72916666666666674</v>
      </c>
      <c r="L589" s="91">
        <f t="shared" si="79"/>
        <v>3.333333333333333</v>
      </c>
      <c r="M589" s="29">
        <f t="shared" si="82"/>
        <v>12</v>
      </c>
      <c r="N589" s="92">
        <f t="shared" si="83"/>
        <v>0</v>
      </c>
      <c r="O589" s="104">
        <f t="shared" si="71"/>
        <v>1.016</v>
      </c>
      <c r="P589" s="105">
        <f t="shared" si="84"/>
        <v>0</v>
      </c>
    </row>
    <row r="590" spans="2:16" x14ac:dyDescent="0.25">
      <c r="B590" s="88" t="s">
        <v>18</v>
      </c>
      <c r="C590" s="106">
        <f t="shared" si="85"/>
        <v>2020</v>
      </c>
      <c r="D590" s="101">
        <v>44149</v>
      </c>
      <c r="E590" s="102"/>
      <c r="F590" s="103"/>
      <c r="G590" s="103"/>
      <c r="H590" s="103"/>
      <c r="I590" s="90">
        <f t="shared" si="80"/>
        <v>0</v>
      </c>
      <c r="J590" s="90">
        <f t="shared" si="81"/>
        <v>0</v>
      </c>
      <c r="K590" s="91">
        <f t="shared" si="78"/>
        <v>0.72916666666666674</v>
      </c>
      <c r="L590" s="91">
        <f t="shared" si="79"/>
        <v>3.333333333333333</v>
      </c>
      <c r="M590" s="29">
        <f t="shared" si="82"/>
        <v>12</v>
      </c>
      <c r="N590" s="92">
        <f t="shared" si="83"/>
        <v>0</v>
      </c>
      <c r="O590" s="104">
        <f t="shared" si="71"/>
        <v>1.016</v>
      </c>
      <c r="P590" s="105">
        <f t="shared" si="84"/>
        <v>0</v>
      </c>
    </row>
    <row r="591" spans="2:16" x14ac:dyDescent="0.25">
      <c r="B591" s="88" t="s">
        <v>18</v>
      </c>
      <c r="C591" s="106">
        <f t="shared" si="85"/>
        <v>2020</v>
      </c>
      <c r="D591" s="101">
        <v>44150</v>
      </c>
      <c r="E591" s="102">
        <v>0.52083333333333337</v>
      </c>
      <c r="F591" s="103">
        <v>0.54166666666666663</v>
      </c>
      <c r="G591" s="103">
        <v>0.52083333333333337</v>
      </c>
      <c r="H591" s="103">
        <v>0.54166666666666663</v>
      </c>
      <c r="I591" s="90">
        <f t="shared" si="80"/>
        <v>0.49999999999999822</v>
      </c>
      <c r="J591" s="90">
        <f t="shared" si="81"/>
        <v>0.49999999999999822</v>
      </c>
      <c r="K591" s="91">
        <f t="shared" si="78"/>
        <v>0.72916666666666674</v>
      </c>
      <c r="L591" s="91">
        <f t="shared" si="79"/>
        <v>3.333333333333333</v>
      </c>
      <c r="M591" s="29">
        <f t="shared" si="82"/>
        <v>12</v>
      </c>
      <c r="N591" s="92">
        <f t="shared" si="83"/>
        <v>0.49999999999999822</v>
      </c>
      <c r="O591" s="104">
        <f t="shared" si="71"/>
        <v>1.016</v>
      </c>
      <c r="P591" s="105">
        <f t="shared" si="84"/>
        <v>4.2671999999999848</v>
      </c>
    </row>
    <row r="592" spans="2:16" x14ac:dyDescent="0.25">
      <c r="B592" s="88" t="s">
        <v>18</v>
      </c>
      <c r="C592" s="106">
        <f t="shared" si="85"/>
        <v>2020</v>
      </c>
      <c r="D592" s="101">
        <v>44151</v>
      </c>
      <c r="E592" s="102"/>
      <c r="F592" s="103"/>
      <c r="G592" s="103"/>
      <c r="H592" s="103"/>
      <c r="I592" s="90">
        <f t="shared" si="80"/>
        <v>0</v>
      </c>
      <c r="J592" s="90">
        <f t="shared" si="81"/>
        <v>0</v>
      </c>
      <c r="K592" s="91">
        <f t="shared" si="78"/>
        <v>0.72916666666666674</v>
      </c>
      <c r="L592" s="91">
        <f t="shared" si="79"/>
        <v>3.333333333333333</v>
      </c>
      <c r="M592" s="29">
        <f t="shared" si="82"/>
        <v>12</v>
      </c>
      <c r="N592" s="92">
        <f t="shared" si="83"/>
        <v>0</v>
      </c>
      <c r="O592" s="104">
        <f t="shared" si="71"/>
        <v>1.016</v>
      </c>
      <c r="P592" s="105">
        <f t="shared" si="84"/>
        <v>0</v>
      </c>
    </row>
    <row r="593" spans="2:16" x14ac:dyDescent="0.25">
      <c r="B593" s="88" t="s">
        <v>18</v>
      </c>
      <c r="C593" s="106">
        <f t="shared" si="85"/>
        <v>2020</v>
      </c>
      <c r="D593" s="101">
        <v>44152</v>
      </c>
      <c r="E593" s="102"/>
      <c r="F593" s="103"/>
      <c r="G593" s="103"/>
      <c r="H593" s="103"/>
      <c r="I593" s="90">
        <f t="shared" si="80"/>
        <v>0</v>
      </c>
      <c r="J593" s="90">
        <f t="shared" si="81"/>
        <v>0</v>
      </c>
      <c r="K593" s="91">
        <f t="shared" si="78"/>
        <v>0.72916666666666674</v>
      </c>
      <c r="L593" s="91">
        <f t="shared" si="79"/>
        <v>3.333333333333333</v>
      </c>
      <c r="M593" s="29">
        <f t="shared" si="82"/>
        <v>12</v>
      </c>
      <c r="N593" s="92">
        <f t="shared" si="83"/>
        <v>0</v>
      </c>
      <c r="O593" s="104">
        <f t="shared" si="71"/>
        <v>1.016</v>
      </c>
      <c r="P593" s="105">
        <f t="shared" si="84"/>
        <v>0</v>
      </c>
    </row>
    <row r="594" spans="2:16" x14ac:dyDescent="0.25">
      <c r="B594" s="88" t="s">
        <v>18</v>
      </c>
      <c r="C594" s="106">
        <f t="shared" si="85"/>
        <v>2020</v>
      </c>
      <c r="D594" s="101">
        <v>44153</v>
      </c>
      <c r="E594" s="102"/>
      <c r="F594" s="103"/>
      <c r="G594" s="103"/>
      <c r="H594" s="103"/>
      <c r="I594" s="90">
        <f t="shared" si="80"/>
        <v>0</v>
      </c>
      <c r="J594" s="90">
        <f t="shared" si="81"/>
        <v>0</v>
      </c>
      <c r="K594" s="91">
        <f t="shared" si="78"/>
        <v>0.72916666666666674</v>
      </c>
      <c r="L594" s="91">
        <f t="shared" si="79"/>
        <v>3.333333333333333</v>
      </c>
      <c r="M594" s="29">
        <f t="shared" si="82"/>
        <v>12</v>
      </c>
      <c r="N594" s="92">
        <f t="shared" si="83"/>
        <v>0</v>
      </c>
      <c r="O594" s="104">
        <f t="shared" si="71"/>
        <v>1.016</v>
      </c>
      <c r="P594" s="105">
        <f t="shared" si="84"/>
        <v>0</v>
      </c>
    </row>
    <row r="595" spans="2:16" x14ac:dyDescent="0.25">
      <c r="B595" s="88" t="s">
        <v>18</v>
      </c>
      <c r="C595" s="106">
        <f t="shared" si="85"/>
        <v>2020</v>
      </c>
      <c r="D595" s="101">
        <v>44154</v>
      </c>
      <c r="E595" s="102">
        <v>0.41666666666666669</v>
      </c>
      <c r="F595" s="103">
        <v>0.4375</v>
      </c>
      <c r="G595" s="103">
        <v>0.41666666666666669</v>
      </c>
      <c r="H595" s="103">
        <v>0.4375</v>
      </c>
      <c r="I595" s="90">
        <f t="shared" si="80"/>
        <v>0.49999999999999956</v>
      </c>
      <c r="J595" s="90">
        <f t="shared" si="81"/>
        <v>0.49999999999999956</v>
      </c>
      <c r="K595" s="91">
        <f t="shared" si="78"/>
        <v>0.72916666666666674</v>
      </c>
      <c r="L595" s="91">
        <f t="shared" si="79"/>
        <v>3.333333333333333</v>
      </c>
      <c r="M595" s="29">
        <f t="shared" si="82"/>
        <v>12</v>
      </c>
      <c r="N595" s="92">
        <f t="shared" si="83"/>
        <v>0.49999999999999956</v>
      </c>
      <c r="O595" s="104">
        <f t="shared" si="71"/>
        <v>1.016</v>
      </c>
      <c r="P595" s="105">
        <f t="shared" si="84"/>
        <v>4.2671999999999963</v>
      </c>
    </row>
    <row r="596" spans="2:16" x14ac:dyDescent="0.25">
      <c r="B596" s="88" t="s">
        <v>18</v>
      </c>
      <c r="C596" s="106">
        <f t="shared" si="85"/>
        <v>2020</v>
      </c>
      <c r="D596" s="101">
        <v>44155</v>
      </c>
      <c r="E596" s="102"/>
      <c r="F596" s="103"/>
      <c r="G596" s="103"/>
      <c r="H596" s="103"/>
      <c r="I596" s="90">
        <f t="shared" si="80"/>
        <v>0</v>
      </c>
      <c r="J596" s="90">
        <f t="shared" si="81"/>
        <v>0</v>
      </c>
      <c r="K596" s="91">
        <f t="shared" si="78"/>
        <v>0.72916666666666674</v>
      </c>
      <c r="L596" s="91">
        <f t="shared" si="79"/>
        <v>3.333333333333333</v>
      </c>
      <c r="M596" s="29">
        <f t="shared" si="82"/>
        <v>12</v>
      </c>
      <c r="N596" s="92">
        <f t="shared" si="83"/>
        <v>0</v>
      </c>
      <c r="O596" s="104">
        <f t="shared" si="71"/>
        <v>1.016</v>
      </c>
      <c r="P596" s="105">
        <f t="shared" si="84"/>
        <v>0</v>
      </c>
    </row>
    <row r="597" spans="2:16" x14ac:dyDescent="0.25">
      <c r="B597" s="88" t="s">
        <v>18</v>
      </c>
      <c r="C597" s="106">
        <f t="shared" si="85"/>
        <v>2020</v>
      </c>
      <c r="D597" s="101">
        <v>44156</v>
      </c>
      <c r="E597" s="102"/>
      <c r="F597" s="103"/>
      <c r="G597" s="103"/>
      <c r="H597" s="103"/>
      <c r="I597" s="90">
        <f t="shared" si="80"/>
        <v>0</v>
      </c>
      <c r="J597" s="90">
        <f t="shared" si="81"/>
        <v>0</v>
      </c>
      <c r="K597" s="91">
        <f t="shared" si="78"/>
        <v>0.72916666666666674</v>
      </c>
      <c r="L597" s="91">
        <f t="shared" si="79"/>
        <v>3.333333333333333</v>
      </c>
      <c r="M597" s="29">
        <f t="shared" si="82"/>
        <v>12</v>
      </c>
      <c r="N597" s="92">
        <f t="shared" si="83"/>
        <v>0</v>
      </c>
      <c r="O597" s="104">
        <f t="shared" si="71"/>
        <v>1.016</v>
      </c>
      <c r="P597" s="105">
        <f t="shared" si="84"/>
        <v>0</v>
      </c>
    </row>
    <row r="598" spans="2:16" x14ac:dyDescent="0.25">
      <c r="B598" s="88" t="s">
        <v>18</v>
      </c>
      <c r="C598" s="106">
        <f t="shared" si="85"/>
        <v>2020</v>
      </c>
      <c r="D598" s="101">
        <v>44157</v>
      </c>
      <c r="E598" s="102"/>
      <c r="F598" s="103"/>
      <c r="G598" s="103"/>
      <c r="H598" s="103"/>
      <c r="I598" s="90">
        <f t="shared" si="80"/>
        <v>0</v>
      </c>
      <c r="J598" s="90">
        <f t="shared" si="81"/>
        <v>0</v>
      </c>
      <c r="K598" s="91">
        <f t="shared" si="78"/>
        <v>0.72916666666666674</v>
      </c>
      <c r="L598" s="91">
        <f t="shared" si="79"/>
        <v>3.333333333333333</v>
      </c>
      <c r="M598" s="29">
        <f t="shared" si="82"/>
        <v>12</v>
      </c>
      <c r="N598" s="92">
        <f t="shared" si="83"/>
        <v>0</v>
      </c>
      <c r="O598" s="104">
        <f t="shared" si="71"/>
        <v>1.016</v>
      </c>
      <c r="P598" s="105">
        <f t="shared" si="84"/>
        <v>0</v>
      </c>
    </row>
    <row r="599" spans="2:16" x14ac:dyDescent="0.25">
      <c r="B599" s="88" t="s">
        <v>18</v>
      </c>
      <c r="C599" s="106">
        <f t="shared" si="85"/>
        <v>2020</v>
      </c>
      <c r="D599" s="101">
        <v>44158</v>
      </c>
      <c r="E599" s="102">
        <v>0.45833333333333331</v>
      </c>
      <c r="F599" s="103">
        <v>0.47916666666666669</v>
      </c>
      <c r="G599" s="103">
        <v>0.45833333333333331</v>
      </c>
      <c r="H599" s="103">
        <v>0.47916666666666669</v>
      </c>
      <c r="I599" s="90">
        <f t="shared" si="80"/>
        <v>0.50000000000000089</v>
      </c>
      <c r="J599" s="90">
        <f t="shared" si="81"/>
        <v>0.50000000000000089</v>
      </c>
      <c r="K599" s="91">
        <f t="shared" si="78"/>
        <v>0.72916666666666674</v>
      </c>
      <c r="L599" s="91">
        <f t="shared" si="79"/>
        <v>3.333333333333333</v>
      </c>
      <c r="M599" s="29">
        <f t="shared" si="82"/>
        <v>12</v>
      </c>
      <c r="N599" s="92">
        <f t="shared" si="83"/>
        <v>0.50000000000000089</v>
      </c>
      <c r="O599" s="104">
        <f t="shared" si="71"/>
        <v>1.016</v>
      </c>
      <c r="P599" s="105">
        <f t="shared" si="84"/>
        <v>4.267200000000007</v>
      </c>
    </row>
    <row r="600" spans="2:16" x14ac:dyDescent="0.25">
      <c r="B600" s="88" t="s">
        <v>18</v>
      </c>
      <c r="C600" s="106">
        <f t="shared" si="85"/>
        <v>2020</v>
      </c>
      <c r="D600" s="101">
        <v>44159</v>
      </c>
      <c r="E600" s="102"/>
      <c r="F600" s="103"/>
      <c r="G600" s="103"/>
      <c r="H600" s="103"/>
      <c r="I600" s="90">
        <f t="shared" si="80"/>
        <v>0</v>
      </c>
      <c r="J600" s="90">
        <f t="shared" si="81"/>
        <v>0</v>
      </c>
      <c r="K600" s="91">
        <f t="shared" si="78"/>
        <v>0.72916666666666674</v>
      </c>
      <c r="L600" s="91">
        <f t="shared" si="79"/>
        <v>3.333333333333333</v>
      </c>
      <c r="M600" s="29">
        <f t="shared" si="82"/>
        <v>12</v>
      </c>
      <c r="N600" s="92">
        <f t="shared" si="83"/>
        <v>0</v>
      </c>
      <c r="O600" s="104">
        <f t="shared" si="71"/>
        <v>1.016</v>
      </c>
      <c r="P600" s="105">
        <f t="shared" si="84"/>
        <v>0</v>
      </c>
    </row>
    <row r="601" spans="2:16" x14ac:dyDescent="0.25">
      <c r="B601" s="88" t="s">
        <v>18</v>
      </c>
      <c r="C601" s="106">
        <f t="shared" si="85"/>
        <v>2020</v>
      </c>
      <c r="D601" s="101">
        <v>44160</v>
      </c>
      <c r="E601" s="102"/>
      <c r="F601" s="103"/>
      <c r="G601" s="103"/>
      <c r="H601" s="103"/>
      <c r="I601" s="90">
        <f t="shared" si="80"/>
        <v>0</v>
      </c>
      <c r="J601" s="90">
        <f t="shared" si="81"/>
        <v>0</v>
      </c>
      <c r="K601" s="91">
        <f t="shared" si="78"/>
        <v>0.72916666666666674</v>
      </c>
      <c r="L601" s="91">
        <f t="shared" si="79"/>
        <v>3.333333333333333</v>
      </c>
      <c r="M601" s="29">
        <f t="shared" si="82"/>
        <v>12</v>
      </c>
      <c r="N601" s="92">
        <f t="shared" si="83"/>
        <v>0</v>
      </c>
      <c r="O601" s="104">
        <f t="shared" si="71"/>
        <v>1.016</v>
      </c>
      <c r="P601" s="105">
        <f t="shared" si="84"/>
        <v>0</v>
      </c>
    </row>
    <row r="602" spans="2:16" x14ac:dyDescent="0.25">
      <c r="B602" s="88" t="s">
        <v>18</v>
      </c>
      <c r="C602" s="106">
        <f t="shared" si="85"/>
        <v>2020</v>
      </c>
      <c r="D602" s="101">
        <v>44161</v>
      </c>
      <c r="E602" s="102"/>
      <c r="F602" s="103"/>
      <c r="G602" s="103"/>
      <c r="H602" s="103"/>
      <c r="I602" s="90">
        <f t="shared" si="80"/>
        <v>0</v>
      </c>
      <c r="J602" s="90">
        <f t="shared" si="81"/>
        <v>0</v>
      </c>
      <c r="K602" s="91">
        <f t="shared" si="78"/>
        <v>0.72916666666666674</v>
      </c>
      <c r="L602" s="91">
        <f t="shared" si="79"/>
        <v>3.333333333333333</v>
      </c>
      <c r="M602" s="29">
        <f t="shared" si="82"/>
        <v>12</v>
      </c>
      <c r="N602" s="92">
        <f t="shared" si="83"/>
        <v>0</v>
      </c>
      <c r="O602" s="104">
        <f t="shared" si="71"/>
        <v>1.016</v>
      </c>
      <c r="P602" s="105">
        <f t="shared" si="84"/>
        <v>0</v>
      </c>
    </row>
    <row r="603" spans="2:16" x14ac:dyDescent="0.25">
      <c r="B603" s="88" t="s">
        <v>18</v>
      </c>
      <c r="C603" s="106">
        <f t="shared" si="85"/>
        <v>2020</v>
      </c>
      <c r="D603" s="101">
        <v>44162</v>
      </c>
      <c r="E603" s="102"/>
      <c r="F603" s="103"/>
      <c r="G603" s="103"/>
      <c r="H603" s="103"/>
      <c r="I603" s="90">
        <f t="shared" si="80"/>
        <v>0</v>
      </c>
      <c r="J603" s="90">
        <f t="shared" si="81"/>
        <v>0</v>
      </c>
      <c r="K603" s="91">
        <f t="shared" ref="K603:K637" si="86">VLOOKUP(B603,$B$5:$J$17,5,FALSE)</f>
        <v>0.72916666666666674</v>
      </c>
      <c r="L603" s="91">
        <f t="shared" ref="L603:L637" si="87">VLOOKUP(B603,$B$5:$J$17,6,FALSE)</f>
        <v>3.333333333333333</v>
      </c>
      <c r="M603" s="29">
        <f t="shared" si="82"/>
        <v>12</v>
      </c>
      <c r="N603" s="92">
        <f t="shared" si="83"/>
        <v>0</v>
      </c>
      <c r="O603" s="104">
        <f t="shared" si="71"/>
        <v>1.016</v>
      </c>
      <c r="P603" s="105">
        <f t="shared" si="84"/>
        <v>0</v>
      </c>
    </row>
    <row r="604" spans="2:16" x14ac:dyDescent="0.25">
      <c r="B604" s="88" t="s">
        <v>18</v>
      </c>
      <c r="C604" s="106">
        <f t="shared" si="85"/>
        <v>2020</v>
      </c>
      <c r="D604" s="101">
        <v>44163</v>
      </c>
      <c r="E604" s="102">
        <v>0.70833333333333337</v>
      </c>
      <c r="F604" s="103">
        <v>0.72916666666666663</v>
      </c>
      <c r="G604" s="103">
        <v>0.70833333333333337</v>
      </c>
      <c r="H604" s="103">
        <v>0.72916666666666663</v>
      </c>
      <c r="I604" s="90">
        <f t="shared" ref="I604:I637" si="88">((F604-E604)-INT($D$20))*24</f>
        <v>0.49999999999999822</v>
      </c>
      <c r="J604" s="90">
        <f t="shared" ref="J604:J637" si="89">((H604-G604)-INT($D$20))*24</f>
        <v>0.49999999999999822</v>
      </c>
      <c r="K604" s="91">
        <f t="shared" si="86"/>
        <v>0.72916666666666674</v>
      </c>
      <c r="L604" s="91">
        <f t="shared" si="87"/>
        <v>3.333333333333333</v>
      </c>
      <c r="M604" s="29">
        <f t="shared" si="82"/>
        <v>12</v>
      </c>
      <c r="N604" s="92">
        <f t="shared" si="83"/>
        <v>0.49999999999999822</v>
      </c>
      <c r="O604" s="104">
        <f t="shared" si="71"/>
        <v>1.016</v>
      </c>
      <c r="P604" s="105">
        <f t="shared" si="84"/>
        <v>4.2671999999999848</v>
      </c>
    </row>
    <row r="605" spans="2:16" x14ac:dyDescent="0.25">
      <c r="B605" s="88" t="s">
        <v>18</v>
      </c>
      <c r="C605" s="106">
        <f t="shared" si="85"/>
        <v>2020</v>
      </c>
      <c r="D605" s="101">
        <v>44164</v>
      </c>
      <c r="E605" s="102"/>
      <c r="F605" s="103"/>
      <c r="G605" s="103"/>
      <c r="H605" s="103"/>
      <c r="I605" s="90">
        <f t="shared" si="88"/>
        <v>0</v>
      </c>
      <c r="J605" s="90">
        <f t="shared" si="89"/>
        <v>0</v>
      </c>
      <c r="K605" s="91">
        <f t="shared" si="86"/>
        <v>0.72916666666666674</v>
      </c>
      <c r="L605" s="91">
        <f t="shared" si="87"/>
        <v>3.333333333333333</v>
      </c>
      <c r="M605" s="29">
        <f t="shared" ref="M605:M637" si="90">VLOOKUP(B605,$I$5:$J$17,2,FALSE)</f>
        <v>12</v>
      </c>
      <c r="N605" s="92">
        <f t="shared" ref="N605:N637" si="91">I605</f>
        <v>0</v>
      </c>
      <c r="O605" s="104">
        <f t="shared" si="71"/>
        <v>1.016</v>
      </c>
      <c r="P605" s="105">
        <f t="shared" ref="P605:P637" si="92">M605*N605*O605*0.7</f>
        <v>0</v>
      </c>
    </row>
    <row r="606" spans="2:16" x14ac:dyDescent="0.25">
      <c r="B606" s="88" t="s">
        <v>18</v>
      </c>
      <c r="C606" s="106">
        <f t="shared" si="85"/>
        <v>2020</v>
      </c>
      <c r="D606" s="101">
        <v>44165</v>
      </c>
      <c r="E606" s="102"/>
      <c r="F606" s="103"/>
      <c r="G606" s="103"/>
      <c r="H606" s="103"/>
      <c r="I606" s="90">
        <f t="shared" si="88"/>
        <v>0</v>
      </c>
      <c r="J606" s="90">
        <f t="shared" si="89"/>
        <v>0</v>
      </c>
      <c r="K606" s="91">
        <f t="shared" si="86"/>
        <v>0.72916666666666674</v>
      </c>
      <c r="L606" s="91">
        <f t="shared" si="87"/>
        <v>3.333333333333333</v>
      </c>
      <c r="M606" s="29">
        <f t="shared" si="90"/>
        <v>12</v>
      </c>
      <c r="N606" s="92">
        <f t="shared" si="91"/>
        <v>0</v>
      </c>
      <c r="O606" s="104">
        <f t="shared" si="71"/>
        <v>1.016</v>
      </c>
      <c r="P606" s="105">
        <f t="shared" si="92"/>
        <v>0</v>
      </c>
    </row>
    <row r="607" spans="2:16" x14ac:dyDescent="0.25">
      <c r="B607" s="88" t="s">
        <v>18</v>
      </c>
      <c r="C607" s="106">
        <f t="shared" si="85"/>
        <v>2020</v>
      </c>
      <c r="D607" s="101">
        <v>44166</v>
      </c>
      <c r="E607" s="102"/>
      <c r="F607" s="103"/>
      <c r="G607" s="103"/>
      <c r="H607" s="103"/>
      <c r="I607" s="90">
        <f t="shared" si="88"/>
        <v>0</v>
      </c>
      <c r="J607" s="90">
        <f t="shared" si="89"/>
        <v>0</v>
      </c>
      <c r="K607" s="91">
        <f t="shared" si="86"/>
        <v>0.72916666666666674</v>
      </c>
      <c r="L607" s="91">
        <f t="shared" si="87"/>
        <v>3.333333333333333</v>
      </c>
      <c r="M607" s="29">
        <f t="shared" si="90"/>
        <v>12</v>
      </c>
      <c r="N607" s="92">
        <f t="shared" si="91"/>
        <v>0</v>
      </c>
      <c r="O607" s="104">
        <f t="shared" si="71"/>
        <v>1.016</v>
      </c>
      <c r="P607" s="105">
        <f t="shared" si="92"/>
        <v>0</v>
      </c>
    </row>
    <row r="608" spans="2:16" x14ac:dyDescent="0.25">
      <c r="B608" s="88" t="s">
        <v>18</v>
      </c>
      <c r="C608" s="106">
        <f t="shared" si="85"/>
        <v>2020</v>
      </c>
      <c r="D608" s="101">
        <v>44167</v>
      </c>
      <c r="E608" s="102"/>
      <c r="F608" s="103"/>
      <c r="G608" s="103"/>
      <c r="H608" s="103"/>
      <c r="I608" s="90">
        <f t="shared" si="88"/>
        <v>0</v>
      </c>
      <c r="J608" s="90">
        <f t="shared" si="89"/>
        <v>0</v>
      </c>
      <c r="K608" s="91">
        <f t="shared" si="86"/>
        <v>0.72916666666666674</v>
      </c>
      <c r="L608" s="91">
        <f t="shared" si="87"/>
        <v>3.333333333333333</v>
      </c>
      <c r="M608" s="29">
        <f t="shared" si="90"/>
        <v>12</v>
      </c>
      <c r="N608" s="92">
        <f t="shared" si="91"/>
        <v>0</v>
      </c>
      <c r="O608" s="104">
        <f t="shared" si="71"/>
        <v>1.016</v>
      </c>
      <c r="P608" s="105">
        <f t="shared" si="92"/>
        <v>0</v>
      </c>
    </row>
    <row r="609" spans="2:16" x14ac:dyDescent="0.25">
      <c r="B609" s="88" t="s">
        <v>18</v>
      </c>
      <c r="C609" s="106">
        <f t="shared" si="85"/>
        <v>2020</v>
      </c>
      <c r="D609" s="101">
        <v>44168</v>
      </c>
      <c r="E609" s="102"/>
      <c r="F609" s="103"/>
      <c r="G609" s="103"/>
      <c r="H609" s="103"/>
      <c r="I609" s="90">
        <f t="shared" si="88"/>
        <v>0</v>
      </c>
      <c r="J609" s="90">
        <f t="shared" si="89"/>
        <v>0</v>
      </c>
      <c r="K609" s="91">
        <f t="shared" si="86"/>
        <v>0.72916666666666674</v>
      </c>
      <c r="L609" s="91">
        <f t="shared" si="87"/>
        <v>3.333333333333333</v>
      </c>
      <c r="M609" s="29">
        <f t="shared" si="90"/>
        <v>12</v>
      </c>
      <c r="N609" s="92">
        <f t="shared" si="91"/>
        <v>0</v>
      </c>
      <c r="O609" s="104">
        <f t="shared" si="71"/>
        <v>1.016</v>
      </c>
      <c r="P609" s="105">
        <f t="shared" si="92"/>
        <v>0</v>
      </c>
    </row>
    <row r="610" spans="2:16" x14ac:dyDescent="0.25">
      <c r="B610" s="88" t="s">
        <v>18</v>
      </c>
      <c r="C610" s="106">
        <f t="shared" si="85"/>
        <v>2020</v>
      </c>
      <c r="D610" s="101">
        <v>44169</v>
      </c>
      <c r="E610" s="102"/>
      <c r="F610" s="103"/>
      <c r="G610" s="103"/>
      <c r="H610" s="103"/>
      <c r="I610" s="90">
        <f t="shared" si="88"/>
        <v>0</v>
      </c>
      <c r="J610" s="90">
        <f t="shared" si="89"/>
        <v>0</v>
      </c>
      <c r="K610" s="91">
        <f t="shared" si="86"/>
        <v>0.72916666666666674</v>
      </c>
      <c r="L610" s="91">
        <f t="shared" si="87"/>
        <v>3.333333333333333</v>
      </c>
      <c r="M610" s="29">
        <f t="shared" si="90"/>
        <v>12</v>
      </c>
      <c r="N610" s="92">
        <f t="shared" si="91"/>
        <v>0</v>
      </c>
      <c r="O610" s="104">
        <f t="shared" si="71"/>
        <v>1.016</v>
      </c>
      <c r="P610" s="105">
        <f t="shared" si="92"/>
        <v>0</v>
      </c>
    </row>
    <row r="611" spans="2:16" x14ac:dyDescent="0.25">
      <c r="B611" s="88" t="s">
        <v>18</v>
      </c>
      <c r="C611" s="106">
        <f t="shared" si="85"/>
        <v>2020</v>
      </c>
      <c r="D611" s="101">
        <v>44170</v>
      </c>
      <c r="E611" s="102">
        <v>0.4375</v>
      </c>
      <c r="F611" s="103">
        <v>0.45833333333333331</v>
      </c>
      <c r="G611" s="103">
        <v>0.4375</v>
      </c>
      <c r="H611" s="103">
        <v>0.45833333333333331</v>
      </c>
      <c r="I611" s="90">
        <f t="shared" si="88"/>
        <v>0.49999999999999956</v>
      </c>
      <c r="J611" s="90">
        <f t="shared" si="89"/>
        <v>0.49999999999999956</v>
      </c>
      <c r="K611" s="91">
        <f t="shared" si="86"/>
        <v>0.72916666666666674</v>
      </c>
      <c r="L611" s="91">
        <f t="shared" si="87"/>
        <v>3.333333333333333</v>
      </c>
      <c r="M611" s="29">
        <f t="shared" si="90"/>
        <v>12</v>
      </c>
      <c r="N611" s="92">
        <f t="shared" si="91"/>
        <v>0.49999999999999956</v>
      </c>
      <c r="O611" s="104">
        <f t="shared" si="71"/>
        <v>1.016</v>
      </c>
      <c r="P611" s="105">
        <f t="shared" si="92"/>
        <v>4.2671999999999963</v>
      </c>
    </row>
    <row r="612" spans="2:16" x14ac:dyDescent="0.25">
      <c r="B612" s="88" t="s">
        <v>18</v>
      </c>
      <c r="C612" s="106">
        <f t="shared" si="85"/>
        <v>2020</v>
      </c>
      <c r="D612" s="101">
        <v>44171</v>
      </c>
      <c r="E612" s="102"/>
      <c r="F612" s="103"/>
      <c r="G612" s="103"/>
      <c r="H612" s="103"/>
      <c r="I612" s="90">
        <f t="shared" si="88"/>
        <v>0</v>
      </c>
      <c r="J612" s="90">
        <f t="shared" si="89"/>
        <v>0</v>
      </c>
      <c r="K612" s="91">
        <f t="shared" si="86"/>
        <v>0.72916666666666674</v>
      </c>
      <c r="L612" s="91">
        <f t="shared" si="87"/>
        <v>3.333333333333333</v>
      </c>
      <c r="M612" s="29">
        <f t="shared" si="90"/>
        <v>12</v>
      </c>
      <c r="N612" s="92">
        <f t="shared" si="91"/>
        <v>0</v>
      </c>
      <c r="O612" s="104">
        <f t="shared" si="71"/>
        <v>1.016</v>
      </c>
      <c r="P612" s="105">
        <f t="shared" si="92"/>
        <v>0</v>
      </c>
    </row>
    <row r="613" spans="2:16" x14ac:dyDescent="0.25">
      <c r="B613" s="88" t="s">
        <v>18</v>
      </c>
      <c r="C613" s="106">
        <f t="shared" si="85"/>
        <v>2020</v>
      </c>
      <c r="D613" s="101">
        <v>44172</v>
      </c>
      <c r="E613" s="102">
        <v>0.5625</v>
      </c>
      <c r="F613" s="103">
        <v>0.58333333333333337</v>
      </c>
      <c r="G613" s="103">
        <v>0.5625</v>
      </c>
      <c r="H613" s="103">
        <v>0.58333333333333337</v>
      </c>
      <c r="I613" s="90">
        <f t="shared" si="88"/>
        <v>0.50000000000000089</v>
      </c>
      <c r="J613" s="90">
        <f t="shared" si="89"/>
        <v>0.50000000000000089</v>
      </c>
      <c r="K613" s="91">
        <f t="shared" si="86"/>
        <v>0.72916666666666674</v>
      </c>
      <c r="L613" s="91">
        <f t="shared" si="87"/>
        <v>3.333333333333333</v>
      </c>
      <c r="M613" s="29">
        <f t="shared" si="90"/>
        <v>12</v>
      </c>
      <c r="N613" s="92">
        <f t="shared" si="91"/>
        <v>0.50000000000000089</v>
      </c>
      <c r="O613" s="104">
        <f t="shared" si="71"/>
        <v>1.016</v>
      </c>
      <c r="P613" s="105">
        <f t="shared" si="92"/>
        <v>4.267200000000007</v>
      </c>
    </row>
    <row r="614" spans="2:16" x14ac:dyDescent="0.25">
      <c r="B614" s="88" t="s">
        <v>18</v>
      </c>
      <c r="C614" s="106">
        <f t="shared" si="85"/>
        <v>2020</v>
      </c>
      <c r="D614" s="101">
        <v>44173</v>
      </c>
      <c r="E614" s="102"/>
      <c r="F614" s="103"/>
      <c r="G614" s="103"/>
      <c r="H614" s="103"/>
      <c r="I614" s="90">
        <f t="shared" si="88"/>
        <v>0</v>
      </c>
      <c r="J614" s="90">
        <f t="shared" si="89"/>
        <v>0</v>
      </c>
      <c r="K614" s="91">
        <f t="shared" si="86"/>
        <v>0.72916666666666674</v>
      </c>
      <c r="L614" s="91">
        <f t="shared" si="87"/>
        <v>3.333333333333333</v>
      </c>
      <c r="M614" s="29">
        <f t="shared" si="90"/>
        <v>12</v>
      </c>
      <c r="N614" s="92">
        <f t="shared" si="91"/>
        <v>0</v>
      </c>
      <c r="O614" s="104">
        <f t="shared" si="71"/>
        <v>1.016</v>
      </c>
      <c r="P614" s="105">
        <f t="shared" si="92"/>
        <v>0</v>
      </c>
    </row>
    <row r="615" spans="2:16" x14ac:dyDescent="0.25">
      <c r="B615" s="88" t="s">
        <v>18</v>
      </c>
      <c r="C615" s="106">
        <f t="shared" si="85"/>
        <v>2020</v>
      </c>
      <c r="D615" s="101">
        <v>44174</v>
      </c>
      <c r="E615" s="102"/>
      <c r="F615" s="103"/>
      <c r="G615" s="103"/>
      <c r="H615" s="103"/>
      <c r="I615" s="90">
        <f t="shared" si="88"/>
        <v>0</v>
      </c>
      <c r="J615" s="90">
        <f t="shared" si="89"/>
        <v>0</v>
      </c>
      <c r="K615" s="91">
        <f t="shared" si="86"/>
        <v>0.72916666666666674</v>
      </c>
      <c r="L615" s="91">
        <f t="shared" si="87"/>
        <v>3.333333333333333</v>
      </c>
      <c r="M615" s="29">
        <f t="shared" si="90"/>
        <v>12</v>
      </c>
      <c r="N615" s="92">
        <f t="shared" si="91"/>
        <v>0</v>
      </c>
      <c r="O615" s="104">
        <f t="shared" si="71"/>
        <v>1.016</v>
      </c>
      <c r="P615" s="105">
        <f t="shared" si="92"/>
        <v>0</v>
      </c>
    </row>
    <row r="616" spans="2:16" x14ac:dyDescent="0.25">
      <c r="B616" s="88" t="s">
        <v>18</v>
      </c>
      <c r="C616" s="106">
        <f t="shared" si="85"/>
        <v>2020</v>
      </c>
      <c r="D616" s="101">
        <v>44175</v>
      </c>
      <c r="E616" s="102"/>
      <c r="F616" s="103"/>
      <c r="G616" s="103"/>
      <c r="H616" s="103"/>
      <c r="I616" s="90">
        <f t="shared" si="88"/>
        <v>0</v>
      </c>
      <c r="J616" s="90">
        <f t="shared" si="89"/>
        <v>0</v>
      </c>
      <c r="K616" s="91">
        <f t="shared" si="86"/>
        <v>0.72916666666666674</v>
      </c>
      <c r="L616" s="91">
        <f t="shared" si="87"/>
        <v>3.333333333333333</v>
      </c>
      <c r="M616" s="29">
        <f t="shared" si="90"/>
        <v>12</v>
      </c>
      <c r="N616" s="92">
        <f t="shared" si="91"/>
        <v>0</v>
      </c>
      <c r="O616" s="104">
        <f t="shared" si="71"/>
        <v>1.016</v>
      </c>
      <c r="P616" s="105">
        <f t="shared" si="92"/>
        <v>0</v>
      </c>
    </row>
    <row r="617" spans="2:16" x14ac:dyDescent="0.25">
      <c r="B617" s="88" t="s">
        <v>18</v>
      </c>
      <c r="C617" s="106">
        <f t="shared" si="85"/>
        <v>2020</v>
      </c>
      <c r="D617" s="101">
        <v>44176</v>
      </c>
      <c r="E617" s="102"/>
      <c r="F617" s="103"/>
      <c r="G617" s="103"/>
      <c r="H617" s="103"/>
      <c r="I617" s="90">
        <f t="shared" si="88"/>
        <v>0</v>
      </c>
      <c r="J617" s="90">
        <f t="shared" si="89"/>
        <v>0</v>
      </c>
      <c r="K617" s="91">
        <f t="shared" si="86"/>
        <v>0.72916666666666674</v>
      </c>
      <c r="L617" s="91">
        <f t="shared" si="87"/>
        <v>3.333333333333333</v>
      </c>
      <c r="M617" s="29">
        <f t="shared" si="90"/>
        <v>12</v>
      </c>
      <c r="N617" s="92">
        <f t="shared" si="91"/>
        <v>0</v>
      </c>
      <c r="O617" s="104">
        <f t="shared" si="71"/>
        <v>1.016</v>
      </c>
      <c r="P617" s="105">
        <f t="shared" si="92"/>
        <v>0</v>
      </c>
    </row>
    <row r="618" spans="2:16" x14ac:dyDescent="0.25">
      <c r="B618" s="88" t="s">
        <v>18</v>
      </c>
      <c r="C618" s="106">
        <f t="shared" si="85"/>
        <v>2020</v>
      </c>
      <c r="D618" s="101">
        <v>44177</v>
      </c>
      <c r="E618" s="102"/>
      <c r="F618" s="103"/>
      <c r="G618" s="103"/>
      <c r="H618" s="103"/>
      <c r="I618" s="90">
        <f t="shared" si="88"/>
        <v>0</v>
      </c>
      <c r="J618" s="90">
        <f t="shared" si="89"/>
        <v>0</v>
      </c>
      <c r="K618" s="91">
        <f t="shared" si="86"/>
        <v>0.72916666666666674</v>
      </c>
      <c r="L618" s="91">
        <f t="shared" si="87"/>
        <v>3.333333333333333</v>
      </c>
      <c r="M618" s="29">
        <f t="shared" si="90"/>
        <v>12</v>
      </c>
      <c r="N618" s="92">
        <f t="shared" si="91"/>
        <v>0</v>
      </c>
      <c r="O618" s="104">
        <f t="shared" si="71"/>
        <v>1.016</v>
      </c>
      <c r="P618" s="105">
        <f t="shared" si="92"/>
        <v>0</v>
      </c>
    </row>
    <row r="619" spans="2:16" x14ac:dyDescent="0.25">
      <c r="B619" s="88" t="s">
        <v>18</v>
      </c>
      <c r="C619" s="106">
        <f t="shared" si="85"/>
        <v>2020</v>
      </c>
      <c r="D619" s="101">
        <v>44178</v>
      </c>
      <c r="E619" s="102">
        <v>0.60416666666666663</v>
      </c>
      <c r="F619" s="103">
        <v>0.625</v>
      </c>
      <c r="G619" s="103">
        <v>0.60416666666666663</v>
      </c>
      <c r="H619" s="103">
        <v>0.625</v>
      </c>
      <c r="I619" s="90">
        <f t="shared" si="88"/>
        <v>0.50000000000000089</v>
      </c>
      <c r="J619" s="90">
        <f t="shared" si="89"/>
        <v>0.50000000000000089</v>
      </c>
      <c r="K619" s="91">
        <f t="shared" si="86"/>
        <v>0.72916666666666674</v>
      </c>
      <c r="L619" s="91">
        <f t="shared" si="87"/>
        <v>3.333333333333333</v>
      </c>
      <c r="M619" s="29">
        <f t="shared" si="90"/>
        <v>12</v>
      </c>
      <c r="N619" s="92">
        <f t="shared" si="91"/>
        <v>0.50000000000000089</v>
      </c>
      <c r="O619" s="104">
        <f t="shared" si="71"/>
        <v>1.016</v>
      </c>
      <c r="P619" s="105">
        <f t="shared" si="92"/>
        <v>4.267200000000007</v>
      </c>
    </row>
    <row r="620" spans="2:16" x14ac:dyDescent="0.25">
      <c r="B620" s="88" t="s">
        <v>18</v>
      </c>
      <c r="C620" s="106">
        <f t="shared" si="85"/>
        <v>2020</v>
      </c>
      <c r="D620" s="101">
        <v>44179</v>
      </c>
      <c r="E620" s="102"/>
      <c r="F620" s="103"/>
      <c r="G620" s="103"/>
      <c r="H620" s="103"/>
      <c r="I620" s="90">
        <f t="shared" si="88"/>
        <v>0</v>
      </c>
      <c r="J620" s="90">
        <f t="shared" si="89"/>
        <v>0</v>
      </c>
      <c r="K620" s="91">
        <f t="shared" si="86"/>
        <v>0.72916666666666674</v>
      </c>
      <c r="L620" s="91">
        <f t="shared" si="87"/>
        <v>3.333333333333333</v>
      </c>
      <c r="M620" s="29">
        <f t="shared" si="90"/>
        <v>12</v>
      </c>
      <c r="N620" s="92">
        <f t="shared" si="91"/>
        <v>0</v>
      </c>
      <c r="O620" s="104">
        <f t="shared" si="71"/>
        <v>1.016</v>
      </c>
      <c r="P620" s="105">
        <f t="shared" si="92"/>
        <v>0</v>
      </c>
    </row>
    <row r="621" spans="2:16" x14ac:dyDescent="0.25">
      <c r="B621" s="88" t="s">
        <v>18</v>
      </c>
      <c r="C621" s="106">
        <f t="shared" si="85"/>
        <v>2020</v>
      </c>
      <c r="D621" s="101">
        <v>44180</v>
      </c>
      <c r="E621" s="102"/>
      <c r="F621" s="103"/>
      <c r="G621" s="103"/>
      <c r="H621" s="103"/>
      <c r="I621" s="90">
        <f t="shared" si="88"/>
        <v>0</v>
      </c>
      <c r="J621" s="90">
        <f t="shared" si="89"/>
        <v>0</v>
      </c>
      <c r="K621" s="91">
        <f t="shared" si="86"/>
        <v>0.72916666666666674</v>
      </c>
      <c r="L621" s="91">
        <f t="shared" si="87"/>
        <v>3.333333333333333</v>
      </c>
      <c r="M621" s="29">
        <f t="shared" si="90"/>
        <v>12</v>
      </c>
      <c r="N621" s="92">
        <f t="shared" si="91"/>
        <v>0</v>
      </c>
      <c r="O621" s="104">
        <f t="shared" si="71"/>
        <v>1.016</v>
      </c>
      <c r="P621" s="105">
        <f t="shared" si="92"/>
        <v>0</v>
      </c>
    </row>
    <row r="622" spans="2:16" x14ac:dyDescent="0.25">
      <c r="B622" s="88" t="s">
        <v>18</v>
      </c>
      <c r="C622" s="106">
        <f t="shared" si="85"/>
        <v>2020</v>
      </c>
      <c r="D622" s="101">
        <v>44181</v>
      </c>
      <c r="E622" s="102"/>
      <c r="F622" s="103"/>
      <c r="G622" s="103"/>
      <c r="H622" s="103"/>
      <c r="I622" s="90">
        <f t="shared" si="88"/>
        <v>0</v>
      </c>
      <c r="J622" s="90">
        <f t="shared" si="89"/>
        <v>0</v>
      </c>
      <c r="K622" s="91">
        <f t="shared" si="86"/>
        <v>0.72916666666666674</v>
      </c>
      <c r="L622" s="91">
        <f t="shared" si="87"/>
        <v>3.333333333333333</v>
      </c>
      <c r="M622" s="29">
        <f t="shared" si="90"/>
        <v>12</v>
      </c>
      <c r="N622" s="92">
        <f t="shared" si="91"/>
        <v>0</v>
      </c>
      <c r="O622" s="104">
        <f t="shared" si="71"/>
        <v>1.016</v>
      </c>
      <c r="P622" s="105">
        <f t="shared" si="92"/>
        <v>0</v>
      </c>
    </row>
    <row r="623" spans="2:16" x14ac:dyDescent="0.25">
      <c r="B623" s="88" t="s">
        <v>18</v>
      </c>
      <c r="C623" s="106">
        <f t="shared" si="85"/>
        <v>2020</v>
      </c>
      <c r="D623" s="101">
        <v>44182</v>
      </c>
      <c r="E623" s="102"/>
      <c r="F623" s="103"/>
      <c r="G623" s="103"/>
      <c r="H623" s="103"/>
      <c r="I623" s="90">
        <f t="shared" si="88"/>
        <v>0</v>
      </c>
      <c r="J623" s="90">
        <f t="shared" si="89"/>
        <v>0</v>
      </c>
      <c r="K623" s="91">
        <f t="shared" si="86"/>
        <v>0.72916666666666674</v>
      </c>
      <c r="L623" s="91">
        <f t="shared" si="87"/>
        <v>3.333333333333333</v>
      </c>
      <c r="M623" s="29">
        <f t="shared" si="90"/>
        <v>12</v>
      </c>
      <c r="N623" s="92">
        <f t="shared" si="91"/>
        <v>0</v>
      </c>
      <c r="O623" s="104">
        <f t="shared" si="71"/>
        <v>1.016</v>
      </c>
      <c r="P623" s="105">
        <f t="shared" si="92"/>
        <v>0</v>
      </c>
    </row>
    <row r="624" spans="2:16" x14ac:dyDescent="0.25">
      <c r="B624" s="88" t="s">
        <v>18</v>
      </c>
      <c r="C624" s="106">
        <f t="shared" si="85"/>
        <v>2020</v>
      </c>
      <c r="D624" s="101">
        <v>44183</v>
      </c>
      <c r="E624" s="102"/>
      <c r="F624" s="103"/>
      <c r="G624" s="103"/>
      <c r="H624" s="103"/>
      <c r="I624" s="90">
        <f t="shared" si="88"/>
        <v>0</v>
      </c>
      <c r="J624" s="90">
        <f t="shared" si="89"/>
        <v>0</v>
      </c>
      <c r="K624" s="91">
        <f t="shared" si="86"/>
        <v>0.72916666666666674</v>
      </c>
      <c r="L624" s="91">
        <f t="shared" si="87"/>
        <v>3.333333333333333</v>
      </c>
      <c r="M624" s="29">
        <f t="shared" si="90"/>
        <v>12</v>
      </c>
      <c r="N624" s="92">
        <f t="shared" si="91"/>
        <v>0</v>
      </c>
      <c r="O624" s="104">
        <f t="shared" si="71"/>
        <v>1.016</v>
      </c>
      <c r="P624" s="105">
        <f t="shared" si="92"/>
        <v>0</v>
      </c>
    </row>
    <row r="625" spans="2:16" x14ac:dyDescent="0.25">
      <c r="B625" s="88" t="s">
        <v>18</v>
      </c>
      <c r="C625" s="106">
        <f t="shared" si="85"/>
        <v>2020</v>
      </c>
      <c r="D625" s="101">
        <v>44184</v>
      </c>
      <c r="E625" s="102">
        <v>0.66666666666666663</v>
      </c>
      <c r="F625" s="103">
        <v>0.6875</v>
      </c>
      <c r="G625" s="103">
        <v>0.66666666666666663</v>
      </c>
      <c r="H625" s="103">
        <v>0.6875</v>
      </c>
      <c r="I625" s="90">
        <f t="shared" si="88"/>
        <v>0.50000000000000089</v>
      </c>
      <c r="J625" s="90">
        <f t="shared" si="89"/>
        <v>0.50000000000000089</v>
      </c>
      <c r="K625" s="91">
        <f t="shared" si="86"/>
        <v>0.72916666666666674</v>
      </c>
      <c r="L625" s="91">
        <f t="shared" si="87"/>
        <v>3.333333333333333</v>
      </c>
      <c r="M625" s="29">
        <f t="shared" si="90"/>
        <v>12</v>
      </c>
      <c r="N625" s="92">
        <f t="shared" si="91"/>
        <v>0.50000000000000089</v>
      </c>
      <c r="O625" s="104">
        <f t="shared" si="71"/>
        <v>1.016</v>
      </c>
      <c r="P625" s="105">
        <f t="shared" si="92"/>
        <v>4.267200000000007</v>
      </c>
    </row>
    <row r="626" spans="2:16" x14ac:dyDescent="0.25">
      <c r="B626" s="88" t="s">
        <v>18</v>
      </c>
      <c r="C626" s="106">
        <f t="shared" si="85"/>
        <v>2020</v>
      </c>
      <c r="D626" s="101">
        <v>44185</v>
      </c>
      <c r="E626" s="102"/>
      <c r="F626" s="103"/>
      <c r="G626" s="103"/>
      <c r="H626" s="103"/>
      <c r="I626" s="90">
        <f t="shared" si="88"/>
        <v>0</v>
      </c>
      <c r="J626" s="90">
        <f t="shared" si="89"/>
        <v>0</v>
      </c>
      <c r="K626" s="91">
        <f t="shared" si="86"/>
        <v>0.72916666666666674</v>
      </c>
      <c r="L626" s="91">
        <f t="shared" si="87"/>
        <v>3.333333333333333</v>
      </c>
      <c r="M626" s="29">
        <f t="shared" si="90"/>
        <v>12</v>
      </c>
      <c r="N626" s="92">
        <f t="shared" si="91"/>
        <v>0</v>
      </c>
      <c r="O626" s="104">
        <f t="shared" si="71"/>
        <v>1.016</v>
      </c>
      <c r="P626" s="105">
        <f t="shared" si="92"/>
        <v>0</v>
      </c>
    </row>
    <row r="627" spans="2:16" x14ac:dyDescent="0.25">
      <c r="B627" s="88" t="s">
        <v>18</v>
      </c>
      <c r="C627" s="106">
        <f t="shared" si="85"/>
        <v>2020</v>
      </c>
      <c r="D627" s="101">
        <v>44186</v>
      </c>
      <c r="E627" s="102"/>
      <c r="F627" s="103"/>
      <c r="G627" s="103"/>
      <c r="H627" s="103"/>
      <c r="I627" s="90">
        <f t="shared" si="88"/>
        <v>0</v>
      </c>
      <c r="J627" s="90">
        <f t="shared" si="89"/>
        <v>0</v>
      </c>
      <c r="K627" s="91">
        <f t="shared" si="86"/>
        <v>0.72916666666666674</v>
      </c>
      <c r="L627" s="91">
        <f t="shared" si="87"/>
        <v>3.333333333333333</v>
      </c>
      <c r="M627" s="29">
        <f t="shared" si="90"/>
        <v>12</v>
      </c>
      <c r="N627" s="92">
        <f t="shared" si="91"/>
        <v>0</v>
      </c>
      <c r="O627" s="104">
        <f t="shared" si="71"/>
        <v>1.016</v>
      </c>
      <c r="P627" s="105">
        <f t="shared" si="92"/>
        <v>0</v>
      </c>
    </row>
    <row r="628" spans="2:16" x14ac:dyDescent="0.25">
      <c r="B628" s="88" t="s">
        <v>18</v>
      </c>
      <c r="C628" s="106">
        <f t="shared" si="85"/>
        <v>2020</v>
      </c>
      <c r="D628" s="101">
        <v>44187</v>
      </c>
      <c r="E628" s="102"/>
      <c r="F628" s="103"/>
      <c r="G628" s="103"/>
      <c r="H628" s="103"/>
      <c r="I628" s="90">
        <f t="shared" si="88"/>
        <v>0</v>
      </c>
      <c r="J628" s="90">
        <f t="shared" si="89"/>
        <v>0</v>
      </c>
      <c r="K628" s="91">
        <f t="shared" si="86"/>
        <v>0.72916666666666674</v>
      </c>
      <c r="L628" s="91">
        <f t="shared" si="87"/>
        <v>3.333333333333333</v>
      </c>
      <c r="M628" s="29">
        <f t="shared" si="90"/>
        <v>12</v>
      </c>
      <c r="N628" s="92">
        <f t="shared" si="91"/>
        <v>0</v>
      </c>
      <c r="O628" s="104">
        <f t="shared" si="71"/>
        <v>1.016</v>
      </c>
      <c r="P628" s="105">
        <f t="shared" si="92"/>
        <v>0</v>
      </c>
    </row>
    <row r="629" spans="2:16" x14ac:dyDescent="0.25">
      <c r="B629" s="88" t="s">
        <v>18</v>
      </c>
      <c r="C629" s="106">
        <f t="shared" si="85"/>
        <v>2020</v>
      </c>
      <c r="D629" s="101">
        <v>44188</v>
      </c>
      <c r="E629" s="102"/>
      <c r="F629" s="103"/>
      <c r="G629" s="103"/>
      <c r="H629" s="103"/>
      <c r="I629" s="90">
        <f t="shared" si="88"/>
        <v>0</v>
      </c>
      <c r="J629" s="90">
        <f t="shared" si="89"/>
        <v>0</v>
      </c>
      <c r="K629" s="91">
        <f t="shared" si="86"/>
        <v>0.72916666666666674</v>
      </c>
      <c r="L629" s="91">
        <f t="shared" si="87"/>
        <v>3.333333333333333</v>
      </c>
      <c r="M629" s="29">
        <f t="shared" si="90"/>
        <v>12</v>
      </c>
      <c r="N629" s="92">
        <f t="shared" si="91"/>
        <v>0</v>
      </c>
      <c r="O629" s="104">
        <f t="shared" si="71"/>
        <v>1.016</v>
      </c>
      <c r="P629" s="105">
        <f t="shared" si="92"/>
        <v>0</v>
      </c>
    </row>
    <row r="630" spans="2:16" x14ac:dyDescent="0.25">
      <c r="B630" s="88" t="s">
        <v>18</v>
      </c>
      <c r="C630" s="106">
        <f t="shared" ref="C630:C637" si="93">YEAR(D630)</f>
        <v>2020</v>
      </c>
      <c r="D630" s="101">
        <v>44189</v>
      </c>
      <c r="E630" s="102"/>
      <c r="F630" s="103"/>
      <c r="G630" s="103"/>
      <c r="H630" s="103"/>
      <c r="I630" s="90">
        <f t="shared" si="88"/>
        <v>0</v>
      </c>
      <c r="J630" s="90">
        <f t="shared" si="89"/>
        <v>0</v>
      </c>
      <c r="K630" s="91">
        <f t="shared" si="86"/>
        <v>0.72916666666666674</v>
      </c>
      <c r="L630" s="91">
        <f t="shared" si="87"/>
        <v>3.333333333333333</v>
      </c>
      <c r="M630" s="29">
        <f t="shared" si="90"/>
        <v>12</v>
      </c>
      <c r="N630" s="92">
        <f t="shared" si="91"/>
        <v>0</v>
      </c>
      <c r="O630" s="104">
        <f t="shared" si="71"/>
        <v>1.016</v>
      </c>
      <c r="P630" s="105">
        <f t="shared" si="92"/>
        <v>0</v>
      </c>
    </row>
    <row r="631" spans="2:16" x14ac:dyDescent="0.25">
      <c r="B631" s="88" t="s">
        <v>18</v>
      </c>
      <c r="C631" s="106">
        <f t="shared" si="93"/>
        <v>2020</v>
      </c>
      <c r="D631" s="101">
        <v>44190</v>
      </c>
      <c r="E631" s="102"/>
      <c r="F631" s="103"/>
      <c r="G631" s="103"/>
      <c r="H631" s="103"/>
      <c r="I631" s="90">
        <f t="shared" si="88"/>
        <v>0</v>
      </c>
      <c r="J631" s="90">
        <f t="shared" si="89"/>
        <v>0</v>
      </c>
      <c r="K631" s="91">
        <f t="shared" si="86"/>
        <v>0.72916666666666674</v>
      </c>
      <c r="L631" s="91">
        <f t="shared" si="87"/>
        <v>3.333333333333333</v>
      </c>
      <c r="M631" s="29">
        <f t="shared" si="90"/>
        <v>12</v>
      </c>
      <c r="N631" s="92">
        <f t="shared" si="91"/>
        <v>0</v>
      </c>
      <c r="O631" s="104">
        <f t="shared" si="71"/>
        <v>1.016</v>
      </c>
      <c r="P631" s="105">
        <f t="shared" si="92"/>
        <v>0</v>
      </c>
    </row>
    <row r="632" spans="2:16" x14ac:dyDescent="0.25">
      <c r="B632" s="88" t="s">
        <v>18</v>
      </c>
      <c r="C632" s="106">
        <f t="shared" si="93"/>
        <v>2020</v>
      </c>
      <c r="D632" s="101">
        <v>44191</v>
      </c>
      <c r="E632" s="102">
        <v>0.52083333333333337</v>
      </c>
      <c r="F632" s="103">
        <v>0.54166666666666663</v>
      </c>
      <c r="G632" s="103">
        <v>0.52083333333333337</v>
      </c>
      <c r="H632" s="103">
        <v>0.54166666666666663</v>
      </c>
      <c r="I632" s="90">
        <f t="shared" si="88"/>
        <v>0.49999999999999822</v>
      </c>
      <c r="J632" s="90">
        <f t="shared" si="89"/>
        <v>0.49999999999999822</v>
      </c>
      <c r="K632" s="91">
        <f t="shared" si="86"/>
        <v>0.72916666666666674</v>
      </c>
      <c r="L632" s="91">
        <f t="shared" si="87"/>
        <v>3.333333333333333</v>
      </c>
      <c r="M632" s="29">
        <f t="shared" si="90"/>
        <v>12</v>
      </c>
      <c r="N632" s="92">
        <f t="shared" si="91"/>
        <v>0.49999999999999822</v>
      </c>
      <c r="O632" s="104">
        <f t="shared" si="71"/>
        <v>1.016</v>
      </c>
      <c r="P632" s="105">
        <f t="shared" si="92"/>
        <v>4.2671999999999848</v>
      </c>
    </row>
    <row r="633" spans="2:16" x14ac:dyDescent="0.25">
      <c r="B633" s="88" t="s">
        <v>18</v>
      </c>
      <c r="C633" s="106">
        <f t="shared" si="93"/>
        <v>2020</v>
      </c>
      <c r="D633" s="101">
        <v>44192</v>
      </c>
      <c r="E633" s="102"/>
      <c r="F633" s="103"/>
      <c r="G633" s="103"/>
      <c r="H633" s="103"/>
      <c r="I633" s="90">
        <f t="shared" si="88"/>
        <v>0</v>
      </c>
      <c r="J633" s="90">
        <f t="shared" si="89"/>
        <v>0</v>
      </c>
      <c r="K633" s="91">
        <f t="shared" si="86"/>
        <v>0.72916666666666674</v>
      </c>
      <c r="L633" s="91">
        <f t="shared" si="87"/>
        <v>3.333333333333333</v>
      </c>
      <c r="M633" s="29">
        <f t="shared" si="90"/>
        <v>12</v>
      </c>
      <c r="N633" s="92">
        <f t="shared" si="91"/>
        <v>0</v>
      </c>
      <c r="O633" s="104">
        <f t="shared" si="71"/>
        <v>1.016</v>
      </c>
      <c r="P633" s="105">
        <f t="shared" si="92"/>
        <v>0</v>
      </c>
    </row>
    <row r="634" spans="2:16" x14ac:dyDescent="0.25">
      <c r="B634" s="88" t="s">
        <v>18</v>
      </c>
      <c r="C634" s="106">
        <f t="shared" si="93"/>
        <v>2020</v>
      </c>
      <c r="D634" s="101">
        <v>44193</v>
      </c>
      <c r="E634" s="102"/>
      <c r="F634" s="103"/>
      <c r="G634" s="103"/>
      <c r="H634" s="103"/>
      <c r="I634" s="90">
        <f t="shared" si="88"/>
        <v>0</v>
      </c>
      <c r="J634" s="90">
        <f t="shared" si="89"/>
        <v>0</v>
      </c>
      <c r="K634" s="91">
        <f t="shared" si="86"/>
        <v>0.72916666666666674</v>
      </c>
      <c r="L634" s="91">
        <f t="shared" si="87"/>
        <v>3.333333333333333</v>
      </c>
      <c r="M634" s="29">
        <f t="shared" si="90"/>
        <v>12</v>
      </c>
      <c r="N634" s="92">
        <f t="shared" si="91"/>
        <v>0</v>
      </c>
      <c r="O634" s="104">
        <f t="shared" si="71"/>
        <v>1.016</v>
      </c>
      <c r="P634" s="105">
        <f t="shared" si="92"/>
        <v>0</v>
      </c>
    </row>
    <row r="635" spans="2:16" x14ac:dyDescent="0.25">
      <c r="B635" s="88" t="s">
        <v>18</v>
      </c>
      <c r="C635" s="106">
        <f t="shared" si="93"/>
        <v>2020</v>
      </c>
      <c r="D635" s="101">
        <v>44194</v>
      </c>
      <c r="E635" s="102"/>
      <c r="F635" s="103"/>
      <c r="G635" s="103"/>
      <c r="H635" s="103"/>
      <c r="I635" s="90">
        <f t="shared" si="88"/>
        <v>0</v>
      </c>
      <c r="J635" s="90">
        <f t="shared" si="89"/>
        <v>0</v>
      </c>
      <c r="K635" s="91">
        <f t="shared" si="86"/>
        <v>0.72916666666666674</v>
      </c>
      <c r="L635" s="91">
        <f t="shared" si="87"/>
        <v>3.333333333333333</v>
      </c>
      <c r="M635" s="29">
        <f t="shared" si="90"/>
        <v>12</v>
      </c>
      <c r="N635" s="92">
        <f t="shared" si="91"/>
        <v>0</v>
      </c>
      <c r="O635" s="104">
        <f t="shared" si="71"/>
        <v>1.016</v>
      </c>
      <c r="P635" s="105">
        <f t="shared" si="92"/>
        <v>0</v>
      </c>
    </row>
    <row r="636" spans="2:16" x14ac:dyDescent="0.25">
      <c r="B636" s="88" t="s">
        <v>18</v>
      </c>
      <c r="C636" s="106">
        <f t="shared" si="93"/>
        <v>2020</v>
      </c>
      <c r="D636" s="101">
        <v>44195</v>
      </c>
      <c r="E636" s="102"/>
      <c r="F636" s="103"/>
      <c r="G636" s="103"/>
      <c r="H636" s="103"/>
      <c r="I636" s="90">
        <f t="shared" si="88"/>
        <v>0</v>
      </c>
      <c r="J636" s="90">
        <f t="shared" si="89"/>
        <v>0</v>
      </c>
      <c r="K636" s="91">
        <f t="shared" si="86"/>
        <v>0.72916666666666674</v>
      </c>
      <c r="L636" s="91">
        <f t="shared" si="87"/>
        <v>3.333333333333333</v>
      </c>
      <c r="M636" s="29">
        <f t="shared" si="90"/>
        <v>12</v>
      </c>
      <c r="N636" s="92">
        <f t="shared" si="91"/>
        <v>0</v>
      </c>
      <c r="O636" s="104">
        <f t="shared" si="71"/>
        <v>1.016</v>
      </c>
      <c r="P636" s="105">
        <f t="shared" si="92"/>
        <v>0</v>
      </c>
    </row>
    <row r="637" spans="2:16" x14ac:dyDescent="0.25">
      <c r="B637" s="88" t="s">
        <v>18</v>
      </c>
      <c r="C637" s="106">
        <f t="shared" si="93"/>
        <v>2020</v>
      </c>
      <c r="D637" s="101">
        <v>44196</v>
      </c>
      <c r="E637" s="102">
        <v>0.75</v>
      </c>
      <c r="F637" s="103">
        <v>0.77083333333333337</v>
      </c>
      <c r="G637" s="103">
        <v>0.75</v>
      </c>
      <c r="H637" s="103">
        <v>0.77083333333333337</v>
      </c>
      <c r="I637" s="90">
        <f t="shared" si="88"/>
        <v>0.50000000000000089</v>
      </c>
      <c r="J637" s="90">
        <f t="shared" si="89"/>
        <v>0.50000000000000089</v>
      </c>
      <c r="K637" s="91">
        <f t="shared" si="86"/>
        <v>0.72916666666666674</v>
      </c>
      <c r="L637" s="91">
        <f t="shared" si="87"/>
        <v>3.333333333333333</v>
      </c>
      <c r="M637" s="29">
        <f t="shared" si="90"/>
        <v>12</v>
      </c>
      <c r="N637" s="92">
        <f t="shared" si="91"/>
        <v>0.50000000000000089</v>
      </c>
      <c r="O637" s="104">
        <f t="shared" si="71"/>
        <v>1.016</v>
      </c>
      <c r="P637" s="105">
        <f t="shared" si="92"/>
        <v>4.267200000000007</v>
      </c>
    </row>
    <row r="638" spans="2:16" ht="15" thickBot="1" x14ac:dyDescent="0.3">
      <c r="B638" s="97"/>
      <c r="C638" s="97"/>
      <c r="D638" s="97"/>
      <c r="E638" s="97"/>
      <c r="F638" s="97"/>
      <c r="G638" s="97"/>
      <c r="H638" s="97"/>
      <c r="I638" s="97"/>
      <c r="J638" s="97"/>
      <c r="K638" s="97"/>
      <c r="L638" s="97"/>
      <c r="M638" s="97"/>
      <c r="N638" s="97"/>
      <c r="O638" s="97"/>
      <c r="P638" s="97"/>
    </row>
    <row r="639" spans="2:16" ht="15" thickTop="1" x14ac:dyDescent="0.25">
      <c r="P639" s="96"/>
    </row>
    <row r="640" spans="2:16" x14ac:dyDescent="0.25">
      <c r="B640" s="178" t="s">
        <v>183</v>
      </c>
      <c r="C640" s="178"/>
      <c r="D640" s="178"/>
      <c r="E640" s="178"/>
      <c r="F640" s="178"/>
      <c r="G640" s="178"/>
      <c r="H640" s="178"/>
      <c r="I640" s="178"/>
      <c r="J640" s="178"/>
      <c r="K640" s="178"/>
      <c r="L640" s="178"/>
      <c r="M640" s="70"/>
      <c r="N640" s="70"/>
      <c r="O640" s="70"/>
      <c r="P640" s="70"/>
    </row>
    <row r="641" spans="2:12" ht="15.75" x14ac:dyDescent="0.25">
      <c r="B641" s="148" t="s">
        <v>17</v>
      </c>
      <c r="C641" s="148"/>
      <c r="D641" s="148" t="s">
        <v>218</v>
      </c>
      <c r="E641" s="148"/>
      <c r="F641" s="148"/>
      <c r="G641" s="148" t="s">
        <v>219</v>
      </c>
      <c r="H641" s="148"/>
      <c r="I641" s="148"/>
      <c r="J641" s="148" t="s">
        <v>220</v>
      </c>
      <c r="K641" s="148"/>
      <c r="L641" s="148"/>
    </row>
    <row r="642" spans="2:12" ht="71.25" x14ac:dyDescent="0.25">
      <c r="B642" s="148"/>
      <c r="C642" s="148"/>
      <c r="D642" s="107" t="s">
        <v>221</v>
      </c>
      <c r="E642" s="107" t="s">
        <v>222</v>
      </c>
      <c r="F642" s="107" t="s">
        <v>223</v>
      </c>
      <c r="G642" s="107" t="s">
        <v>224</v>
      </c>
      <c r="H642" s="107" t="s">
        <v>225</v>
      </c>
      <c r="I642" s="107" t="s">
        <v>226</v>
      </c>
      <c r="J642" s="107" t="s">
        <v>227</v>
      </c>
      <c r="K642" s="107" t="s">
        <v>228</v>
      </c>
      <c r="L642" s="107" t="s">
        <v>229</v>
      </c>
    </row>
    <row r="643" spans="2:12" x14ac:dyDescent="0.25">
      <c r="B643" s="180" t="str">
        <f>B14</f>
        <v>Fazenda Ramella</v>
      </c>
      <c r="C643" s="180"/>
      <c r="D643" s="68">
        <f>AVERAGE(I27:I637)</f>
        <v>9.5744680851063829E-2</v>
      </c>
      <c r="E643" s="92">
        <f>VLOOKUP(B643,$B$5:$J$17,5,FALSE)</f>
        <v>0.72916666666666674</v>
      </c>
      <c r="F643" s="108">
        <f>LARGE(D643:E643,1)</f>
        <v>0.72916666666666674</v>
      </c>
      <c r="G643" s="68">
        <f>AVERAGE(J27:J637)</f>
        <v>9.5744680851063829E-2</v>
      </c>
      <c r="H643" s="68">
        <f>VLOOKUP(B643,$B$5:$J$17,6,FALSE)</f>
        <v>3.333333333333333</v>
      </c>
      <c r="I643" s="109">
        <f>LARGE(G643:H643,1)</f>
        <v>3.333333333333333</v>
      </c>
      <c r="J643" s="68">
        <f>AVERAGE(P27:P637)</f>
        <v>0.81712340425531904</v>
      </c>
      <c r="K643" s="68">
        <f>O10</f>
        <v>4.6621458904109589</v>
      </c>
      <c r="L643" s="109">
        <f>LARGE(J643:K643,1)</f>
        <v>4.6621458904109589</v>
      </c>
    </row>
    <row r="1396" spans="17:18" x14ac:dyDescent="0.25">
      <c r="Q1396" s="70"/>
      <c r="R1396" s="70"/>
    </row>
    <row r="1397" spans="17:18" x14ac:dyDescent="0.25">
      <c r="Q1397" s="70"/>
      <c r="R1397" s="70"/>
    </row>
    <row r="1398" spans="17:18" x14ac:dyDescent="0.25">
      <c r="Q1398" s="70"/>
      <c r="R1398" s="70"/>
    </row>
    <row r="1399" spans="17:18" ht="15" customHeight="1" x14ac:dyDescent="0.25"/>
  </sheetData>
  <mergeCells count="41">
    <mergeCell ref="B643:C643"/>
    <mergeCell ref="J25:J26"/>
    <mergeCell ref="K25:K26"/>
    <mergeCell ref="L25:L26"/>
    <mergeCell ref="M25:P25"/>
    <mergeCell ref="B640:L640"/>
    <mergeCell ref="B641:C642"/>
    <mergeCell ref="D641:F641"/>
    <mergeCell ref="G641:I641"/>
    <mergeCell ref="J641:L641"/>
    <mergeCell ref="B25:B26"/>
    <mergeCell ref="C25:C26"/>
    <mergeCell ref="D25:D26"/>
    <mergeCell ref="E25:F25"/>
    <mergeCell ref="G25:H25"/>
    <mergeCell ref="I25:I26"/>
    <mergeCell ref="B24:P24"/>
    <mergeCell ref="L10:N10"/>
    <mergeCell ref="B11:C11"/>
    <mergeCell ref="B12:C12"/>
    <mergeCell ref="B13:C13"/>
    <mergeCell ref="B14:C14"/>
    <mergeCell ref="B15:C15"/>
    <mergeCell ref="B10:C10"/>
    <mergeCell ref="B16:C16"/>
    <mergeCell ref="B17:C17"/>
    <mergeCell ref="B19:C19"/>
    <mergeCell ref="B20:C20"/>
    <mergeCell ref="B21:C21"/>
    <mergeCell ref="B5:C5"/>
    <mergeCell ref="B6:C6"/>
    <mergeCell ref="B7:C7"/>
    <mergeCell ref="B8:C8"/>
    <mergeCell ref="B9:C9"/>
    <mergeCell ref="B1:O1"/>
    <mergeCell ref="B2:G2"/>
    <mergeCell ref="I2:J3"/>
    <mergeCell ref="L2:O3"/>
    <mergeCell ref="B3:C4"/>
    <mergeCell ref="D3:E3"/>
    <mergeCell ref="F3:G3"/>
  </mergeCells>
  <pageMargins left="0.511811024" right="0.511811024" top="0.78740157499999996" bottom="0.78740157499999996" header="0.31496062000000002" footer="0.31496062000000002"/>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EA12-5F1F-4106-ACD9-A2AEB380176B}">
  <sheetPr>
    <tabColor theme="0" tint="-0.249977111117893"/>
  </sheetPr>
  <dimension ref="B1:R36"/>
  <sheetViews>
    <sheetView showGridLines="0" zoomScale="80" zoomScaleNormal="80" workbookViewId="0">
      <selection activeCell="B19" sqref="B19"/>
    </sheetView>
  </sheetViews>
  <sheetFormatPr defaultRowHeight="15" x14ac:dyDescent="0.25"/>
  <cols>
    <col min="1" max="6" width="9.140625" style="110"/>
    <col min="7" max="7" width="13.85546875" style="110" customWidth="1"/>
    <col min="8" max="9" width="9.140625" style="110"/>
    <col min="10" max="10" width="9.5703125" style="110" bestFit="1" customWidth="1"/>
    <col min="11" max="11" width="9.140625" style="110"/>
    <col min="12" max="12" width="10.28515625" style="110" bestFit="1" customWidth="1"/>
    <col min="13" max="16" width="9.140625" style="110"/>
    <col min="17" max="17" width="11.5703125" style="110" bestFit="1" customWidth="1"/>
    <col min="18" max="18" width="10.5703125" style="110" customWidth="1"/>
    <col min="19" max="262" width="9.140625" style="110"/>
    <col min="263" max="263" width="13.85546875" style="110" customWidth="1"/>
    <col min="264" max="265" width="9.140625" style="110"/>
    <col min="266" max="266" width="9.5703125" style="110" bestFit="1" customWidth="1"/>
    <col min="267" max="267" width="9.140625" style="110"/>
    <col min="268" max="268" width="10.28515625" style="110" bestFit="1" customWidth="1"/>
    <col min="269" max="272" width="9.140625" style="110"/>
    <col min="273" max="273" width="11.5703125" style="110" bestFit="1" customWidth="1"/>
    <col min="274" max="274" width="10.5703125" style="110" customWidth="1"/>
    <col min="275" max="518" width="9.140625" style="110"/>
    <col min="519" max="519" width="13.85546875" style="110" customWidth="1"/>
    <col min="520" max="521" width="9.140625" style="110"/>
    <col min="522" max="522" width="9.5703125" style="110" bestFit="1" customWidth="1"/>
    <col min="523" max="523" width="9.140625" style="110"/>
    <col min="524" max="524" width="10.28515625" style="110" bestFit="1" customWidth="1"/>
    <col min="525" max="528" width="9.140625" style="110"/>
    <col min="529" max="529" width="11.5703125" style="110" bestFit="1" customWidth="1"/>
    <col min="530" max="530" width="10.5703125" style="110" customWidth="1"/>
    <col min="531" max="774" width="9.140625" style="110"/>
    <col min="775" max="775" width="13.85546875" style="110" customWidth="1"/>
    <col min="776" max="777" width="9.140625" style="110"/>
    <col min="778" max="778" width="9.5703125" style="110" bestFit="1" customWidth="1"/>
    <col min="779" max="779" width="9.140625" style="110"/>
    <col min="780" max="780" width="10.28515625" style="110" bestFit="1" customWidth="1"/>
    <col min="781" max="784" width="9.140625" style="110"/>
    <col min="785" max="785" width="11.5703125" style="110" bestFit="1" customWidth="1"/>
    <col min="786" max="786" width="10.5703125" style="110" customWidth="1"/>
    <col min="787" max="1030" width="9.140625" style="110"/>
    <col min="1031" max="1031" width="13.85546875" style="110" customWidth="1"/>
    <col min="1032" max="1033" width="9.140625" style="110"/>
    <col min="1034" max="1034" width="9.5703125" style="110" bestFit="1" customWidth="1"/>
    <col min="1035" max="1035" width="9.140625" style="110"/>
    <col min="1036" max="1036" width="10.28515625" style="110" bestFit="1" customWidth="1"/>
    <col min="1037" max="1040" width="9.140625" style="110"/>
    <col min="1041" max="1041" width="11.5703125" style="110" bestFit="1" customWidth="1"/>
    <col min="1042" max="1042" width="10.5703125" style="110" customWidth="1"/>
    <col min="1043" max="1286" width="9.140625" style="110"/>
    <col min="1287" max="1287" width="13.85546875" style="110" customWidth="1"/>
    <col min="1288" max="1289" width="9.140625" style="110"/>
    <col min="1290" max="1290" width="9.5703125" style="110" bestFit="1" customWidth="1"/>
    <col min="1291" max="1291" width="9.140625" style="110"/>
    <col min="1292" max="1292" width="10.28515625" style="110" bestFit="1" customWidth="1"/>
    <col min="1293" max="1296" width="9.140625" style="110"/>
    <col min="1297" max="1297" width="11.5703125" style="110" bestFit="1" customWidth="1"/>
    <col min="1298" max="1298" width="10.5703125" style="110" customWidth="1"/>
    <col min="1299" max="1542" width="9.140625" style="110"/>
    <col min="1543" max="1543" width="13.85546875" style="110" customWidth="1"/>
    <col min="1544" max="1545" width="9.140625" style="110"/>
    <col min="1546" max="1546" width="9.5703125" style="110" bestFit="1" customWidth="1"/>
    <col min="1547" max="1547" width="9.140625" style="110"/>
    <col min="1548" max="1548" width="10.28515625" style="110" bestFit="1" customWidth="1"/>
    <col min="1549" max="1552" width="9.140625" style="110"/>
    <col min="1553" max="1553" width="11.5703125" style="110" bestFit="1" customWidth="1"/>
    <col min="1554" max="1554" width="10.5703125" style="110" customWidth="1"/>
    <col min="1555" max="1798" width="9.140625" style="110"/>
    <col min="1799" max="1799" width="13.85546875" style="110" customWidth="1"/>
    <col min="1800" max="1801" width="9.140625" style="110"/>
    <col min="1802" max="1802" width="9.5703125" style="110" bestFit="1" customWidth="1"/>
    <col min="1803" max="1803" width="9.140625" style="110"/>
    <col min="1804" max="1804" width="10.28515625" style="110" bestFit="1" customWidth="1"/>
    <col min="1805" max="1808" width="9.140625" style="110"/>
    <col min="1809" max="1809" width="11.5703125" style="110" bestFit="1" customWidth="1"/>
    <col min="1810" max="1810" width="10.5703125" style="110" customWidth="1"/>
    <col min="1811" max="2054" width="9.140625" style="110"/>
    <col min="2055" max="2055" width="13.85546875" style="110" customWidth="1"/>
    <col min="2056" max="2057" width="9.140625" style="110"/>
    <col min="2058" max="2058" width="9.5703125" style="110" bestFit="1" customWidth="1"/>
    <col min="2059" max="2059" width="9.140625" style="110"/>
    <col min="2060" max="2060" width="10.28515625" style="110" bestFit="1" customWidth="1"/>
    <col min="2061" max="2064" width="9.140625" style="110"/>
    <col min="2065" max="2065" width="11.5703125" style="110" bestFit="1" customWidth="1"/>
    <col min="2066" max="2066" width="10.5703125" style="110" customWidth="1"/>
    <col min="2067" max="2310" width="9.140625" style="110"/>
    <col min="2311" max="2311" width="13.85546875" style="110" customWidth="1"/>
    <col min="2312" max="2313" width="9.140625" style="110"/>
    <col min="2314" max="2314" width="9.5703125" style="110" bestFit="1" customWidth="1"/>
    <col min="2315" max="2315" width="9.140625" style="110"/>
    <col min="2316" max="2316" width="10.28515625" style="110" bestFit="1" customWidth="1"/>
    <col min="2317" max="2320" width="9.140625" style="110"/>
    <col min="2321" max="2321" width="11.5703125" style="110" bestFit="1" customWidth="1"/>
    <col min="2322" max="2322" width="10.5703125" style="110" customWidth="1"/>
    <col min="2323" max="2566" width="9.140625" style="110"/>
    <col min="2567" max="2567" width="13.85546875" style="110" customWidth="1"/>
    <col min="2568" max="2569" width="9.140625" style="110"/>
    <col min="2570" max="2570" width="9.5703125" style="110" bestFit="1" customWidth="1"/>
    <col min="2571" max="2571" width="9.140625" style="110"/>
    <col min="2572" max="2572" width="10.28515625" style="110" bestFit="1" customWidth="1"/>
    <col min="2573" max="2576" width="9.140625" style="110"/>
    <col min="2577" max="2577" width="11.5703125" style="110" bestFit="1" customWidth="1"/>
    <col min="2578" max="2578" width="10.5703125" style="110" customWidth="1"/>
    <col min="2579" max="2822" width="9.140625" style="110"/>
    <col min="2823" max="2823" width="13.85546875" style="110" customWidth="1"/>
    <col min="2824" max="2825" width="9.140625" style="110"/>
    <col min="2826" max="2826" width="9.5703125" style="110" bestFit="1" customWidth="1"/>
    <col min="2827" max="2827" width="9.140625" style="110"/>
    <col min="2828" max="2828" width="10.28515625" style="110" bestFit="1" customWidth="1"/>
    <col min="2829" max="2832" width="9.140625" style="110"/>
    <col min="2833" max="2833" width="11.5703125" style="110" bestFit="1" customWidth="1"/>
    <col min="2834" max="2834" width="10.5703125" style="110" customWidth="1"/>
    <col min="2835" max="3078" width="9.140625" style="110"/>
    <col min="3079" max="3079" width="13.85546875" style="110" customWidth="1"/>
    <col min="3080" max="3081" width="9.140625" style="110"/>
    <col min="3082" max="3082" width="9.5703125" style="110" bestFit="1" customWidth="1"/>
    <col min="3083" max="3083" width="9.140625" style="110"/>
    <col min="3084" max="3084" width="10.28515625" style="110" bestFit="1" customWidth="1"/>
    <col min="3085" max="3088" width="9.140625" style="110"/>
    <col min="3089" max="3089" width="11.5703125" style="110" bestFit="1" customWidth="1"/>
    <col min="3090" max="3090" width="10.5703125" style="110" customWidth="1"/>
    <col min="3091" max="3334" width="9.140625" style="110"/>
    <col min="3335" max="3335" width="13.85546875" style="110" customWidth="1"/>
    <col min="3336" max="3337" width="9.140625" style="110"/>
    <col min="3338" max="3338" width="9.5703125" style="110" bestFit="1" customWidth="1"/>
    <col min="3339" max="3339" width="9.140625" style="110"/>
    <col min="3340" max="3340" width="10.28515625" style="110" bestFit="1" customWidth="1"/>
    <col min="3341" max="3344" width="9.140625" style="110"/>
    <col min="3345" max="3345" width="11.5703125" style="110" bestFit="1" customWidth="1"/>
    <col min="3346" max="3346" width="10.5703125" style="110" customWidth="1"/>
    <col min="3347" max="3590" width="9.140625" style="110"/>
    <col min="3591" max="3591" width="13.85546875" style="110" customWidth="1"/>
    <col min="3592" max="3593" width="9.140625" style="110"/>
    <col min="3594" max="3594" width="9.5703125" style="110" bestFit="1" customWidth="1"/>
    <col min="3595" max="3595" width="9.140625" style="110"/>
    <col min="3596" max="3596" width="10.28515625" style="110" bestFit="1" customWidth="1"/>
    <col min="3597" max="3600" width="9.140625" style="110"/>
    <col min="3601" max="3601" width="11.5703125" style="110" bestFit="1" customWidth="1"/>
    <col min="3602" max="3602" width="10.5703125" style="110" customWidth="1"/>
    <col min="3603" max="3846" width="9.140625" style="110"/>
    <col min="3847" max="3847" width="13.85546875" style="110" customWidth="1"/>
    <col min="3848" max="3849" width="9.140625" style="110"/>
    <col min="3850" max="3850" width="9.5703125" style="110" bestFit="1" customWidth="1"/>
    <col min="3851" max="3851" width="9.140625" style="110"/>
    <col min="3852" max="3852" width="10.28515625" style="110" bestFit="1" customWidth="1"/>
    <col min="3853" max="3856" width="9.140625" style="110"/>
    <col min="3857" max="3857" width="11.5703125" style="110" bestFit="1" customWidth="1"/>
    <col min="3858" max="3858" width="10.5703125" style="110" customWidth="1"/>
    <col min="3859" max="4102" width="9.140625" style="110"/>
    <col min="4103" max="4103" width="13.85546875" style="110" customWidth="1"/>
    <col min="4104" max="4105" width="9.140625" style="110"/>
    <col min="4106" max="4106" width="9.5703125" style="110" bestFit="1" customWidth="1"/>
    <col min="4107" max="4107" width="9.140625" style="110"/>
    <col min="4108" max="4108" width="10.28515625" style="110" bestFit="1" customWidth="1"/>
    <col min="4109" max="4112" width="9.140625" style="110"/>
    <col min="4113" max="4113" width="11.5703125" style="110" bestFit="1" customWidth="1"/>
    <col min="4114" max="4114" width="10.5703125" style="110" customWidth="1"/>
    <col min="4115" max="4358" width="9.140625" style="110"/>
    <col min="4359" max="4359" width="13.85546875" style="110" customWidth="1"/>
    <col min="4360" max="4361" width="9.140625" style="110"/>
    <col min="4362" max="4362" width="9.5703125" style="110" bestFit="1" customWidth="1"/>
    <col min="4363" max="4363" width="9.140625" style="110"/>
    <col min="4364" max="4364" width="10.28515625" style="110" bestFit="1" customWidth="1"/>
    <col min="4365" max="4368" width="9.140625" style="110"/>
    <col min="4369" max="4369" width="11.5703125" style="110" bestFit="1" customWidth="1"/>
    <col min="4370" max="4370" width="10.5703125" style="110" customWidth="1"/>
    <col min="4371" max="4614" width="9.140625" style="110"/>
    <col min="4615" max="4615" width="13.85546875" style="110" customWidth="1"/>
    <col min="4616" max="4617" width="9.140625" style="110"/>
    <col min="4618" max="4618" width="9.5703125" style="110" bestFit="1" customWidth="1"/>
    <col min="4619" max="4619" width="9.140625" style="110"/>
    <col min="4620" max="4620" width="10.28515625" style="110" bestFit="1" customWidth="1"/>
    <col min="4621" max="4624" width="9.140625" style="110"/>
    <col min="4625" max="4625" width="11.5703125" style="110" bestFit="1" customWidth="1"/>
    <col min="4626" max="4626" width="10.5703125" style="110" customWidth="1"/>
    <col min="4627" max="4870" width="9.140625" style="110"/>
    <col min="4871" max="4871" width="13.85546875" style="110" customWidth="1"/>
    <col min="4872" max="4873" width="9.140625" style="110"/>
    <col min="4874" max="4874" width="9.5703125" style="110" bestFit="1" customWidth="1"/>
    <col min="4875" max="4875" width="9.140625" style="110"/>
    <col min="4876" max="4876" width="10.28515625" style="110" bestFit="1" customWidth="1"/>
    <col min="4877" max="4880" width="9.140625" style="110"/>
    <col min="4881" max="4881" width="11.5703125" style="110" bestFit="1" customWidth="1"/>
    <col min="4882" max="4882" width="10.5703125" style="110" customWidth="1"/>
    <col min="4883" max="5126" width="9.140625" style="110"/>
    <col min="5127" max="5127" width="13.85546875" style="110" customWidth="1"/>
    <col min="5128" max="5129" width="9.140625" style="110"/>
    <col min="5130" max="5130" width="9.5703125" style="110" bestFit="1" customWidth="1"/>
    <col min="5131" max="5131" width="9.140625" style="110"/>
    <col min="5132" max="5132" width="10.28515625" style="110" bestFit="1" customWidth="1"/>
    <col min="5133" max="5136" width="9.140625" style="110"/>
    <col min="5137" max="5137" width="11.5703125" style="110" bestFit="1" customWidth="1"/>
    <col min="5138" max="5138" width="10.5703125" style="110" customWidth="1"/>
    <col min="5139" max="5382" width="9.140625" style="110"/>
    <col min="5383" max="5383" width="13.85546875" style="110" customWidth="1"/>
    <col min="5384" max="5385" width="9.140625" style="110"/>
    <col min="5386" max="5386" width="9.5703125" style="110" bestFit="1" customWidth="1"/>
    <col min="5387" max="5387" width="9.140625" style="110"/>
    <col min="5388" max="5388" width="10.28515625" style="110" bestFit="1" customWidth="1"/>
    <col min="5389" max="5392" width="9.140625" style="110"/>
    <col min="5393" max="5393" width="11.5703125" style="110" bestFit="1" customWidth="1"/>
    <col min="5394" max="5394" width="10.5703125" style="110" customWidth="1"/>
    <col min="5395" max="5638" width="9.140625" style="110"/>
    <col min="5639" max="5639" width="13.85546875" style="110" customWidth="1"/>
    <col min="5640" max="5641" width="9.140625" style="110"/>
    <col min="5642" max="5642" width="9.5703125" style="110" bestFit="1" customWidth="1"/>
    <col min="5643" max="5643" width="9.140625" style="110"/>
    <col min="5644" max="5644" width="10.28515625" style="110" bestFit="1" customWidth="1"/>
    <col min="5645" max="5648" width="9.140625" style="110"/>
    <col min="5649" max="5649" width="11.5703125" style="110" bestFit="1" customWidth="1"/>
    <col min="5650" max="5650" width="10.5703125" style="110" customWidth="1"/>
    <col min="5651" max="5894" width="9.140625" style="110"/>
    <col min="5895" max="5895" width="13.85546875" style="110" customWidth="1"/>
    <col min="5896" max="5897" width="9.140625" style="110"/>
    <col min="5898" max="5898" width="9.5703125" style="110" bestFit="1" customWidth="1"/>
    <col min="5899" max="5899" width="9.140625" style="110"/>
    <col min="5900" max="5900" width="10.28515625" style="110" bestFit="1" customWidth="1"/>
    <col min="5901" max="5904" width="9.140625" style="110"/>
    <col min="5905" max="5905" width="11.5703125" style="110" bestFit="1" customWidth="1"/>
    <col min="5906" max="5906" width="10.5703125" style="110" customWidth="1"/>
    <col min="5907" max="6150" width="9.140625" style="110"/>
    <col min="6151" max="6151" width="13.85546875" style="110" customWidth="1"/>
    <col min="6152" max="6153" width="9.140625" style="110"/>
    <col min="6154" max="6154" width="9.5703125" style="110" bestFit="1" customWidth="1"/>
    <col min="6155" max="6155" width="9.140625" style="110"/>
    <col min="6156" max="6156" width="10.28515625" style="110" bestFit="1" customWidth="1"/>
    <col min="6157" max="6160" width="9.140625" style="110"/>
    <col min="6161" max="6161" width="11.5703125" style="110" bestFit="1" customWidth="1"/>
    <col min="6162" max="6162" width="10.5703125" style="110" customWidth="1"/>
    <col min="6163" max="6406" width="9.140625" style="110"/>
    <col min="6407" max="6407" width="13.85546875" style="110" customWidth="1"/>
    <col min="6408" max="6409" width="9.140625" style="110"/>
    <col min="6410" max="6410" width="9.5703125" style="110" bestFit="1" customWidth="1"/>
    <col min="6411" max="6411" width="9.140625" style="110"/>
    <col min="6412" max="6412" width="10.28515625" style="110" bestFit="1" customWidth="1"/>
    <col min="6413" max="6416" width="9.140625" style="110"/>
    <col min="6417" max="6417" width="11.5703125" style="110" bestFit="1" customWidth="1"/>
    <col min="6418" max="6418" width="10.5703125" style="110" customWidth="1"/>
    <col min="6419" max="6662" width="9.140625" style="110"/>
    <col min="6663" max="6663" width="13.85546875" style="110" customWidth="1"/>
    <col min="6664" max="6665" width="9.140625" style="110"/>
    <col min="6666" max="6666" width="9.5703125" style="110" bestFit="1" customWidth="1"/>
    <col min="6667" max="6667" width="9.140625" style="110"/>
    <col min="6668" max="6668" width="10.28515625" style="110" bestFit="1" customWidth="1"/>
    <col min="6669" max="6672" width="9.140625" style="110"/>
    <col min="6673" max="6673" width="11.5703125" style="110" bestFit="1" customWidth="1"/>
    <col min="6674" max="6674" width="10.5703125" style="110" customWidth="1"/>
    <col min="6675" max="6918" width="9.140625" style="110"/>
    <col min="6919" max="6919" width="13.85546875" style="110" customWidth="1"/>
    <col min="6920" max="6921" width="9.140625" style="110"/>
    <col min="6922" max="6922" width="9.5703125" style="110" bestFit="1" customWidth="1"/>
    <col min="6923" max="6923" width="9.140625" style="110"/>
    <col min="6924" max="6924" width="10.28515625" style="110" bestFit="1" customWidth="1"/>
    <col min="6925" max="6928" width="9.140625" style="110"/>
    <col min="6929" max="6929" width="11.5703125" style="110" bestFit="1" customWidth="1"/>
    <col min="6930" max="6930" width="10.5703125" style="110" customWidth="1"/>
    <col min="6931" max="7174" width="9.140625" style="110"/>
    <col min="7175" max="7175" width="13.85546875" style="110" customWidth="1"/>
    <col min="7176" max="7177" width="9.140625" style="110"/>
    <col min="7178" max="7178" width="9.5703125" style="110" bestFit="1" customWidth="1"/>
    <col min="7179" max="7179" width="9.140625" style="110"/>
    <col min="7180" max="7180" width="10.28515625" style="110" bestFit="1" customWidth="1"/>
    <col min="7181" max="7184" width="9.140625" style="110"/>
    <col min="7185" max="7185" width="11.5703125" style="110" bestFit="1" customWidth="1"/>
    <col min="7186" max="7186" width="10.5703125" style="110" customWidth="1"/>
    <col min="7187" max="7430" width="9.140625" style="110"/>
    <col min="7431" max="7431" width="13.85546875" style="110" customWidth="1"/>
    <col min="7432" max="7433" width="9.140625" style="110"/>
    <col min="7434" max="7434" width="9.5703125" style="110" bestFit="1" customWidth="1"/>
    <col min="7435" max="7435" width="9.140625" style="110"/>
    <col min="7436" max="7436" width="10.28515625" style="110" bestFit="1" customWidth="1"/>
    <col min="7437" max="7440" width="9.140625" style="110"/>
    <col min="7441" max="7441" width="11.5703125" style="110" bestFit="1" customWidth="1"/>
    <col min="7442" max="7442" width="10.5703125" style="110" customWidth="1"/>
    <col min="7443" max="7686" width="9.140625" style="110"/>
    <col min="7687" max="7687" width="13.85546875" style="110" customWidth="1"/>
    <col min="7688" max="7689" width="9.140625" style="110"/>
    <col min="7690" max="7690" width="9.5703125" style="110" bestFit="1" customWidth="1"/>
    <col min="7691" max="7691" width="9.140625" style="110"/>
    <col min="7692" max="7692" width="10.28515625" style="110" bestFit="1" customWidth="1"/>
    <col min="7693" max="7696" width="9.140625" style="110"/>
    <col min="7697" max="7697" width="11.5703125" style="110" bestFit="1" customWidth="1"/>
    <col min="7698" max="7698" width="10.5703125" style="110" customWidth="1"/>
    <col min="7699" max="7942" width="9.140625" style="110"/>
    <col min="7943" max="7943" width="13.85546875" style="110" customWidth="1"/>
    <col min="7944" max="7945" width="9.140625" style="110"/>
    <col min="7946" max="7946" width="9.5703125" style="110" bestFit="1" customWidth="1"/>
    <col min="7947" max="7947" width="9.140625" style="110"/>
    <col min="7948" max="7948" width="10.28515625" style="110" bestFit="1" customWidth="1"/>
    <col min="7949" max="7952" width="9.140625" style="110"/>
    <col min="7953" max="7953" width="11.5703125" style="110" bestFit="1" customWidth="1"/>
    <col min="7954" max="7954" width="10.5703125" style="110" customWidth="1"/>
    <col min="7955" max="8198" width="9.140625" style="110"/>
    <col min="8199" max="8199" width="13.85546875" style="110" customWidth="1"/>
    <col min="8200" max="8201" width="9.140625" style="110"/>
    <col min="8202" max="8202" width="9.5703125" style="110" bestFit="1" customWidth="1"/>
    <col min="8203" max="8203" width="9.140625" style="110"/>
    <col min="8204" max="8204" width="10.28515625" style="110" bestFit="1" customWidth="1"/>
    <col min="8205" max="8208" width="9.140625" style="110"/>
    <col min="8209" max="8209" width="11.5703125" style="110" bestFit="1" customWidth="1"/>
    <col min="8210" max="8210" width="10.5703125" style="110" customWidth="1"/>
    <col min="8211" max="8454" width="9.140625" style="110"/>
    <col min="8455" max="8455" width="13.85546875" style="110" customWidth="1"/>
    <col min="8456" max="8457" width="9.140625" style="110"/>
    <col min="8458" max="8458" width="9.5703125" style="110" bestFit="1" customWidth="1"/>
    <col min="8459" max="8459" width="9.140625" style="110"/>
    <col min="8460" max="8460" width="10.28515625" style="110" bestFit="1" customWidth="1"/>
    <col min="8461" max="8464" width="9.140625" style="110"/>
    <col min="8465" max="8465" width="11.5703125" style="110" bestFit="1" customWidth="1"/>
    <col min="8466" max="8466" width="10.5703125" style="110" customWidth="1"/>
    <col min="8467" max="8710" width="9.140625" style="110"/>
    <col min="8711" max="8711" width="13.85546875" style="110" customWidth="1"/>
    <col min="8712" max="8713" width="9.140625" style="110"/>
    <col min="8714" max="8714" width="9.5703125" style="110" bestFit="1" customWidth="1"/>
    <col min="8715" max="8715" width="9.140625" style="110"/>
    <col min="8716" max="8716" width="10.28515625" style="110" bestFit="1" customWidth="1"/>
    <col min="8717" max="8720" width="9.140625" style="110"/>
    <col min="8721" max="8721" width="11.5703125" style="110" bestFit="1" customWidth="1"/>
    <col min="8722" max="8722" width="10.5703125" style="110" customWidth="1"/>
    <col min="8723" max="8966" width="9.140625" style="110"/>
    <col min="8967" max="8967" width="13.85546875" style="110" customWidth="1"/>
    <col min="8968" max="8969" width="9.140625" style="110"/>
    <col min="8970" max="8970" width="9.5703125" style="110" bestFit="1" customWidth="1"/>
    <col min="8971" max="8971" width="9.140625" style="110"/>
    <col min="8972" max="8972" width="10.28515625" style="110" bestFit="1" customWidth="1"/>
    <col min="8973" max="8976" width="9.140625" style="110"/>
    <col min="8977" max="8977" width="11.5703125" style="110" bestFit="1" customWidth="1"/>
    <col min="8978" max="8978" width="10.5703125" style="110" customWidth="1"/>
    <col min="8979" max="9222" width="9.140625" style="110"/>
    <col min="9223" max="9223" width="13.85546875" style="110" customWidth="1"/>
    <col min="9224" max="9225" width="9.140625" style="110"/>
    <col min="9226" max="9226" width="9.5703125" style="110" bestFit="1" customWidth="1"/>
    <col min="9227" max="9227" width="9.140625" style="110"/>
    <col min="9228" max="9228" width="10.28515625" style="110" bestFit="1" customWidth="1"/>
    <col min="9229" max="9232" width="9.140625" style="110"/>
    <col min="9233" max="9233" width="11.5703125" style="110" bestFit="1" customWidth="1"/>
    <col min="9234" max="9234" width="10.5703125" style="110" customWidth="1"/>
    <col min="9235" max="9478" width="9.140625" style="110"/>
    <col min="9479" max="9479" width="13.85546875" style="110" customWidth="1"/>
    <col min="9480" max="9481" width="9.140625" style="110"/>
    <col min="9482" max="9482" width="9.5703125" style="110" bestFit="1" customWidth="1"/>
    <col min="9483" max="9483" width="9.140625" style="110"/>
    <col min="9484" max="9484" width="10.28515625" style="110" bestFit="1" customWidth="1"/>
    <col min="9485" max="9488" width="9.140625" style="110"/>
    <col min="9489" max="9489" width="11.5703125" style="110" bestFit="1" customWidth="1"/>
    <col min="9490" max="9490" width="10.5703125" style="110" customWidth="1"/>
    <col min="9491" max="9734" width="9.140625" style="110"/>
    <col min="9735" max="9735" width="13.85546875" style="110" customWidth="1"/>
    <col min="9736" max="9737" width="9.140625" style="110"/>
    <col min="9738" max="9738" width="9.5703125" style="110" bestFit="1" customWidth="1"/>
    <col min="9739" max="9739" width="9.140625" style="110"/>
    <col min="9740" max="9740" width="10.28515625" style="110" bestFit="1" customWidth="1"/>
    <col min="9741" max="9744" width="9.140625" style="110"/>
    <col min="9745" max="9745" width="11.5703125" style="110" bestFit="1" customWidth="1"/>
    <col min="9746" max="9746" width="10.5703125" style="110" customWidth="1"/>
    <col min="9747" max="9990" width="9.140625" style="110"/>
    <col min="9991" max="9991" width="13.85546875" style="110" customWidth="1"/>
    <col min="9992" max="9993" width="9.140625" style="110"/>
    <col min="9994" max="9994" width="9.5703125" style="110" bestFit="1" customWidth="1"/>
    <col min="9995" max="9995" width="9.140625" style="110"/>
    <col min="9996" max="9996" width="10.28515625" style="110" bestFit="1" customWidth="1"/>
    <col min="9997" max="10000" width="9.140625" style="110"/>
    <col min="10001" max="10001" width="11.5703125" style="110" bestFit="1" customWidth="1"/>
    <col min="10002" max="10002" width="10.5703125" style="110" customWidth="1"/>
    <col min="10003" max="10246" width="9.140625" style="110"/>
    <col min="10247" max="10247" width="13.85546875" style="110" customWidth="1"/>
    <col min="10248" max="10249" width="9.140625" style="110"/>
    <col min="10250" max="10250" width="9.5703125" style="110" bestFit="1" customWidth="1"/>
    <col min="10251" max="10251" width="9.140625" style="110"/>
    <col min="10252" max="10252" width="10.28515625" style="110" bestFit="1" customWidth="1"/>
    <col min="10253" max="10256" width="9.140625" style="110"/>
    <col min="10257" max="10257" width="11.5703125" style="110" bestFit="1" customWidth="1"/>
    <col min="10258" max="10258" width="10.5703125" style="110" customWidth="1"/>
    <col min="10259" max="10502" width="9.140625" style="110"/>
    <col min="10503" max="10503" width="13.85546875" style="110" customWidth="1"/>
    <col min="10504" max="10505" width="9.140625" style="110"/>
    <col min="10506" max="10506" width="9.5703125" style="110" bestFit="1" customWidth="1"/>
    <col min="10507" max="10507" width="9.140625" style="110"/>
    <col min="10508" max="10508" width="10.28515625" style="110" bestFit="1" customWidth="1"/>
    <col min="10509" max="10512" width="9.140625" style="110"/>
    <col min="10513" max="10513" width="11.5703125" style="110" bestFit="1" customWidth="1"/>
    <col min="10514" max="10514" width="10.5703125" style="110" customWidth="1"/>
    <col min="10515" max="10758" width="9.140625" style="110"/>
    <col min="10759" max="10759" width="13.85546875" style="110" customWidth="1"/>
    <col min="10760" max="10761" width="9.140625" style="110"/>
    <col min="10762" max="10762" width="9.5703125" style="110" bestFit="1" customWidth="1"/>
    <col min="10763" max="10763" width="9.140625" style="110"/>
    <col min="10764" max="10764" width="10.28515625" style="110" bestFit="1" customWidth="1"/>
    <col min="10765" max="10768" width="9.140625" style="110"/>
    <col min="10769" max="10769" width="11.5703125" style="110" bestFit="1" customWidth="1"/>
    <col min="10770" max="10770" width="10.5703125" style="110" customWidth="1"/>
    <col min="10771" max="11014" width="9.140625" style="110"/>
    <col min="11015" max="11015" width="13.85546875" style="110" customWidth="1"/>
    <col min="11016" max="11017" width="9.140625" style="110"/>
    <col min="11018" max="11018" width="9.5703125" style="110" bestFit="1" customWidth="1"/>
    <col min="11019" max="11019" width="9.140625" style="110"/>
    <col min="11020" max="11020" width="10.28515625" style="110" bestFit="1" customWidth="1"/>
    <col min="11021" max="11024" width="9.140625" style="110"/>
    <col min="11025" max="11025" width="11.5703125" style="110" bestFit="1" customWidth="1"/>
    <col min="11026" max="11026" width="10.5703125" style="110" customWidth="1"/>
    <col min="11027" max="11270" width="9.140625" style="110"/>
    <col min="11271" max="11271" width="13.85546875" style="110" customWidth="1"/>
    <col min="11272" max="11273" width="9.140625" style="110"/>
    <col min="11274" max="11274" width="9.5703125" style="110" bestFit="1" customWidth="1"/>
    <col min="11275" max="11275" width="9.140625" style="110"/>
    <col min="11276" max="11276" width="10.28515625" style="110" bestFit="1" customWidth="1"/>
    <col min="11277" max="11280" width="9.140625" style="110"/>
    <col min="11281" max="11281" width="11.5703125" style="110" bestFit="1" customWidth="1"/>
    <col min="11282" max="11282" width="10.5703125" style="110" customWidth="1"/>
    <col min="11283" max="11526" width="9.140625" style="110"/>
    <col min="11527" max="11527" width="13.85546875" style="110" customWidth="1"/>
    <col min="11528" max="11529" width="9.140625" style="110"/>
    <col min="11530" max="11530" width="9.5703125" style="110" bestFit="1" customWidth="1"/>
    <col min="11531" max="11531" width="9.140625" style="110"/>
    <col min="11532" max="11532" width="10.28515625" style="110" bestFit="1" customWidth="1"/>
    <col min="11533" max="11536" width="9.140625" style="110"/>
    <col min="11537" max="11537" width="11.5703125" style="110" bestFit="1" customWidth="1"/>
    <col min="11538" max="11538" width="10.5703125" style="110" customWidth="1"/>
    <col min="11539" max="11782" width="9.140625" style="110"/>
    <col min="11783" max="11783" width="13.85546875" style="110" customWidth="1"/>
    <col min="11784" max="11785" width="9.140625" style="110"/>
    <col min="11786" max="11786" width="9.5703125" style="110" bestFit="1" customWidth="1"/>
    <col min="11787" max="11787" width="9.140625" style="110"/>
    <col min="11788" max="11788" width="10.28515625" style="110" bestFit="1" customWidth="1"/>
    <col min="11789" max="11792" width="9.140625" style="110"/>
    <col min="11793" max="11793" width="11.5703125" style="110" bestFit="1" customWidth="1"/>
    <col min="11794" max="11794" width="10.5703125" style="110" customWidth="1"/>
    <col min="11795" max="12038" width="9.140625" style="110"/>
    <col min="12039" max="12039" width="13.85546875" style="110" customWidth="1"/>
    <col min="12040" max="12041" width="9.140625" style="110"/>
    <col min="12042" max="12042" width="9.5703125" style="110" bestFit="1" customWidth="1"/>
    <col min="12043" max="12043" width="9.140625" style="110"/>
    <col min="12044" max="12044" width="10.28515625" style="110" bestFit="1" customWidth="1"/>
    <col min="12045" max="12048" width="9.140625" style="110"/>
    <col min="12049" max="12049" width="11.5703125" style="110" bestFit="1" customWidth="1"/>
    <col min="12050" max="12050" width="10.5703125" style="110" customWidth="1"/>
    <col min="12051" max="12294" width="9.140625" style="110"/>
    <col min="12295" max="12295" width="13.85546875" style="110" customWidth="1"/>
    <col min="12296" max="12297" width="9.140625" style="110"/>
    <col min="12298" max="12298" width="9.5703125" style="110" bestFit="1" customWidth="1"/>
    <col min="12299" max="12299" width="9.140625" style="110"/>
    <col min="12300" max="12300" width="10.28515625" style="110" bestFit="1" customWidth="1"/>
    <col min="12301" max="12304" width="9.140625" style="110"/>
    <col min="12305" max="12305" width="11.5703125" style="110" bestFit="1" customWidth="1"/>
    <col min="12306" max="12306" width="10.5703125" style="110" customWidth="1"/>
    <col min="12307" max="12550" width="9.140625" style="110"/>
    <col min="12551" max="12551" width="13.85546875" style="110" customWidth="1"/>
    <col min="12552" max="12553" width="9.140625" style="110"/>
    <col min="12554" max="12554" width="9.5703125" style="110" bestFit="1" customWidth="1"/>
    <col min="12555" max="12555" width="9.140625" style="110"/>
    <col min="12556" max="12556" width="10.28515625" style="110" bestFit="1" customWidth="1"/>
    <col min="12557" max="12560" width="9.140625" style="110"/>
    <col min="12561" max="12561" width="11.5703125" style="110" bestFit="1" customWidth="1"/>
    <col min="12562" max="12562" width="10.5703125" style="110" customWidth="1"/>
    <col min="12563" max="12806" width="9.140625" style="110"/>
    <col min="12807" max="12807" width="13.85546875" style="110" customWidth="1"/>
    <col min="12808" max="12809" width="9.140625" style="110"/>
    <col min="12810" max="12810" width="9.5703125" style="110" bestFit="1" customWidth="1"/>
    <col min="12811" max="12811" width="9.140625" style="110"/>
    <col min="12812" max="12812" width="10.28515625" style="110" bestFit="1" customWidth="1"/>
    <col min="12813" max="12816" width="9.140625" style="110"/>
    <col min="12817" max="12817" width="11.5703125" style="110" bestFit="1" customWidth="1"/>
    <col min="12818" max="12818" width="10.5703125" style="110" customWidth="1"/>
    <col min="12819" max="13062" width="9.140625" style="110"/>
    <col min="13063" max="13063" width="13.85546875" style="110" customWidth="1"/>
    <col min="13064" max="13065" width="9.140625" style="110"/>
    <col min="13066" max="13066" width="9.5703125" style="110" bestFit="1" customWidth="1"/>
    <col min="13067" max="13067" width="9.140625" style="110"/>
    <col min="13068" max="13068" width="10.28515625" style="110" bestFit="1" customWidth="1"/>
    <col min="13069" max="13072" width="9.140625" style="110"/>
    <col min="13073" max="13073" width="11.5703125" style="110" bestFit="1" customWidth="1"/>
    <col min="13074" max="13074" width="10.5703125" style="110" customWidth="1"/>
    <col min="13075" max="13318" width="9.140625" style="110"/>
    <col min="13319" max="13319" width="13.85546875" style="110" customWidth="1"/>
    <col min="13320" max="13321" width="9.140625" style="110"/>
    <col min="13322" max="13322" width="9.5703125" style="110" bestFit="1" customWidth="1"/>
    <col min="13323" max="13323" width="9.140625" style="110"/>
    <col min="13324" max="13324" width="10.28515625" style="110" bestFit="1" customWidth="1"/>
    <col min="13325" max="13328" width="9.140625" style="110"/>
    <col min="13329" max="13329" width="11.5703125" style="110" bestFit="1" customWidth="1"/>
    <col min="13330" max="13330" width="10.5703125" style="110" customWidth="1"/>
    <col min="13331" max="13574" width="9.140625" style="110"/>
    <col min="13575" max="13575" width="13.85546875" style="110" customWidth="1"/>
    <col min="13576" max="13577" width="9.140625" style="110"/>
    <col min="13578" max="13578" width="9.5703125" style="110" bestFit="1" customWidth="1"/>
    <col min="13579" max="13579" width="9.140625" style="110"/>
    <col min="13580" max="13580" width="10.28515625" style="110" bestFit="1" customWidth="1"/>
    <col min="13581" max="13584" width="9.140625" style="110"/>
    <col min="13585" max="13585" width="11.5703125" style="110" bestFit="1" customWidth="1"/>
    <col min="13586" max="13586" width="10.5703125" style="110" customWidth="1"/>
    <col min="13587" max="13830" width="9.140625" style="110"/>
    <col min="13831" max="13831" width="13.85546875" style="110" customWidth="1"/>
    <col min="13832" max="13833" width="9.140625" style="110"/>
    <col min="13834" max="13834" width="9.5703125" style="110" bestFit="1" customWidth="1"/>
    <col min="13835" max="13835" width="9.140625" style="110"/>
    <col min="13836" max="13836" width="10.28515625" style="110" bestFit="1" customWidth="1"/>
    <col min="13837" max="13840" width="9.140625" style="110"/>
    <col min="13841" max="13841" width="11.5703125" style="110" bestFit="1" customWidth="1"/>
    <col min="13842" max="13842" width="10.5703125" style="110" customWidth="1"/>
    <col min="13843" max="14086" width="9.140625" style="110"/>
    <col min="14087" max="14087" width="13.85546875" style="110" customWidth="1"/>
    <col min="14088" max="14089" width="9.140625" style="110"/>
    <col min="14090" max="14090" width="9.5703125" style="110" bestFit="1" customWidth="1"/>
    <col min="14091" max="14091" width="9.140625" style="110"/>
    <col min="14092" max="14092" width="10.28515625" style="110" bestFit="1" customWidth="1"/>
    <col min="14093" max="14096" width="9.140625" style="110"/>
    <col min="14097" max="14097" width="11.5703125" style="110" bestFit="1" customWidth="1"/>
    <col min="14098" max="14098" width="10.5703125" style="110" customWidth="1"/>
    <col min="14099" max="14342" width="9.140625" style="110"/>
    <col min="14343" max="14343" width="13.85546875" style="110" customWidth="1"/>
    <col min="14344" max="14345" width="9.140625" style="110"/>
    <col min="14346" max="14346" width="9.5703125" style="110" bestFit="1" customWidth="1"/>
    <col min="14347" max="14347" width="9.140625" style="110"/>
    <col min="14348" max="14348" width="10.28515625" style="110" bestFit="1" customWidth="1"/>
    <col min="14349" max="14352" width="9.140625" style="110"/>
    <col min="14353" max="14353" width="11.5703125" style="110" bestFit="1" customWidth="1"/>
    <col min="14354" max="14354" width="10.5703125" style="110" customWidth="1"/>
    <col min="14355" max="14598" width="9.140625" style="110"/>
    <col min="14599" max="14599" width="13.85546875" style="110" customWidth="1"/>
    <col min="14600" max="14601" width="9.140625" style="110"/>
    <col min="14602" max="14602" width="9.5703125" style="110" bestFit="1" customWidth="1"/>
    <col min="14603" max="14603" width="9.140625" style="110"/>
    <col min="14604" max="14604" width="10.28515625" style="110" bestFit="1" customWidth="1"/>
    <col min="14605" max="14608" width="9.140625" style="110"/>
    <col min="14609" max="14609" width="11.5703125" style="110" bestFit="1" customWidth="1"/>
    <col min="14610" max="14610" width="10.5703125" style="110" customWidth="1"/>
    <col min="14611" max="14854" width="9.140625" style="110"/>
    <col min="14855" max="14855" width="13.85546875" style="110" customWidth="1"/>
    <col min="14856" max="14857" width="9.140625" style="110"/>
    <col min="14858" max="14858" width="9.5703125" style="110" bestFit="1" customWidth="1"/>
    <col min="14859" max="14859" width="9.140625" style="110"/>
    <col min="14860" max="14860" width="10.28515625" style="110" bestFit="1" customWidth="1"/>
    <col min="14861" max="14864" width="9.140625" style="110"/>
    <col min="14865" max="14865" width="11.5703125" style="110" bestFit="1" customWidth="1"/>
    <col min="14866" max="14866" width="10.5703125" style="110" customWidth="1"/>
    <col min="14867" max="15110" width="9.140625" style="110"/>
    <col min="15111" max="15111" width="13.85546875" style="110" customWidth="1"/>
    <col min="15112" max="15113" width="9.140625" style="110"/>
    <col min="15114" max="15114" width="9.5703125" style="110" bestFit="1" customWidth="1"/>
    <col min="15115" max="15115" width="9.140625" style="110"/>
    <col min="15116" max="15116" width="10.28515625" style="110" bestFit="1" customWidth="1"/>
    <col min="15117" max="15120" width="9.140625" style="110"/>
    <col min="15121" max="15121" width="11.5703125" style="110" bestFit="1" customWidth="1"/>
    <col min="15122" max="15122" width="10.5703125" style="110" customWidth="1"/>
    <col min="15123" max="15366" width="9.140625" style="110"/>
    <col min="15367" max="15367" width="13.85546875" style="110" customWidth="1"/>
    <col min="15368" max="15369" width="9.140625" style="110"/>
    <col min="15370" max="15370" width="9.5703125" style="110" bestFit="1" customWidth="1"/>
    <col min="15371" max="15371" width="9.140625" style="110"/>
    <col min="15372" max="15372" width="10.28515625" style="110" bestFit="1" customWidth="1"/>
    <col min="15373" max="15376" width="9.140625" style="110"/>
    <col min="15377" max="15377" width="11.5703125" style="110" bestFit="1" customWidth="1"/>
    <col min="15378" max="15378" width="10.5703125" style="110" customWidth="1"/>
    <col min="15379" max="15622" width="9.140625" style="110"/>
    <col min="15623" max="15623" width="13.85546875" style="110" customWidth="1"/>
    <col min="15624" max="15625" width="9.140625" style="110"/>
    <col min="15626" max="15626" width="9.5703125" style="110" bestFit="1" customWidth="1"/>
    <col min="15627" max="15627" width="9.140625" style="110"/>
    <col min="15628" max="15628" width="10.28515625" style="110" bestFit="1" customWidth="1"/>
    <col min="15629" max="15632" width="9.140625" style="110"/>
    <col min="15633" max="15633" width="11.5703125" style="110" bestFit="1" customWidth="1"/>
    <col min="15634" max="15634" width="10.5703125" style="110" customWidth="1"/>
    <col min="15635" max="15878" width="9.140625" style="110"/>
    <col min="15879" max="15879" width="13.85546875" style="110" customWidth="1"/>
    <col min="15880" max="15881" width="9.140625" style="110"/>
    <col min="15882" max="15882" width="9.5703125" style="110" bestFit="1" customWidth="1"/>
    <col min="15883" max="15883" width="9.140625" style="110"/>
    <col min="15884" max="15884" width="10.28515625" style="110" bestFit="1" customWidth="1"/>
    <col min="15885" max="15888" width="9.140625" style="110"/>
    <col min="15889" max="15889" width="11.5703125" style="110" bestFit="1" customWidth="1"/>
    <col min="15890" max="15890" width="10.5703125" style="110" customWidth="1"/>
    <col min="15891" max="16134" width="9.140625" style="110"/>
    <col min="16135" max="16135" width="13.85546875" style="110" customWidth="1"/>
    <col min="16136" max="16137" width="9.140625" style="110"/>
    <col min="16138" max="16138" width="9.5703125" style="110" bestFit="1" customWidth="1"/>
    <col min="16139" max="16139" width="9.140625" style="110"/>
    <col min="16140" max="16140" width="10.28515625" style="110" bestFit="1" customWidth="1"/>
    <col min="16141" max="16144" width="9.140625" style="110"/>
    <col min="16145" max="16145" width="11.5703125" style="110" bestFit="1" customWidth="1"/>
    <col min="16146" max="16146" width="10.5703125" style="110" customWidth="1"/>
    <col min="16147" max="16384" width="9.140625" style="110"/>
  </cols>
  <sheetData>
    <row r="1" spans="2:18" ht="15.75" x14ac:dyDescent="0.25">
      <c r="B1" s="111" t="s">
        <v>230</v>
      </c>
      <c r="H1" s="110" t="s">
        <v>231</v>
      </c>
      <c r="I1" s="112" t="s">
        <v>232</v>
      </c>
      <c r="P1" s="110" t="s">
        <v>233</v>
      </c>
      <c r="Q1" s="113">
        <v>44775</v>
      </c>
    </row>
    <row r="2" spans="2:18" ht="15.75" thickBot="1" x14ac:dyDescent="0.3"/>
    <row r="3" spans="2:18" x14ac:dyDescent="0.25">
      <c r="B3" s="182">
        <v>2019</v>
      </c>
      <c r="C3" s="114"/>
      <c r="D3" s="115"/>
      <c r="E3" s="115"/>
      <c r="F3" s="115"/>
      <c r="G3" s="115"/>
      <c r="H3" s="115"/>
      <c r="I3" s="115"/>
      <c r="J3" s="115"/>
      <c r="K3" s="115"/>
      <c r="L3" s="115"/>
      <c r="M3" s="115"/>
      <c r="N3" s="115"/>
      <c r="O3" s="115"/>
      <c r="P3" s="115"/>
      <c r="Q3" s="115"/>
      <c r="R3" s="116"/>
    </row>
    <row r="4" spans="2:18" ht="15.75" x14ac:dyDescent="0.25">
      <c r="B4" s="182"/>
      <c r="C4" s="117"/>
      <c r="D4" s="183" t="s">
        <v>234</v>
      </c>
      <c r="E4" s="184"/>
      <c r="F4" s="184"/>
      <c r="G4" s="184"/>
      <c r="H4" s="184"/>
      <c r="I4" s="184"/>
      <c r="J4" s="184"/>
      <c r="K4" s="184"/>
      <c r="L4" s="184"/>
      <c r="M4" s="184"/>
      <c r="N4" s="184"/>
      <c r="O4" s="184"/>
      <c r="P4" s="184"/>
      <c r="Q4" s="184"/>
      <c r="R4" s="118"/>
    </row>
    <row r="5" spans="2:18" ht="15.75" thickBot="1" x14ac:dyDescent="0.3">
      <c r="B5" s="182"/>
      <c r="C5" s="117"/>
      <c r="D5" s="119"/>
      <c r="E5" s="119"/>
      <c r="F5" s="119"/>
      <c r="G5" s="119"/>
      <c r="H5" s="119"/>
      <c r="I5" s="119"/>
      <c r="J5" s="119"/>
      <c r="K5" s="119"/>
      <c r="L5" s="119"/>
      <c r="M5" s="119"/>
      <c r="N5" s="119"/>
      <c r="O5" s="119"/>
      <c r="P5" s="119"/>
      <c r="Q5" s="119"/>
      <c r="R5" s="118"/>
    </row>
    <row r="6" spans="2:18" x14ac:dyDescent="0.25">
      <c r="B6" s="182"/>
      <c r="C6" s="117"/>
      <c r="D6" s="185" t="s">
        <v>235</v>
      </c>
      <c r="E6" s="186"/>
      <c r="F6" s="186"/>
      <c r="G6" s="186"/>
      <c r="H6" s="186"/>
      <c r="I6" s="186"/>
      <c r="J6" s="186"/>
      <c r="K6" s="186"/>
      <c r="L6" s="186"/>
      <c r="M6" s="186"/>
      <c r="N6" s="186"/>
      <c r="O6" s="186"/>
      <c r="P6" s="186"/>
      <c r="Q6" s="187"/>
      <c r="R6" s="118"/>
    </row>
    <row r="7" spans="2:18" ht="15.75" thickBot="1" x14ac:dyDescent="0.3">
      <c r="B7" s="182"/>
      <c r="C7" s="117"/>
      <c r="D7" s="188">
        <v>2019</v>
      </c>
      <c r="E7" s="189"/>
      <c r="F7" s="190">
        <v>0.10199999999999999</v>
      </c>
      <c r="G7" s="191"/>
      <c r="H7" s="191"/>
      <c r="I7" s="191"/>
      <c r="J7" s="191"/>
      <c r="K7" s="191"/>
      <c r="L7" s="191"/>
      <c r="M7" s="191"/>
      <c r="N7" s="191"/>
      <c r="O7" s="191"/>
      <c r="P7" s="191"/>
      <c r="Q7" s="192"/>
      <c r="R7" s="118"/>
    </row>
    <row r="8" spans="2:18" x14ac:dyDescent="0.25">
      <c r="B8" s="182"/>
      <c r="C8" s="117"/>
      <c r="D8" s="119"/>
      <c r="E8" s="120"/>
      <c r="F8" s="120"/>
      <c r="G8" s="120"/>
      <c r="H8" s="120"/>
      <c r="I8" s="120"/>
      <c r="J8" s="120"/>
      <c r="K8" s="120"/>
      <c r="L8" s="120"/>
      <c r="M8" s="120"/>
      <c r="N8" s="120"/>
      <c r="O8" s="120"/>
      <c r="P8" s="120"/>
      <c r="Q8" s="120"/>
      <c r="R8" s="118"/>
    </row>
    <row r="9" spans="2:18" x14ac:dyDescent="0.25">
      <c r="B9" s="182"/>
      <c r="C9" s="117"/>
      <c r="D9" s="119"/>
      <c r="E9" s="119"/>
      <c r="F9" s="119"/>
      <c r="G9" s="119"/>
      <c r="H9" s="119"/>
      <c r="I9" s="119"/>
      <c r="J9" s="119"/>
      <c r="K9" s="119"/>
      <c r="L9" s="119"/>
      <c r="M9" s="119"/>
      <c r="N9" s="119"/>
      <c r="O9" s="119"/>
      <c r="P9" s="119"/>
      <c r="Q9" s="119"/>
      <c r="R9" s="118"/>
    </row>
    <row r="10" spans="2:18" ht="15.75" x14ac:dyDescent="0.25">
      <c r="B10" s="182"/>
      <c r="C10" s="117"/>
      <c r="D10" s="183" t="s">
        <v>236</v>
      </c>
      <c r="E10" s="184"/>
      <c r="F10" s="184"/>
      <c r="G10" s="184"/>
      <c r="H10" s="184"/>
      <c r="I10" s="184"/>
      <c r="J10" s="184"/>
      <c r="K10" s="184"/>
      <c r="L10" s="184"/>
      <c r="M10" s="184"/>
      <c r="N10" s="184"/>
      <c r="O10" s="184"/>
      <c r="P10" s="184"/>
      <c r="Q10" s="184"/>
      <c r="R10" s="118"/>
    </row>
    <row r="11" spans="2:18" ht="15.75" thickBot="1" x14ac:dyDescent="0.3">
      <c r="B11" s="182"/>
      <c r="C11" s="117"/>
      <c r="D11" s="119"/>
      <c r="E11" s="119"/>
      <c r="F11" s="119"/>
      <c r="G11" s="119"/>
      <c r="H11" s="119"/>
      <c r="I11" s="119"/>
      <c r="J11" s="119"/>
      <c r="K11" s="119"/>
      <c r="L11" s="119"/>
      <c r="M11" s="119"/>
      <c r="N11" s="119"/>
      <c r="O11" s="119"/>
      <c r="P11" s="119"/>
      <c r="Q11" s="119"/>
      <c r="R11" s="118"/>
    </row>
    <row r="12" spans="2:18" x14ac:dyDescent="0.25">
      <c r="B12" s="182"/>
      <c r="C12" s="117"/>
      <c r="D12" s="185" t="s">
        <v>237</v>
      </c>
      <c r="E12" s="186"/>
      <c r="F12" s="186"/>
      <c r="G12" s="186"/>
      <c r="H12" s="186"/>
      <c r="I12" s="186"/>
      <c r="J12" s="186"/>
      <c r="K12" s="186"/>
      <c r="L12" s="186"/>
      <c r="M12" s="186"/>
      <c r="N12" s="186"/>
      <c r="O12" s="186"/>
      <c r="P12" s="186"/>
      <c r="Q12" s="187"/>
      <c r="R12" s="118"/>
    </row>
    <row r="13" spans="2:18" x14ac:dyDescent="0.25">
      <c r="B13" s="182"/>
      <c r="C13" s="117"/>
      <c r="D13" s="193">
        <v>2019</v>
      </c>
      <c r="E13" s="194"/>
      <c r="F13" s="195" t="s">
        <v>238</v>
      </c>
      <c r="G13" s="196"/>
      <c r="H13" s="196"/>
      <c r="I13" s="196"/>
      <c r="J13" s="196"/>
      <c r="K13" s="196"/>
      <c r="L13" s="196"/>
      <c r="M13" s="196"/>
      <c r="N13" s="196"/>
      <c r="O13" s="196"/>
      <c r="P13" s="196"/>
      <c r="Q13" s="197"/>
      <c r="R13" s="118"/>
    </row>
    <row r="14" spans="2:18" x14ac:dyDescent="0.25">
      <c r="B14" s="182"/>
      <c r="C14" s="117"/>
      <c r="D14" s="121"/>
      <c r="E14" s="122"/>
      <c r="F14" s="123" t="s">
        <v>239</v>
      </c>
      <c r="G14" s="123" t="s">
        <v>240</v>
      </c>
      <c r="H14" s="123" t="s">
        <v>241</v>
      </c>
      <c r="I14" s="123" t="s">
        <v>242</v>
      </c>
      <c r="J14" s="123" t="s">
        <v>243</v>
      </c>
      <c r="K14" s="123" t="s">
        <v>244</v>
      </c>
      <c r="L14" s="123" t="s">
        <v>245</v>
      </c>
      <c r="M14" s="123" t="s">
        <v>246</v>
      </c>
      <c r="N14" s="123" t="s">
        <v>247</v>
      </c>
      <c r="O14" s="123" t="s">
        <v>248</v>
      </c>
      <c r="P14" s="123" t="s">
        <v>249</v>
      </c>
      <c r="Q14" s="124" t="s">
        <v>250</v>
      </c>
      <c r="R14" s="125" t="s">
        <v>77</v>
      </c>
    </row>
    <row r="15" spans="2:18" ht="15.75" thickBot="1" x14ac:dyDescent="0.3">
      <c r="B15" s="182"/>
      <c r="C15" s="117"/>
      <c r="D15" s="126"/>
      <c r="E15" s="127"/>
      <c r="F15" s="128">
        <v>0.35399999999999998</v>
      </c>
      <c r="G15" s="128">
        <v>0.55730000000000002</v>
      </c>
      <c r="H15" s="128">
        <v>0.50749999999999995</v>
      </c>
      <c r="I15" s="128">
        <v>0.50949999999999995</v>
      </c>
      <c r="J15" s="128">
        <v>0.47939999999999999</v>
      </c>
      <c r="K15" s="128">
        <v>0.41749999999999998</v>
      </c>
      <c r="L15" s="128">
        <v>0.59140000000000004</v>
      </c>
      <c r="M15" s="128">
        <v>0.53120000000000001</v>
      </c>
      <c r="N15" s="128">
        <v>0.56059999999999999</v>
      </c>
      <c r="O15" s="128">
        <v>0.53700000000000003</v>
      </c>
      <c r="P15" s="128">
        <v>0.57199999999999995</v>
      </c>
      <c r="Q15" s="129">
        <v>0.59970000000000001</v>
      </c>
      <c r="R15" s="130">
        <f>AVERAGE(F15:Q15)</f>
        <v>0.51809166666666673</v>
      </c>
    </row>
    <row r="16" spans="2:18" ht="15.75" thickBot="1" x14ac:dyDescent="0.3">
      <c r="B16" s="182"/>
      <c r="C16" s="117"/>
      <c r="D16" s="131"/>
      <c r="E16" s="131"/>
      <c r="F16" s="131"/>
      <c r="G16" s="131"/>
      <c r="H16" s="131"/>
      <c r="I16" s="131"/>
      <c r="J16" s="131"/>
      <c r="K16" s="131"/>
      <c r="L16" s="131"/>
      <c r="M16" s="131"/>
      <c r="N16" s="131"/>
      <c r="O16" s="131"/>
      <c r="P16" s="131"/>
      <c r="Q16" s="131"/>
      <c r="R16" s="118"/>
    </row>
    <row r="17" spans="2:18" ht="15.75" thickBot="1" x14ac:dyDescent="0.3">
      <c r="B17" s="182"/>
      <c r="C17" s="117"/>
      <c r="D17" s="131"/>
      <c r="E17" s="131"/>
      <c r="F17" s="131"/>
      <c r="G17" s="131"/>
      <c r="H17" s="131"/>
      <c r="I17" s="198" t="s">
        <v>251</v>
      </c>
      <c r="J17" s="199"/>
      <c r="K17" s="199"/>
      <c r="L17" s="138">
        <f>(F7*0.5)+(R15*0.5)</f>
        <v>0.31004583333333335</v>
      </c>
      <c r="M17" s="131"/>
      <c r="N17" s="131"/>
      <c r="O17" s="131"/>
      <c r="P17" s="131"/>
      <c r="Q17" s="131"/>
      <c r="R17" s="118"/>
    </row>
    <row r="18" spans="2:18" ht="15.75" thickBot="1" x14ac:dyDescent="0.3">
      <c r="B18" s="182"/>
      <c r="C18" s="133"/>
      <c r="D18" s="134"/>
      <c r="E18" s="134"/>
      <c r="F18" s="134"/>
      <c r="G18" s="134"/>
      <c r="H18" s="134"/>
      <c r="I18" s="134"/>
      <c r="J18" s="134"/>
      <c r="K18" s="134"/>
      <c r="L18" s="134"/>
      <c r="M18" s="134"/>
      <c r="N18" s="134"/>
      <c r="O18" s="134"/>
      <c r="P18" s="134"/>
      <c r="Q18" s="134"/>
      <c r="R18" s="135"/>
    </row>
    <row r="20" spans="2:18" ht="15.75" thickBot="1" x14ac:dyDescent="0.3"/>
    <row r="21" spans="2:18" x14ac:dyDescent="0.25">
      <c r="B21" s="182">
        <v>2020</v>
      </c>
      <c r="C21" s="114"/>
      <c r="D21" s="115"/>
      <c r="E21" s="115"/>
      <c r="F21" s="115"/>
      <c r="G21" s="115"/>
      <c r="H21" s="115"/>
      <c r="I21" s="115"/>
      <c r="J21" s="115"/>
      <c r="K21" s="115"/>
      <c r="L21" s="115"/>
      <c r="M21" s="115"/>
      <c r="N21" s="115"/>
      <c r="O21" s="115"/>
      <c r="P21" s="115"/>
      <c r="Q21" s="115"/>
      <c r="R21" s="116"/>
    </row>
    <row r="22" spans="2:18" ht="15.75" x14ac:dyDescent="0.25">
      <c r="B22" s="182"/>
      <c r="C22" s="117"/>
      <c r="D22" s="183" t="s">
        <v>234</v>
      </c>
      <c r="E22" s="184"/>
      <c r="F22" s="184"/>
      <c r="G22" s="184"/>
      <c r="H22" s="184"/>
      <c r="I22" s="184"/>
      <c r="J22" s="184"/>
      <c r="K22" s="184"/>
      <c r="L22" s="184"/>
      <c r="M22" s="184"/>
      <c r="N22" s="184"/>
      <c r="O22" s="184"/>
      <c r="P22" s="184"/>
      <c r="Q22" s="184"/>
      <c r="R22" s="118"/>
    </row>
    <row r="23" spans="2:18" ht="15.75" thickBot="1" x14ac:dyDescent="0.3">
      <c r="B23" s="182"/>
      <c r="C23" s="117"/>
      <c r="D23" s="119"/>
      <c r="E23" s="119"/>
      <c r="F23" s="119"/>
      <c r="G23" s="119"/>
      <c r="H23" s="119"/>
      <c r="I23" s="119"/>
      <c r="J23" s="119"/>
      <c r="K23" s="119"/>
      <c r="L23" s="119"/>
      <c r="M23" s="119"/>
      <c r="N23" s="119"/>
      <c r="O23" s="119"/>
      <c r="P23" s="119"/>
      <c r="Q23" s="119"/>
      <c r="R23" s="118"/>
    </row>
    <row r="24" spans="2:18" x14ac:dyDescent="0.25">
      <c r="B24" s="182"/>
      <c r="C24" s="117"/>
      <c r="D24" s="185" t="s">
        <v>235</v>
      </c>
      <c r="E24" s="186"/>
      <c r="F24" s="186"/>
      <c r="G24" s="186"/>
      <c r="H24" s="186"/>
      <c r="I24" s="186"/>
      <c r="J24" s="186"/>
      <c r="K24" s="186"/>
      <c r="L24" s="186"/>
      <c r="M24" s="186"/>
      <c r="N24" s="186"/>
      <c r="O24" s="186"/>
      <c r="P24" s="186"/>
      <c r="Q24" s="187"/>
      <c r="R24" s="118"/>
    </row>
    <row r="25" spans="2:18" ht="15.75" thickBot="1" x14ac:dyDescent="0.3">
      <c r="B25" s="182"/>
      <c r="C25" s="117"/>
      <c r="D25" s="188">
        <v>2020</v>
      </c>
      <c r="E25" s="189"/>
      <c r="F25" s="190">
        <v>9.7900000000000001E-2</v>
      </c>
      <c r="G25" s="191"/>
      <c r="H25" s="191"/>
      <c r="I25" s="191"/>
      <c r="J25" s="191"/>
      <c r="K25" s="191"/>
      <c r="L25" s="191"/>
      <c r="M25" s="191"/>
      <c r="N25" s="191"/>
      <c r="O25" s="191"/>
      <c r="P25" s="191"/>
      <c r="Q25" s="192"/>
      <c r="R25" s="118"/>
    </row>
    <row r="26" spans="2:18" x14ac:dyDescent="0.25">
      <c r="B26" s="182"/>
      <c r="C26" s="117"/>
      <c r="D26" s="119"/>
      <c r="E26" s="120"/>
      <c r="F26" s="120"/>
      <c r="G26" s="120"/>
      <c r="H26" s="120"/>
      <c r="I26" s="120"/>
      <c r="J26" s="120"/>
      <c r="K26" s="120"/>
      <c r="L26" s="120"/>
      <c r="M26" s="120"/>
      <c r="N26" s="120"/>
      <c r="O26" s="120"/>
      <c r="P26" s="120"/>
      <c r="Q26" s="120"/>
      <c r="R26" s="118"/>
    </row>
    <row r="27" spans="2:18" x14ac:dyDescent="0.25">
      <c r="B27" s="182"/>
      <c r="C27" s="117"/>
      <c r="D27" s="119"/>
      <c r="E27" s="119"/>
      <c r="F27" s="119"/>
      <c r="G27" s="119"/>
      <c r="H27" s="119"/>
      <c r="I27" s="119"/>
      <c r="J27" s="119"/>
      <c r="K27" s="119"/>
      <c r="L27" s="119"/>
      <c r="M27" s="119"/>
      <c r="N27" s="119"/>
      <c r="O27" s="119"/>
      <c r="P27" s="119"/>
      <c r="Q27" s="119"/>
      <c r="R27" s="118"/>
    </row>
    <row r="28" spans="2:18" ht="15.75" x14ac:dyDescent="0.25">
      <c r="B28" s="182"/>
      <c r="C28" s="117"/>
      <c r="D28" s="183" t="s">
        <v>236</v>
      </c>
      <c r="E28" s="184"/>
      <c r="F28" s="184"/>
      <c r="G28" s="184"/>
      <c r="H28" s="184"/>
      <c r="I28" s="184"/>
      <c r="J28" s="184"/>
      <c r="K28" s="184"/>
      <c r="L28" s="184"/>
      <c r="M28" s="184"/>
      <c r="N28" s="184"/>
      <c r="O28" s="184"/>
      <c r="P28" s="184"/>
      <c r="Q28" s="184"/>
      <c r="R28" s="118"/>
    </row>
    <row r="29" spans="2:18" ht="15.75" thickBot="1" x14ac:dyDescent="0.3">
      <c r="B29" s="182"/>
      <c r="C29" s="117"/>
      <c r="D29" s="119"/>
      <c r="E29" s="119"/>
      <c r="F29" s="119"/>
      <c r="G29" s="119"/>
      <c r="H29" s="119"/>
      <c r="I29" s="119"/>
      <c r="J29" s="119"/>
      <c r="K29" s="119"/>
      <c r="L29" s="119"/>
      <c r="M29" s="119"/>
      <c r="N29" s="119"/>
      <c r="O29" s="119"/>
      <c r="P29" s="119"/>
      <c r="Q29" s="119"/>
      <c r="R29" s="118"/>
    </row>
    <row r="30" spans="2:18" x14ac:dyDescent="0.25">
      <c r="B30" s="182"/>
      <c r="C30" s="117"/>
      <c r="D30" s="185" t="s">
        <v>237</v>
      </c>
      <c r="E30" s="186"/>
      <c r="F30" s="186"/>
      <c r="G30" s="186"/>
      <c r="H30" s="186"/>
      <c r="I30" s="186"/>
      <c r="J30" s="186"/>
      <c r="K30" s="186"/>
      <c r="L30" s="186"/>
      <c r="M30" s="186"/>
      <c r="N30" s="186"/>
      <c r="O30" s="186"/>
      <c r="P30" s="186"/>
      <c r="Q30" s="187"/>
      <c r="R30" s="118"/>
    </row>
    <row r="31" spans="2:18" x14ac:dyDescent="0.25">
      <c r="B31" s="182"/>
      <c r="C31" s="117"/>
      <c r="D31" s="193">
        <v>2020</v>
      </c>
      <c r="E31" s="204"/>
      <c r="F31" s="195" t="s">
        <v>238</v>
      </c>
      <c r="G31" s="196"/>
      <c r="H31" s="196"/>
      <c r="I31" s="196"/>
      <c r="J31" s="196"/>
      <c r="K31" s="196"/>
      <c r="L31" s="196"/>
      <c r="M31" s="196"/>
      <c r="N31" s="196"/>
      <c r="O31" s="196"/>
      <c r="P31" s="196"/>
      <c r="Q31" s="197"/>
      <c r="R31" s="118"/>
    </row>
    <row r="32" spans="2:18" x14ac:dyDescent="0.25">
      <c r="B32" s="182"/>
      <c r="C32" s="117"/>
      <c r="D32" s="121"/>
      <c r="E32" s="122"/>
      <c r="F32" s="123" t="s">
        <v>239</v>
      </c>
      <c r="G32" s="123" t="s">
        <v>240</v>
      </c>
      <c r="H32" s="123" t="s">
        <v>241</v>
      </c>
      <c r="I32" s="123" t="s">
        <v>242</v>
      </c>
      <c r="J32" s="123" t="s">
        <v>243</v>
      </c>
      <c r="K32" s="123" t="s">
        <v>244</v>
      </c>
      <c r="L32" s="123" t="s">
        <v>245</v>
      </c>
      <c r="M32" s="123" t="s">
        <v>246</v>
      </c>
      <c r="N32" s="123" t="s">
        <v>247</v>
      </c>
      <c r="O32" s="123" t="s">
        <v>248</v>
      </c>
      <c r="P32" s="123" t="s">
        <v>249</v>
      </c>
      <c r="Q32" s="124" t="s">
        <v>250</v>
      </c>
      <c r="R32" s="125" t="s">
        <v>77</v>
      </c>
    </row>
    <row r="33" spans="2:18" ht="15.75" thickBot="1" x14ac:dyDescent="0.3">
      <c r="B33" s="182"/>
      <c r="C33" s="117"/>
      <c r="D33" s="126"/>
      <c r="E33" s="127"/>
      <c r="F33" s="128">
        <v>0.56269999999999998</v>
      </c>
      <c r="G33" s="128">
        <v>0.52580000000000005</v>
      </c>
      <c r="H33" s="128">
        <v>0.38429999999999997</v>
      </c>
      <c r="I33" s="128">
        <v>0.2964</v>
      </c>
      <c r="J33" s="128">
        <v>0.35749999999999998</v>
      </c>
      <c r="K33" s="128">
        <v>0.4758</v>
      </c>
      <c r="L33" s="128">
        <v>0.39319999999999999</v>
      </c>
      <c r="M33" s="128">
        <v>0.39939999999999998</v>
      </c>
      <c r="N33" s="128">
        <v>0.32869999999999999</v>
      </c>
      <c r="O33" s="128">
        <v>0.57230000000000003</v>
      </c>
      <c r="P33" s="128">
        <v>0.54010000000000002</v>
      </c>
      <c r="Q33" s="129">
        <v>0.61060000000000003</v>
      </c>
      <c r="R33" s="130">
        <f>AVERAGE(F33:Q33)</f>
        <v>0.45389999999999997</v>
      </c>
    </row>
    <row r="34" spans="2:18" ht="15.75" thickBot="1" x14ac:dyDescent="0.3">
      <c r="B34" s="182"/>
      <c r="C34" s="117"/>
      <c r="D34" s="131"/>
      <c r="E34" s="131"/>
      <c r="F34" s="131"/>
      <c r="G34" s="131"/>
      <c r="H34" s="131"/>
      <c r="I34" s="131"/>
      <c r="J34" s="131"/>
      <c r="K34" s="131"/>
      <c r="L34" s="131"/>
      <c r="M34" s="131"/>
      <c r="N34" s="131"/>
      <c r="O34" s="131"/>
      <c r="P34" s="131"/>
      <c r="Q34" s="131"/>
      <c r="R34" s="118"/>
    </row>
    <row r="35" spans="2:18" ht="15.75" thickBot="1" x14ac:dyDescent="0.3">
      <c r="B35" s="182"/>
      <c r="C35" s="117"/>
      <c r="D35" s="131"/>
      <c r="E35" s="131"/>
      <c r="F35" s="131"/>
      <c r="G35" s="131"/>
      <c r="H35" s="131"/>
      <c r="I35" s="205" t="s">
        <v>254</v>
      </c>
      <c r="J35" s="199"/>
      <c r="K35" s="199"/>
      <c r="L35" s="138">
        <f>(F25*0.5)+(R33*0.5)</f>
        <v>0.27589999999999998</v>
      </c>
      <c r="M35" s="131"/>
      <c r="N35" s="131"/>
      <c r="O35" s="131"/>
      <c r="P35" s="131"/>
      <c r="Q35" s="131"/>
      <c r="R35" s="118"/>
    </row>
    <row r="36" spans="2:18" ht="15.75" thickBot="1" x14ac:dyDescent="0.3">
      <c r="B36" s="182"/>
      <c r="C36" s="133"/>
      <c r="D36" s="134"/>
      <c r="E36" s="134"/>
      <c r="F36" s="134"/>
      <c r="G36" s="134"/>
      <c r="H36" s="134"/>
      <c r="I36" s="134"/>
      <c r="J36" s="134"/>
      <c r="K36" s="134"/>
      <c r="L36" s="134"/>
      <c r="M36" s="134"/>
      <c r="N36" s="134"/>
      <c r="O36" s="134"/>
      <c r="P36" s="134"/>
      <c r="Q36" s="134"/>
      <c r="R36" s="135"/>
    </row>
  </sheetData>
  <mergeCells count="20">
    <mergeCell ref="B21:B36"/>
    <mergeCell ref="D22:Q22"/>
    <mergeCell ref="D24:Q24"/>
    <mergeCell ref="D25:E25"/>
    <mergeCell ref="F25:Q25"/>
    <mergeCell ref="D28:Q28"/>
    <mergeCell ref="D30:Q30"/>
    <mergeCell ref="D31:E31"/>
    <mergeCell ref="F31:Q31"/>
    <mergeCell ref="I35:K35"/>
    <mergeCell ref="B3:B18"/>
    <mergeCell ref="D4:Q4"/>
    <mergeCell ref="D6:Q6"/>
    <mergeCell ref="D7:E7"/>
    <mergeCell ref="F7:Q7"/>
    <mergeCell ref="D10:Q10"/>
    <mergeCell ref="D12:Q12"/>
    <mergeCell ref="D13:E13"/>
    <mergeCell ref="F13:Q13"/>
    <mergeCell ref="I17:K17"/>
  </mergeCells>
  <hyperlinks>
    <hyperlink ref="I1" r:id="rId1" location=":~:text=Fatores%20de%20emiss%C3%A3o%20MDL%2FSIN,-Info&amp;text=Ele%20calcula%20a%20m%C3%A9dia%20das,que%20estejam%20funcionando%20na%20margem" xr:uid="{5BC6E7CC-A2D5-4D76-960A-4C7559A38A52}"/>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9F202-B22A-43EC-B131-0C858FBDDD8B}">
  <sheetPr>
    <tabColor rgb="FFC2D7E0"/>
  </sheetPr>
  <dimension ref="B1:G17"/>
  <sheetViews>
    <sheetView zoomScale="90" zoomScaleNormal="90" workbookViewId="0">
      <selection activeCell="B2" sqref="B2:D2"/>
    </sheetView>
  </sheetViews>
  <sheetFormatPr defaultRowHeight="14.25" x14ac:dyDescent="0.25"/>
  <cols>
    <col min="1" max="1" width="2.42578125" style="40" customWidth="1"/>
    <col min="2" max="2" width="22.42578125" style="40" customWidth="1"/>
    <col min="3" max="3" width="31.28515625" style="40" customWidth="1"/>
    <col min="4" max="4" width="19.140625" style="40" customWidth="1"/>
    <col min="5" max="5" width="23.42578125" style="40" customWidth="1"/>
    <col min="6" max="6" width="23" style="40" customWidth="1"/>
    <col min="7" max="7" width="9.28515625" style="40" hidden="1" customWidth="1"/>
    <col min="8" max="8" width="25.28515625" style="40" customWidth="1"/>
    <col min="9" max="256" width="9.140625" style="40"/>
    <col min="257" max="257" width="2.42578125" style="40" customWidth="1"/>
    <col min="258" max="258" width="22.42578125" style="40" customWidth="1"/>
    <col min="259" max="259" width="31.28515625" style="40" customWidth="1"/>
    <col min="260" max="260" width="19.140625" style="40" customWidth="1"/>
    <col min="261" max="261" width="23.42578125" style="40" customWidth="1"/>
    <col min="262" max="262" width="23" style="40" customWidth="1"/>
    <col min="263" max="263" width="0" style="40" hidden="1" customWidth="1"/>
    <col min="264" max="264" width="25.28515625" style="40" customWidth="1"/>
    <col min="265" max="512" width="9.140625" style="40"/>
    <col min="513" max="513" width="2.42578125" style="40" customWidth="1"/>
    <col min="514" max="514" width="22.42578125" style="40" customWidth="1"/>
    <col min="515" max="515" width="31.28515625" style="40" customWidth="1"/>
    <col min="516" max="516" width="19.140625" style="40" customWidth="1"/>
    <col min="517" max="517" width="23.42578125" style="40" customWidth="1"/>
    <col min="518" max="518" width="23" style="40" customWidth="1"/>
    <col min="519" max="519" width="0" style="40" hidden="1" customWidth="1"/>
    <col min="520" max="520" width="25.28515625" style="40" customWidth="1"/>
    <col min="521" max="768" width="9.140625" style="40"/>
    <col min="769" max="769" width="2.42578125" style="40" customWidth="1"/>
    <col min="770" max="770" width="22.42578125" style="40" customWidth="1"/>
    <col min="771" max="771" width="31.28515625" style="40" customWidth="1"/>
    <col min="772" max="772" width="19.140625" style="40" customWidth="1"/>
    <col min="773" max="773" width="23.42578125" style="40" customWidth="1"/>
    <col min="774" max="774" width="23" style="40" customWidth="1"/>
    <col min="775" max="775" width="0" style="40" hidden="1" customWidth="1"/>
    <col min="776" max="776" width="25.28515625" style="40" customWidth="1"/>
    <col min="777" max="1024" width="9.140625" style="40"/>
    <col min="1025" max="1025" width="2.42578125" style="40" customWidth="1"/>
    <col min="1026" max="1026" width="22.42578125" style="40" customWidth="1"/>
    <col min="1027" max="1027" width="31.28515625" style="40" customWidth="1"/>
    <col min="1028" max="1028" width="19.140625" style="40" customWidth="1"/>
    <col min="1029" max="1029" width="23.42578125" style="40" customWidth="1"/>
    <col min="1030" max="1030" width="23" style="40" customWidth="1"/>
    <col min="1031" max="1031" width="0" style="40" hidden="1" customWidth="1"/>
    <col min="1032" max="1032" width="25.28515625" style="40" customWidth="1"/>
    <col min="1033" max="1280" width="9.140625" style="40"/>
    <col min="1281" max="1281" width="2.42578125" style="40" customWidth="1"/>
    <col min="1282" max="1282" width="22.42578125" style="40" customWidth="1"/>
    <col min="1283" max="1283" width="31.28515625" style="40" customWidth="1"/>
    <col min="1284" max="1284" width="19.140625" style="40" customWidth="1"/>
    <col min="1285" max="1285" width="23.42578125" style="40" customWidth="1"/>
    <col min="1286" max="1286" width="23" style="40" customWidth="1"/>
    <col min="1287" max="1287" width="0" style="40" hidden="1" customWidth="1"/>
    <col min="1288" max="1288" width="25.28515625" style="40" customWidth="1"/>
    <col min="1289" max="1536" width="9.140625" style="40"/>
    <col min="1537" max="1537" width="2.42578125" style="40" customWidth="1"/>
    <col min="1538" max="1538" width="22.42578125" style="40" customWidth="1"/>
    <col min="1539" max="1539" width="31.28515625" style="40" customWidth="1"/>
    <col min="1540" max="1540" width="19.140625" style="40" customWidth="1"/>
    <col min="1541" max="1541" width="23.42578125" style="40" customWidth="1"/>
    <col min="1542" max="1542" width="23" style="40" customWidth="1"/>
    <col min="1543" max="1543" width="0" style="40" hidden="1" customWidth="1"/>
    <col min="1544" max="1544" width="25.28515625" style="40" customWidth="1"/>
    <col min="1545" max="1792" width="9.140625" style="40"/>
    <col min="1793" max="1793" width="2.42578125" style="40" customWidth="1"/>
    <col min="1794" max="1794" width="22.42578125" style="40" customWidth="1"/>
    <col min="1795" max="1795" width="31.28515625" style="40" customWidth="1"/>
    <col min="1796" max="1796" width="19.140625" style="40" customWidth="1"/>
    <col min="1797" max="1797" width="23.42578125" style="40" customWidth="1"/>
    <col min="1798" max="1798" width="23" style="40" customWidth="1"/>
    <col min="1799" max="1799" width="0" style="40" hidden="1" customWidth="1"/>
    <col min="1800" max="1800" width="25.28515625" style="40" customWidth="1"/>
    <col min="1801" max="2048" width="9.140625" style="40"/>
    <col min="2049" max="2049" width="2.42578125" style="40" customWidth="1"/>
    <col min="2050" max="2050" width="22.42578125" style="40" customWidth="1"/>
    <col min="2051" max="2051" width="31.28515625" style="40" customWidth="1"/>
    <col min="2052" max="2052" width="19.140625" style="40" customWidth="1"/>
    <col min="2053" max="2053" width="23.42578125" style="40" customWidth="1"/>
    <col min="2054" max="2054" width="23" style="40" customWidth="1"/>
    <col min="2055" max="2055" width="0" style="40" hidden="1" customWidth="1"/>
    <col min="2056" max="2056" width="25.28515625" style="40" customWidth="1"/>
    <col min="2057" max="2304" width="9.140625" style="40"/>
    <col min="2305" max="2305" width="2.42578125" style="40" customWidth="1"/>
    <col min="2306" max="2306" width="22.42578125" style="40" customWidth="1"/>
    <col min="2307" max="2307" width="31.28515625" style="40" customWidth="1"/>
    <col min="2308" max="2308" width="19.140625" style="40" customWidth="1"/>
    <col min="2309" max="2309" width="23.42578125" style="40" customWidth="1"/>
    <col min="2310" max="2310" width="23" style="40" customWidth="1"/>
    <col min="2311" max="2311" width="0" style="40" hidden="1" customWidth="1"/>
    <col min="2312" max="2312" width="25.28515625" style="40" customWidth="1"/>
    <col min="2313" max="2560" width="9.140625" style="40"/>
    <col min="2561" max="2561" width="2.42578125" style="40" customWidth="1"/>
    <col min="2562" max="2562" width="22.42578125" style="40" customWidth="1"/>
    <col min="2563" max="2563" width="31.28515625" style="40" customWidth="1"/>
    <col min="2564" max="2564" width="19.140625" style="40" customWidth="1"/>
    <col min="2565" max="2565" width="23.42578125" style="40" customWidth="1"/>
    <col min="2566" max="2566" width="23" style="40" customWidth="1"/>
    <col min="2567" max="2567" width="0" style="40" hidden="1" customWidth="1"/>
    <col min="2568" max="2568" width="25.28515625" style="40" customWidth="1"/>
    <col min="2569" max="2816" width="9.140625" style="40"/>
    <col min="2817" max="2817" width="2.42578125" style="40" customWidth="1"/>
    <col min="2818" max="2818" width="22.42578125" style="40" customWidth="1"/>
    <col min="2819" max="2819" width="31.28515625" style="40" customWidth="1"/>
    <col min="2820" max="2820" width="19.140625" style="40" customWidth="1"/>
    <col min="2821" max="2821" width="23.42578125" style="40" customWidth="1"/>
    <col min="2822" max="2822" width="23" style="40" customWidth="1"/>
    <col min="2823" max="2823" width="0" style="40" hidden="1" customWidth="1"/>
    <col min="2824" max="2824" width="25.28515625" style="40" customWidth="1"/>
    <col min="2825" max="3072" width="9.140625" style="40"/>
    <col min="3073" max="3073" width="2.42578125" style="40" customWidth="1"/>
    <col min="3074" max="3074" width="22.42578125" style="40" customWidth="1"/>
    <col min="3075" max="3075" width="31.28515625" style="40" customWidth="1"/>
    <col min="3076" max="3076" width="19.140625" style="40" customWidth="1"/>
    <col min="3077" max="3077" width="23.42578125" style="40" customWidth="1"/>
    <col min="3078" max="3078" width="23" style="40" customWidth="1"/>
    <col min="3079" max="3079" width="0" style="40" hidden="1" customWidth="1"/>
    <col min="3080" max="3080" width="25.28515625" style="40" customWidth="1"/>
    <col min="3081" max="3328" width="9.140625" style="40"/>
    <col min="3329" max="3329" width="2.42578125" style="40" customWidth="1"/>
    <col min="3330" max="3330" width="22.42578125" style="40" customWidth="1"/>
    <col min="3331" max="3331" width="31.28515625" style="40" customWidth="1"/>
    <col min="3332" max="3332" width="19.140625" style="40" customWidth="1"/>
    <col min="3333" max="3333" width="23.42578125" style="40" customWidth="1"/>
    <col min="3334" max="3334" width="23" style="40" customWidth="1"/>
    <col min="3335" max="3335" width="0" style="40" hidden="1" customWidth="1"/>
    <col min="3336" max="3336" width="25.28515625" style="40" customWidth="1"/>
    <col min="3337" max="3584" width="9.140625" style="40"/>
    <col min="3585" max="3585" width="2.42578125" style="40" customWidth="1"/>
    <col min="3586" max="3586" width="22.42578125" style="40" customWidth="1"/>
    <col min="3587" max="3587" width="31.28515625" style="40" customWidth="1"/>
    <col min="3588" max="3588" width="19.140625" style="40" customWidth="1"/>
    <col min="3589" max="3589" width="23.42578125" style="40" customWidth="1"/>
    <col min="3590" max="3590" width="23" style="40" customWidth="1"/>
    <col min="3591" max="3591" width="0" style="40" hidden="1" customWidth="1"/>
    <col min="3592" max="3592" width="25.28515625" style="40" customWidth="1"/>
    <col min="3593" max="3840" width="9.140625" style="40"/>
    <col min="3841" max="3841" width="2.42578125" style="40" customWidth="1"/>
    <col min="3842" max="3842" width="22.42578125" style="40" customWidth="1"/>
    <col min="3843" max="3843" width="31.28515625" style="40" customWidth="1"/>
    <col min="3844" max="3844" width="19.140625" style="40" customWidth="1"/>
    <col min="3845" max="3845" width="23.42578125" style="40" customWidth="1"/>
    <col min="3846" max="3846" width="23" style="40" customWidth="1"/>
    <col min="3847" max="3847" width="0" style="40" hidden="1" customWidth="1"/>
    <col min="3848" max="3848" width="25.28515625" style="40" customWidth="1"/>
    <col min="3849" max="4096" width="9.140625" style="40"/>
    <col min="4097" max="4097" width="2.42578125" style="40" customWidth="1"/>
    <col min="4098" max="4098" width="22.42578125" style="40" customWidth="1"/>
    <col min="4099" max="4099" width="31.28515625" style="40" customWidth="1"/>
    <col min="4100" max="4100" width="19.140625" style="40" customWidth="1"/>
    <col min="4101" max="4101" width="23.42578125" style="40" customWidth="1"/>
    <col min="4102" max="4102" width="23" style="40" customWidth="1"/>
    <col min="4103" max="4103" width="0" style="40" hidden="1" customWidth="1"/>
    <col min="4104" max="4104" width="25.28515625" style="40" customWidth="1"/>
    <col min="4105" max="4352" width="9.140625" style="40"/>
    <col min="4353" max="4353" width="2.42578125" style="40" customWidth="1"/>
    <col min="4354" max="4354" width="22.42578125" style="40" customWidth="1"/>
    <col min="4355" max="4355" width="31.28515625" style="40" customWidth="1"/>
    <col min="4356" max="4356" width="19.140625" style="40" customWidth="1"/>
    <col min="4357" max="4357" width="23.42578125" style="40" customWidth="1"/>
    <col min="4358" max="4358" width="23" style="40" customWidth="1"/>
    <col min="4359" max="4359" width="0" style="40" hidden="1" customWidth="1"/>
    <col min="4360" max="4360" width="25.28515625" style="40" customWidth="1"/>
    <col min="4361" max="4608" width="9.140625" style="40"/>
    <col min="4609" max="4609" width="2.42578125" style="40" customWidth="1"/>
    <col min="4610" max="4610" width="22.42578125" style="40" customWidth="1"/>
    <col min="4611" max="4611" width="31.28515625" style="40" customWidth="1"/>
    <col min="4612" max="4612" width="19.140625" style="40" customWidth="1"/>
    <col min="4613" max="4613" width="23.42578125" style="40" customWidth="1"/>
    <col min="4614" max="4614" width="23" style="40" customWidth="1"/>
    <col min="4615" max="4615" width="0" style="40" hidden="1" customWidth="1"/>
    <col min="4616" max="4616" width="25.28515625" style="40" customWidth="1"/>
    <col min="4617" max="4864" width="9.140625" style="40"/>
    <col min="4865" max="4865" width="2.42578125" style="40" customWidth="1"/>
    <col min="4866" max="4866" width="22.42578125" style="40" customWidth="1"/>
    <col min="4867" max="4867" width="31.28515625" style="40" customWidth="1"/>
    <col min="4868" max="4868" width="19.140625" style="40" customWidth="1"/>
    <col min="4869" max="4869" width="23.42578125" style="40" customWidth="1"/>
    <col min="4870" max="4870" width="23" style="40" customWidth="1"/>
    <col min="4871" max="4871" width="0" style="40" hidden="1" customWidth="1"/>
    <col min="4872" max="4872" width="25.28515625" style="40" customWidth="1"/>
    <col min="4873" max="5120" width="9.140625" style="40"/>
    <col min="5121" max="5121" width="2.42578125" style="40" customWidth="1"/>
    <col min="5122" max="5122" width="22.42578125" style="40" customWidth="1"/>
    <col min="5123" max="5123" width="31.28515625" style="40" customWidth="1"/>
    <col min="5124" max="5124" width="19.140625" style="40" customWidth="1"/>
    <col min="5125" max="5125" width="23.42578125" style="40" customWidth="1"/>
    <col min="5126" max="5126" width="23" style="40" customWidth="1"/>
    <col min="5127" max="5127" width="0" style="40" hidden="1" customWidth="1"/>
    <col min="5128" max="5128" width="25.28515625" style="40" customWidth="1"/>
    <col min="5129" max="5376" width="9.140625" style="40"/>
    <col min="5377" max="5377" width="2.42578125" style="40" customWidth="1"/>
    <col min="5378" max="5378" width="22.42578125" style="40" customWidth="1"/>
    <col min="5379" max="5379" width="31.28515625" style="40" customWidth="1"/>
    <col min="5380" max="5380" width="19.140625" style="40" customWidth="1"/>
    <col min="5381" max="5381" width="23.42578125" style="40" customWidth="1"/>
    <col min="5382" max="5382" width="23" style="40" customWidth="1"/>
    <col min="5383" max="5383" width="0" style="40" hidden="1" customWidth="1"/>
    <col min="5384" max="5384" width="25.28515625" style="40" customWidth="1"/>
    <col min="5385" max="5632" width="9.140625" style="40"/>
    <col min="5633" max="5633" width="2.42578125" style="40" customWidth="1"/>
    <col min="5634" max="5634" width="22.42578125" style="40" customWidth="1"/>
    <col min="5635" max="5635" width="31.28515625" style="40" customWidth="1"/>
    <col min="5636" max="5636" width="19.140625" style="40" customWidth="1"/>
    <col min="5637" max="5637" width="23.42578125" style="40" customWidth="1"/>
    <col min="5638" max="5638" width="23" style="40" customWidth="1"/>
    <col min="5639" max="5639" width="0" style="40" hidden="1" customWidth="1"/>
    <col min="5640" max="5640" width="25.28515625" style="40" customWidth="1"/>
    <col min="5641" max="5888" width="9.140625" style="40"/>
    <col min="5889" max="5889" width="2.42578125" style="40" customWidth="1"/>
    <col min="5890" max="5890" width="22.42578125" style="40" customWidth="1"/>
    <col min="5891" max="5891" width="31.28515625" style="40" customWidth="1"/>
    <col min="5892" max="5892" width="19.140625" style="40" customWidth="1"/>
    <col min="5893" max="5893" width="23.42578125" style="40" customWidth="1"/>
    <col min="5894" max="5894" width="23" style="40" customWidth="1"/>
    <col min="5895" max="5895" width="0" style="40" hidden="1" customWidth="1"/>
    <col min="5896" max="5896" width="25.28515625" style="40" customWidth="1"/>
    <col min="5897" max="6144" width="9.140625" style="40"/>
    <col min="6145" max="6145" width="2.42578125" style="40" customWidth="1"/>
    <col min="6146" max="6146" width="22.42578125" style="40" customWidth="1"/>
    <col min="6147" max="6147" width="31.28515625" style="40" customWidth="1"/>
    <col min="6148" max="6148" width="19.140625" style="40" customWidth="1"/>
    <col min="6149" max="6149" width="23.42578125" style="40" customWidth="1"/>
    <col min="6150" max="6150" width="23" style="40" customWidth="1"/>
    <col min="6151" max="6151" width="0" style="40" hidden="1" customWidth="1"/>
    <col min="6152" max="6152" width="25.28515625" style="40" customWidth="1"/>
    <col min="6153" max="6400" width="9.140625" style="40"/>
    <col min="6401" max="6401" width="2.42578125" style="40" customWidth="1"/>
    <col min="6402" max="6402" width="22.42578125" style="40" customWidth="1"/>
    <col min="6403" max="6403" width="31.28515625" style="40" customWidth="1"/>
    <col min="6404" max="6404" width="19.140625" style="40" customWidth="1"/>
    <col min="6405" max="6405" width="23.42578125" style="40" customWidth="1"/>
    <col min="6406" max="6406" width="23" style="40" customWidth="1"/>
    <col min="6407" max="6407" width="0" style="40" hidden="1" customWidth="1"/>
    <col min="6408" max="6408" width="25.28515625" style="40" customWidth="1"/>
    <col min="6409" max="6656" width="9.140625" style="40"/>
    <col min="6657" max="6657" width="2.42578125" style="40" customWidth="1"/>
    <col min="6658" max="6658" width="22.42578125" style="40" customWidth="1"/>
    <col min="6659" max="6659" width="31.28515625" style="40" customWidth="1"/>
    <col min="6660" max="6660" width="19.140625" style="40" customWidth="1"/>
    <col min="6661" max="6661" width="23.42578125" style="40" customWidth="1"/>
    <col min="6662" max="6662" width="23" style="40" customWidth="1"/>
    <col min="6663" max="6663" width="0" style="40" hidden="1" customWidth="1"/>
    <col min="6664" max="6664" width="25.28515625" style="40" customWidth="1"/>
    <col min="6665" max="6912" width="9.140625" style="40"/>
    <col min="6913" max="6913" width="2.42578125" style="40" customWidth="1"/>
    <col min="6914" max="6914" width="22.42578125" style="40" customWidth="1"/>
    <col min="6915" max="6915" width="31.28515625" style="40" customWidth="1"/>
    <col min="6916" max="6916" width="19.140625" style="40" customWidth="1"/>
    <col min="6917" max="6917" width="23.42578125" style="40" customWidth="1"/>
    <col min="6918" max="6918" width="23" style="40" customWidth="1"/>
    <col min="6919" max="6919" width="0" style="40" hidden="1" customWidth="1"/>
    <col min="6920" max="6920" width="25.28515625" style="40" customWidth="1"/>
    <col min="6921" max="7168" width="9.140625" style="40"/>
    <col min="7169" max="7169" width="2.42578125" style="40" customWidth="1"/>
    <col min="7170" max="7170" width="22.42578125" style="40" customWidth="1"/>
    <col min="7171" max="7171" width="31.28515625" style="40" customWidth="1"/>
    <col min="7172" max="7172" width="19.140625" style="40" customWidth="1"/>
    <col min="7173" max="7173" width="23.42578125" style="40" customWidth="1"/>
    <col min="7174" max="7174" width="23" style="40" customWidth="1"/>
    <col min="7175" max="7175" width="0" style="40" hidden="1" customWidth="1"/>
    <col min="7176" max="7176" width="25.28515625" style="40" customWidth="1"/>
    <col min="7177" max="7424" width="9.140625" style="40"/>
    <col min="7425" max="7425" width="2.42578125" style="40" customWidth="1"/>
    <col min="7426" max="7426" width="22.42578125" style="40" customWidth="1"/>
    <col min="7427" max="7427" width="31.28515625" style="40" customWidth="1"/>
    <col min="7428" max="7428" width="19.140625" style="40" customWidth="1"/>
    <col min="7429" max="7429" width="23.42578125" style="40" customWidth="1"/>
    <col min="7430" max="7430" width="23" style="40" customWidth="1"/>
    <col min="7431" max="7431" width="0" style="40" hidden="1" customWidth="1"/>
    <col min="7432" max="7432" width="25.28515625" style="40" customWidth="1"/>
    <col min="7433" max="7680" width="9.140625" style="40"/>
    <col min="7681" max="7681" width="2.42578125" style="40" customWidth="1"/>
    <col min="7682" max="7682" width="22.42578125" style="40" customWidth="1"/>
    <col min="7683" max="7683" width="31.28515625" style="40" customWidth="1"/>
    <col min="7684" max="7684" width="19.140625" style="40" customWidth="1"/>
    <col min="7685" max="7685" width="23.42578125" style="40" customWidth="1"/>
    <col min="7686" max="7686" width="23" style="40" customWidth="1"/>
    <col min="7687" max="7687" width="0" style="40" hidden="1" customWidth="1"/>
    <col min="7688" max="7688" width="25.28515625" style="40" customWidth="1"/>
    <col min="7689" max="7936" width="9.140625" style="40"/>
    <col min="7937" max="7937" width="2.42578125" style="40" customWidth="1"/>
    <col min="7938" max="7938" width="22.42578125" style="40" customWidth="1"/>
    <col min="7939" max="7939" width="31.28515625" style="40" customWidth="1"/>
    <col min="7940" max="7940" width="19.140625" style="40" customWidth="1"/>
    <col min="7941" max="7941" width="23.42578125" style="40" customWidth="1"/>
    <col min="7942" max="7942" width="23" style="40" customWidth="1"/>
    <col min="7943" max="7943" width="0" style="40" hidden="1" customWidth="1"/>
    <col min="7944" max="7944" width="25.28515625" style="40" customWidth="1"/>
    <col min="7945" max="8192" width="9.140625" style="40"/>
    <col min="8193" max="8193" width="2.42578125" style="40" customWidth="1"/>
    <col min="8194" max="8194" width="22.42578125" style="40" customWidth="1"/>
    <col min="8195" max="8195" width="31.28515625" style="40" customWidth="1"/>
    <col min="8196" max="8196" width="19.140625" style="40" customWidth="1"/>
    <col min="8197" max="8197" width="23.42578125" style="40" customWidth="1"/>
    <col min="8198" max="8198" width="23" style="40" customWidth="1"/>
    <col min="8199" max="8199" width="0" style="40" hidden="1" customWidth="1"/>
    <col min="8200" max="8200" width="25.28515625" style="40" customWidth="1"/>
    <col min="8201" max="8448" width="9.140625" style="40"/>
    <col min="8449" max="8449" width="2.42578125" style="40" customWidth="1"/>
    <col min="8450" max="8450" width="22.42578125" style="40" customWidth="1"/>
    <col min="8451" max="8451" width="31.28515625" style="40" customWidth="1"/>
    <col min="8452" max="8452" width="19.140625" style="40" customWidth="1"/>
    <col min="8453" max="8453" width="23.42578125" style="40" customWidth="1"/>
    <col min="8454" max="8454" width="23" style="40" customWidth="1"/>
    <col min="8455" max="8455" width="0" style="40" hidden="1" customWidth="1"/>
    <col min="8456" max="8456" width="25.28515625" style="40" customWidth="1"/>
    <col min="8457" max="8704" width="9.140625" style="40"/>
    <col min="8705" max="8705" width="2.42578125" style="40" customWidth="1"/>
    <col min="8706" max="8706" width="22.42578125" style="40" customWidth="1"/>
    <col min="8707" max="8707" width="31.28515625" style="40" customWidth="1"/>
    <col min="8708" max="8708" width="19.140625" style="40" customWidth="1"/>
    <col min="8709" max="8709" width="23.42578125" style="40" customWidth="1"/>
    <col min="8710" max="8710" width="23" style="40" customWidth="1"/>
    <col min="8711" max="8711" width="0" style="40" hidden="1" customWidth="1"/>
    <col min="8712" max="8712" width="25.28515625" style="40" customWidth="1"/>
    <col min="8713" max="8960" width="9.140625" style="40"/>
    <col min="8961" max="8961" width="2.42578125" style="40" customWidth="1"/>
    <col min="8962" max="8962" width="22.42578125" style="40" customWidth="1"/>
    <col min="8963" max="8963" width="31.28515625" style="40" customWidth="1"/>
    <col min="8964" max="8964" width="19.140625" style="40" customWidth="1"/>
    <col min="8965" max="8965" width="23.42578125" style="40" customWidth="1"/>
    <col min="8966" max="8966" width="23" style="40" customWidth="1"/>
    <col min="8967" max="8967" width="0" style="40" hidden="1" customWidth="1"/>
    <col min="8968" max="8968" width="25.28515625" style="40" customWidth="1"/>
    <col min="8969" max="9216" width="9.140625" style="40"/>
    <col min="9217" max="9217" width="2.42578125" style="40" customWidth="1"/>
    <col min="9218" max="9218" width="22.42578125" style="40" customWidth="1"/>
    <col min="9219" max="9219" width="31.28515625" style="40" customWidth="1"/>
    <col min="9220" max="9220" width="19.140625" style="40" customWidth="1"/>
    <col min="9221" max="9221" width="23.42578125" style="40" customWidth="1"/>
    <col min="9222" max="9222" width="23" style="40" customWidth="1"/>
    <col min="9223" max="9223" width="0" style="40" hidden="1" customWidth="1"/>
    <col min="9224" max="9224" width="25.28515625" style="40" customWidth="1"/>
    <col min="9225" max="9472" width="9.140625" style="40"/>
    <col min="9473" max="9473" width="2.42578125" style="40" customWidth="1"/>
    <col min="9474" max="9474" width="22.42578125" style="40" customWidth="1"/>
    <col min="9475" max="9475" width="31.28515625" style="40" customWidth="1"/>
    <col min="9476" max="9476" width="19.140625" style="40" customWidth="1"/>
    <col min="9477" max="9477" width="23.42578125" style="40" customWidth="1"/>
    <col min="9478" max="9478" width="23" style="40" customWidth="1"/>
    <col min="9479" max="9479" width="0" style="40" hidden="1" customWidth="1"/>
    <col min="9480" max="9480" width="25.28515625" style="40" customWidth="1"/>
    <col min="9481" max="9728" width="9.140625" style="40"/>
    <col min="9729" max="9729" width="2.42578125" style="40" customWidth="1"/>
    <col min="9730" max="9730" width="22.42578125" style="40" customWidth="1"/>
    <col min="9731" max="9731" width="31.28515625" style="40" customWidth="1"/>
    <col min="9732" max="9732" width="19.140625" style="40" customWidth="1"/>
    <col min="9733" max="9733" width="23.42578125" style="40" customWidth="1"/>
    <col min="9734" max="9734" width="23" style="40" customWidth="1"/>
    <col min="9735" max="9735" width="0" style="40" hidden="1" customWidth="1"/>
    <col min="9736" max="9736" width="25.28515625" style="40" customWidth="1"/>
    <col min="9737" max="9984" width="9.140625" style="40"/>
    <col min="9985" max="9985" width="2.42578125" style="40" customWidth="1"/>
    <col min="9986" max="9986" width="22.42578125" style="40" customWidth="1"/>
    <col min="9987" max="9987" width="31.28515625" style="40" customWidth="1"/>
    <col min="9988" max="9988" width="19.140625" style="40" customWidth="1"/>
    <col min="9989" max="9989" width="23.42578125" style="40" customWidth="1"/>
    <col min="9990" max="9990" width="23" style="40" customWidth="1"/>
    <col min="9991" max="9991" width="0" style="40" hidden="1" customWidth="1"/>
    <col min="9992" max="9992" width="25.28515625" style="40" customWidth="1"/>
    <col min="9993" max="10240" width="9.140625" style="40"/>
    <col min="10241" max="10241" width="2.42578125" style="40" customWidth="1"/>
    <col min="10242" max="10242" width="22.42578125" style="40" customWidth="1"/>
    <col min="10243" max="10243" width="31.28515625" style="40" customWidth="1"/>
    <col min="10244" max="10244" width="19.140625" style="40" customWidth="1"/>
    <col min="10245" max="10245" width="23.42578125" style="40" customWidth="1"/>
    <col min="10246" max="10246" width="23" style="40" customWidth="1"/>
    <col min="10247" max="10247" width="0" style="40" hidden="1" customWidth="1"/>
    <col min="10248" max="10248" width="25.28515625" style="40" customWidth="1"/>
    <col min="10249" max="10496" width="9.140625" style="40"/>
    <col min="10497" max="10497" width="2.42578125" style="40" customWidth="1"/>
    <col min="10498" max="10498" width="22.42578125" style="40" customWidth="1"/>
    <col min="10499" max="10499" width="31.28515625" style="40" customWidth="1"/>
    <col min="10500" max="10500" width="19.140625" style="40" customWidth="1"/>
    <col min="10501" max="10501" width="23.42578125" style="40" customWidth="1"/>
    <col min="10502" max="10502" width="23" style="40" customWidth="1"/>
    <col min="10503" max="10503" width="0" style="40" hidden="1" customWidth="1"/>
    <col min="10504" max="10504" width="25.28515625" style="40" customWidth="1"/>
    <col min="10505" max="10752" width="9.140625" style="40"/>
    <col min="10753" max="10753" width="2.42578125" style="40" customWidth="1"/>
    <col min="10754" max="10754" width="22.42578125" style="40" customWidth="1"/>
    <col min="10755" max="10755" width="31.28515625" style="40" customWidth="1"/>
    <col min="10756" max="10756" width="19.140625" style="40" customWidth="1"/>
    <col min="10757" max="10757" width="23.42578125" style="40" customWidth="1"/>
    <col min="10758" max="10758" width="23" style="40" customWidth="1"/>
    <col min="10759" max="10759" width="0" style="40" hidden="1" customWidth="1"/>
    <col min="10760" max="10760" width="25.28515625" style="40" customWidth="1"/>
    <col min="10761" max="11008" width="9.140625" style="40"/>
    <col min="11009" max="11009" width="2.42578125" style="40" customWidth="1"/>
    <col min="11010" max="11010" width="22.42578125" style="40" customWidth="1"/>
    <col min="11011" max="11011" width="31.28515625" style="40" customWidth="1"/>
    <col min="11012" max="11012" width="19.140625" style="40" customWidth="1"/>
    <col min="11013" max="11013" width="23.42578125" style="40" customWidth="1"/>
    <col min="11014" max="11014" width="23" style="40" customWidth="1"/>
    <col min="11015" max="11015" width="0" style="40" hidden="1" customWidth="1"/>
    <col min="11016" max="11016" width="25.28515625" style="40" customWidth="1"/>
    <col min="11017" max="11264" width="9.140625" style="40"/>
    <col min="11265" max="11265" width="2.42578125" style="40" customWidth="1"/>
    <col min="11266" max="11266" width="22.42578125" style="40" customWidth="1"/>
    <col min="11267" max="11267" width="31.28515625" style="40" customWidth="1"/>
    <col min="11268" max="11268" width="19.140625" style="40" customWidth="1"/>
    <col min="11269" max="11269" width="23.42578125" style="40" customWidth="1"/>
    <col min="11270" max="11270" width="23" style="40" customWidth="1"/>
    <col min="11271" max="11271" width="0" style="40" hidden="1" customWidth="1"/>
    <col min="11272" max="11272" width="25.28515625" style="40" customWidth="1"/>
    <col min="11273" max="11520" width="9.140625" style="40"/>
    <col min="11521" max="11521" width="2.42578125" style="40" customWidth="1"/>
    <col min="11522" max="11522" width="22.42578125" style="40" customWidth="1"/>
    <col min="11523" max="11523" width="31.28515625" style="40" customWidth="1"/>
    <col min="11524" max="11524" width="19.140625" style="40" customWidth="1"/>
    <col min="11525" max="11525" width="23.42578125" style="40" customWidth="1"/>
    <col min="11526" max="11526" width="23" style="40" customWidth="1"/>
    <col min="11527" max="11527" width="0" style="40" hidden="1" customWidth="1"/>
    <col min="11528" max="11528" width="25.28515625" style="40" customWidth="1"/>
    <col min="11529" max="11776" width="9.140625" style="40"/>
    <col min="11777" max="11777" width="2.42578125" style="40" customWidth="1"/>
    <col min="11778" max="11778" width="22.42578125" style="40" customWidth="1"/>
    <col min="11779" max="11779" width="31.28515625" style="40" customWidth="1"/>
    <col min="11780" max="11780" width="19.140625" style="40" customWidth="1"/>
    <col min="11781" max="11781" width="23.42578125" style="40" customWidth="1"/>
    <col min="11782" max="11782" width="23" style="40" customWidth="1"/>
    <col min="11783" max="11783" width="0" style="40" hidden="1" customWidth="1"/>
    <col min="11784" max="11784" width="25.28515625" style="40" customWidth="1"/>
    <col min="11785" max="12032" width="9.140625" style="40"/>
    <col min="12033" max="12033" width="2.42578125" style="40" customWidth="1"/>
    <col min="12034" max="12034" width="22.42578125" style="40" customWidth="1"/>
    <col min="12035" max="12035" width="31.28515625" style="40" customWidth="1"/>
    <col min="12036" max="12036" width="19.140625" style="40" customWidth="1"/>
    <col min="12037" max="12037" width="23.42578125" style="40" customWidth="1"/>
    <col min="12038" max="12038" width="23" style="40" customWidth="1"/>
    <col min="12039" max="12039" width="0" style="40" hidden="1" customWidth="1"/>
    <col min="12040" max="12040" width="25.28515625" style="40" customWidth="1"/>
    <col min="12041" max="12288" width="9.140625" style="40"/>
    <col min="12289" max="12289" width="2.42578125" style="40" customWidth="1"/>
    <col min="12290" max="12290" width="22.42578125" style="40" customWidth="1"/>
    <col min="12291" max="12291" width="31.28515625" style="40" customWidth="1"/>
    <col min="12292" max="12292" width="19.140625" style="40" customWidth="1"/>
    <col min="12293" max="12293" width="23.42578125" style="40" customWidth="1"/>
    <col min="12294" max="12294" width="23" style="40" customWidth="1"/>
    <col min="12295" max="12295" width="0" style="40" hidden="1" customWidth="1"/>
    <col min="12296" max="12296" width="25.28515625" style="40" customWidth="1"/>
    <col min="12297" max="12544" width="9.140625" style="40"/>
    <col min="12545" max="12545" width="2.42578125" style="40" customWidth="1"/>
    <col min="12546" max="12546" width="22.42578125" style="40" customWidth="1"/>
    <col min="12547" max="12547" width="31.28515625" style="40" customWidth="1"/>
    <col min="12548" max="12548" width="19.140625" style="40" customWidth="1"/>
    <col min="12549" max="12549" width="23.42578125" style="40" customWidth="1"/>
    <col min="12550" max="12550" width="23" style="40" customWidth="1"/>
    <col min="12551" max="12551" width="0" style="40" hidden="1" customWidth="1"/>
    <col min="12552" max="12552" width="25.28515625" style="40" customWidth="1"/>
    <col min="12553" max="12800" width="9.140625" style="40"/>
    <col min="12801" max="12801" width="2.42578125" style="40" customWidth="1"/>
    <col min="12802" max="12802" width="22.42578125" style="40" customWidth="1"/>
    <col min="12803" max="12803" width="31.28515625" style="40" customWidth="1"/>
    <col min="12804" max="12804" width="19.140625" style="40" customWidth="1"/>
    <col min="12805" max="12805" width="23.42578125" style="40" customWidth="1"/>
    <col min="12806" max="12806" width="23" style="40" customWidth="1"/>
    <col min="12807" max="12807" width="0" style="40" hidden="1" customWidth="1"/>
    <col min="12808" max="12808" width="25.28515625" style="40" customWidth="1"/>
    <col min="12809" max="13056" width="9.140625" style="40"/>
    <col min="13057" max="13057" width="2.42578125" style="40" customWidth="1"/>
    <col min="13058" max="13058" width="22.42578125" style="40" customWidth="1"/>
    <col min="13059" max="13059" width="31.28515625" style="40" customWidth="1"/>
    <col min="13060" max="13060" width="19.140625" style="40" customWidth="1"/>
    <col min="13061" max="13061" width="23.42578125" style="40" customWidth="1"/>
    <col min="13062" max="13062" width="23" style="40" customWidth="1"/>
    <col min="13063" max="13063" width="0" style="40" hidden="1" customWidth="1"/>
    <col min="13064" max="13064" width="25.28515625" style="40" customWidth="1"/>
    <col min="13065" max="13312" width="9.140625" style="40"/>
    <col min="13313" max="13313" width="2.42578125" style="40" customWidth="1"/>
    <col min="13314" max="13314" width="22.42578125" style="40" customWidth="1"/>
    <col min="13315" max="13315" width="31.28515625" style="40" customWidth="1"/>
    <col min="13316" max="13316" width="19.140625" style="40" customWidth="1"/>
    <col min="13317" max="13317" width="23.42578125" style="40" customWidth="1"/>
    <col min="13318" max="13318" width="23" style="40" customWidth="1"/>
    <col min="13319" max="13319" width="0" style="40" hidden="1" customWidth="1"/>
    <col min="13320" max="13320" width="25.28515625" style="40" customWidth="1"/>
    <col min="13321" max="13568" width="9.140625" style="40"/>
    <col min="13569" max="13569" width="2.42578125" style="40" customWidth="1"/>
    <col min="13570" max="13570" width="22.42578125" style="40" customWidth="1"/>
    <col min="13571" max="13571" width="31.28515625" style="40" customWidth="1"/>
    <col min="13572" max="13572" width="19.140625" style="40" customWidth="1"/>
    <col min="13573" max="13573" width="23.42578125" style="40" customWidth="1"/>
    <col min="13574" max="13574" width="23" style="40" customWidth="1"/>
    <col min="13575" max="13575" width="0" style="40" hidden="1" customWidth="1"/>
    <col min="13576" max="13576" width="25.28515625" style="40" customWidth="1"/>
    <col min="13577" max="13824" width="9.140625" style="40"/>
    <col min="13825" max="13825" width="2.42578125" style="40" customWidth="1"/>
    <col min="13826" max="13826" width="22.42578125" style="40" customWidth="1"/>
    <col min="13827" max="13827" width="31.28515625" style="40" customWidth="1"/>
    <col min="13828" max="13828" width="19.140625" style="40" customWidth="1"/>
    <col min="13829" max="13829" width="23.42578125" style="40" customWidth="1"/>
    <col min="13830" max="13830" width="23" style="40" customWidth="1"/>
    <col min="13831" max="13831" width="0" style="40" hidden="1" customWidth="1"/>
    <col min="13832" max="13832" width="25.28515625" style="40" customWidth="1"/>
    <col min="13833" max="14080" width="9.140625" style="40"/>
    <col min="14081" max="14081" width="2.42578125" style="40" customWidth="1"/>
    <col min="14082" max="14082" width="22.42578125" style="40" customWidth="1"/>
    <col min="14083" max="14083" width="31.28515625" style="40" customWidth="1"/>
    <col min="14084" max="14084" width="19.140625" style="40" customWidth="1"/>
    <col min="14085" max="14085" width="23.42578125" style="40" customWidth="1"/>
    <col min="14086" max="14086" width="23" style="40" customWidth="1"/>
    <col min="14087" max="14087" width="0" style="40" hidden="1" customWidth="1"/>
    <col min="14088" max="14088" width="25.28515625" style="40" customWidth="1"/>
    <col min="14089" max="14336" width="9.140625" style="40"/>
    <col min="14337" max="14337" width="2.42578125" style="40" customWidth="1"/>
    <col min="14338" max="14338" width="22.42578125" style="40" customWidth="1"/>
    <col min="14339" max="14339" width="31.28515625" style="40" customWidth="1"/>
    <col min="14340" max="14340" width="19.140625" style="40" customWidth="1"/>
    <col min="14341" max="14341" width="23.42578125" style="40" customWidth="1"/>
    <col min="14342" max="14342" width="23" style="40" customWidth="1"/>
    <col min="14343" max="14343" width="0" style="40" hidden="1" customWidth="1"/>
    <col min="14344" max="14344" width="25.28515625" style="40" customWidth="1"/>
    <col min="14345" max="14592" width="9.140625" style="40"/>
    <col min="14593" max="14593" width="2.42578125" style="40" customWidth="1"/>
    <col min="14594" max="14594" width="22.42578125" style="40" customWidth="1"/>
    <col min="14595" max="14595" width="31.28515625" style="40" customWidth="1"/>
    <col min="14596" max="14596" width="19.140625" style="40" customWidth="1"/>
    <col min="14597" max="14597" width="23.42578125" style="40" customWidth="1"/>
    <col min="14598" max="14598" width="23" style="40" customWidth="1"/>
    <col min="14599" max="14599" width="0" style="40" hidden="1" customWidth="1"/>
    <col min="14600" max="14600" width="25.28515625" style="40" customWidth="1"/>
    <col min="14601" max="14848" width="9.140625" style="40"/>
    <col min="14849" max="14849" width="2.42578125" style="40" customWidth="1"/>
    <col min="14850" max="14850" width="22.42578125" style="40" customWidth="1"/>
    <col min="14851" max="14851" width="31.28515625" style="40" customWidth="1"/>
    <col min="14852" max="14852" width="19.140625" style="40" customWidth="1"/>
    <col min="14853" max="14853" width="23.42578125" style="40" customWidth="1"/>
    <col min="14854" max="14854" width="23" style="40" customWidth="1"/>
    <col min="14855" max="14855" width="0" style="40" hidden="1" customWidth="1"/>
    <col min="14856" max="14856" width="25.28515625" style="40" customWidth="1"/>
    <col min="14857" max="15104" width="9.140625" style="40"/>
    <col min="15105" max="15105" width="2.42578125" style="40" customWidth="1"/>
    <col min="15106" max="15106" width="22.42578125" style="40" customWidth="1"/>
    <col min="15107" max="15107" width="31.28515625" style="40" customWidth="1"/>
    <col min="15108" max="15108" width="19.140625" style="40" customWidth="1"/>
    <col min="15109" max="15109" width="23.42578125" style="40" customWidth="1"/>
    <col min="15110" max="15110" width="23" style="40" customWidth="1"/>
    <col min="15111" max="15111" width="0" style="40" hidden="1" customWidth="1"/>
    <col min="15112" max="15112" width="25.28515625" style="40" customWidth="1"/>
    <col min="15113" max="15360" width="9.140625" style="40"/>
    <col min="15361" max="15361" width="2.42578125" style="40" customWidth="1"/>
    <col min="15362" max="15362" width="22.42578125" style="40" customWidth="1"/>
    <col min="15363" max="15363" width="31.28515625" style="40" customWidth="1"/>
    <col min="15364" max="15364" width="19.140625" style="40" customWidth="1"/>
    <col min="15365" max="15365" width="23.42578125" style="40" customWidth="1"/>
    <col min="15366" max="15366" width="23" style="40" customWidth="1"/>
    <col min="15367" max="15367" width="0" style="40" hidden="1" customWidth="1"/>
    <col min="15368" max="15368" width="25.28515625" style="40" customWidth="1"/>
    <col min="15369" max="15616" width="9.140625" style="40"/>
    <col min="15617" max="15617" width="2.42578125" style="40" customWidth="1"/>
    <col min="15618" max="15618" width="22.42578125" style="40" customWidth="1"/>
    <col min="15619" max="15619" width="31.28515625" style="40" customWidth="1"/>
    <col min="15620" max="15620" width="19.140625" style="40" customWidth="1"/>
    <col min="15621" max="15621" width="23.42578125" style="40" customWidth="1"/>
    <col min="15622" max="15622" width="23" style="40" customWidth="1"/>
    <col min="15623" max="15623" width="0" style="40" hidden="1" customWidth="1"/>
    <col min="15624" max="15624" width="25.28515625" style="40" customWidth="1"/>
    <col min="15625" max="15872" width="9.140625" style="40"/>
    <col min="15873" max="15873" width="2.42578125" style="40" customWidth="1"/>
    <col min="15874" max="15874" width="22.42578125" style="40" customWidth="1"/>
    <col min="15875" max="15875" width="31.28515625" style="40" customWidth="1"/>
    <col min="15876" max="15876" width="19.140625" style="40" customWidth="1"/>
    <col min="15877" max="15877" width="23.42578125" style="40" customWidth="1"/>
    <col min="15878" max="15878" width="23" style="40" customWidth="1"/>
    <col min="15879" max="15879" width="0" style="40" hidden="1" customWidth="1"/>
    <col min="15880" max="15880" width="25.28515625" style="40" customWidth="1"/>
    <col min="15881" max="16128" width="9.140625" style="40"/>
    <col min="16129" max="16129" width="2.42578125" style="40" customWidth="1"/>
    <col min="16130" max="16130" width="22.42578125" style="40" customWidth="1"/>
    <col min="16131" max="16131" width="31.28515625" style="40" customWidth="1"/>
    <col min="16132" max="16132" width="19.140625" style="40" customWidth="1"/>
    <col min="16133" max="16133" width="23.42578125" style="40" customWidth="1"/>
    <col min="16134" max="16134" width="23" style="40" customWidth="1"/>
    <col min="16135" max="16135" width="0" style="40" hidden="1" customWidth="1"/>
    <col min="16136" max="16136" width="25.28515625" style="40" customWidth="1"/>
    <col min="16137" max="16384" width="9.140625" style="40"/>
  </cols>
  <sheetData>
    <row r="1" spans="2:4" x14ac:dyDescent="0.25">
      <c r="B1" s="169"/>
      <c r="C1" s="169"/>
      <c r="D1" s="169"/>
    </row>
    <row r="2" spans="2:4" ht="42" customHeight="1" x14ac:dyDescent="0.25">
      <c r="B2" s="170" t="s">
        <v>58</v>
      </c>
      <c r="C2" s="170"/>
      <c r="D2" s="170"/>
    </row>
    <row r="3" spans="2:4" x14ac:dyDescent="0.25">
      <c r="B3" s="42"/>
      <c r="C3" s="41"/>
      <c r="D3" s="41"/>
    </row>
    <row r="4" spans="2:4" x14ac:dyDescent="0.25">
      <c r="B4" s="148" t="s">
        <v>59</v>
      </c>
      <c r="C4" s="148"/>
      <c r="D4" s="148"/>
    </row>
    <row r="5" spans="2:4" ht="15.75" x14ac:dyDescent="0.25">
      <c r="B5" s="19">
        <v>2019</v>
      </c>
      <c r="C5" s="14">
        <f>ROUNDDOWN('BE - Altenor'!J7,)</f>
        <v>915</v>
      </c>
      <c r="D5" s="19" t="s">
        <v>60</v>
      </c>
    </row>
    <row r="6" spans="2:4" ht="15.75" x14ac:dyDescent="0.25">
      <c r="B6" s="19">
        <v>2020</v>
      </c>
      <c r="C6" s="14">
        <f>ROUNDDOWN('BE - Altenor'!J8,)</f>
        <v>824</v>
      </c>
      <c r="D6" s="19" t="s">
        <v>60</v>
      </c>
    </row>
    <row r="7" spans="2:4" ht="15.75" x14ac:dyDescent="0.25">
      <c r="B7" s="43" t="s">
        <v>16</v>
      </c>
      <c r="C7" s="44">
        <f>SUM(C5:C6)</f>
        <v>1739</v>
      </c>
      <c r="D7" s="43" t="s">
        <v>61</v>
      </c>
    </row>
    <row r="8" spans="2:4" x14ac:dyDescent="0.25">
      <c r="B8" s="41"/>
      <c r="C8" s="41"/>
      <c r="D8" s="41"/>
    </row>
    <row r="9" spans="2:4" x14ac:dyDescent="0.25">
      <c r="B9" s="170" t="s">
        <v>62</v>
      </c>
      <c r="C9" s="170"/>
      <c r="D9" s="170"/>
    </row>
    <row r="10" spans="2:4" ht="15.75" x14ac:dyDescent="0.25">
      <c r="B10" s="19">
        <v>2019</v>
      </c>
      <c r="C10" s="45">
        <f>ROUNDUP('PE - Altenor'!H7,)</f>
        <v>165</v>
      </c>
      <c r="D10" s="19" t="s">
        <v>60</v>
      </c>
    </row>
    <row r="11" spans="2:4" ht="15.75" x14ac:dyDescent="0.25">
      <c r="B11" s="19">
        <v>2020</v>
      </c>
      <c r="C11" s="45">
        <f>ROUNDUP('PE - Altenor'!H8,)</f>
        <v>143</v>
      </c>
      <c r="D11" s="19" t="s">
        <v>60</v>
      </c>
    </row>
    <row r="12" spans="2:4" ht="15.75" x14ac:dyDescent="0.25">
      <c r="B12" s="43" t="s">
        <v>16</v>
      </c>
      <c r="C12" s="44">
        <f>SUM(C10:C11)</f>
        <v>308</v>
      </c>
      <c r="D12" s="43" t="s">
        <v>61</v>
      </c>
    </row>
    <row r="13" spans="2:4" x14ac:dyDescent="0.25">
      <c r="B13" s="41"/>
      <c r="C13" s="41"/>
      <c r="D13" s="41"/>
    </row>
    <row r="14" spans="2:4" x14ac:dyDescent="0.25">
      <c r="B14" s="148" t="s">
        <v>63</v>
      </c>
      <c r="C14" s="148"/>
      <c r="D14" s="148"/>
    </row>
    <row r="15" spans="2:4" ht="15.75" x14ac:dyDescent="0.25">
      <c r="B15" s="19">
        <v>2019</v>
      </c>
      <c r="C15" s="14">
        <f>ROUNDDOWN(C5-C10,)</f>
        <v>750</v>
      </c>
      <c r="D15" s="19" t="s">
        <v>60</v>
      </c>
    </row>
    <row r="16" spans="2:4" ht="15.75" x14ac:dyDescent="0.25">
      <c r="B16" s="19">
        <v>2020</v>
      </c>
      <c r="C16" s="14">
        <f>ROUNDDOWN(C6-C11,)</f>
        <v>681</v>
      </c>
      <c r="D16" s="19" t="s">
        <v>60</v>
      </c>
    </row>
    <row r="17" spans="2:4" ht="15.75" x14ac:dyDescent="0.25">
      <c r="B17" s="43" t="s">
        <v>16</v>
      </c>
      <c r="C17" s="44">
        <f>SUM(C15:C16)</f>
        <v>1431</v>
      </c>
      <c r="D17" s="43" t="s">
        <v>61</v>
      </c>
    </row>
  </sheetData>
  <mergeCells count="5">
    <mergeCell ref="B1:D1"/>
    <mergeCell ref="B2:D2"/>
    <mergeCell ref="B4:D4"/>
    <mergeCell ref="B9:D9"/>
    <mergeCell ref="B14:D14"/>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13FC-FC03-417D-A6CA-64235508CE35}">
  <sheetPr>
    <tabColor rgb="FFC2D7E0"/>
  </sheetPr>
  <dimension ref="A1:Y75"/>
  <sheetViews>
    <sheetView zoomScale="80" zoomScaleNormal="80" workbookViewId="0">
      <selection activeCell="B2" sqref="B2:J2"/>
    </sheetView>
  </sheetViews>
  <sheetFormatPr defaultRowHeight="14.25" x14ac:dyDescent="0.25"/>
  <cols>
    <col min="1" max="1" width="4.140625" style="46" customWidth="1"/>
    <col min="2" max="10" width="13.5703125" style="46" customWidth="1"/>
    <col min="11" max="11" width="4.140625" style="46" customWidth="1"/>
    <col min="12" max="12" width="46.7109375" style="49" customWidth="1"/>
    <col min="13" max="13" width="25.85546875" style="49" customWidth="1"/>
    <col min="14" max="14" width="23.7109375" style="58" customWidth="1"/>
    <col min="15" max="15" width="11.85546875" style="49" customWidth="1"/>
    <col min="16" max="16" width="39.140625" style="50" customWidth="1"/>
    <col min="17" max="17" width="16.140625" style="50" customWidth="1"/>
    <col min="18" max="18" width="13.85546875" style="50" customWidth="1"/>
    <col min="19" max="19" width="14.7109375" style="49" customWidth="1"/>
    <col min="20" max="20" width="9.140625" style="49"/>
    <col min="21" max="21" width="11.5703125" style="49" bestFit="1" customWidth="1"/>
    <col min="22" max="22" width="9.140625" style="49"/>
    <col min="23" max="23" width="11.5703125" style="49" bestFit="1" customWidth="1"/>
    <col min="24" max="256" width="9.140625" style="49"/>
    <col min="257" max="257" width="4.140625" style="49" customWidth="1"/>
    <col min="258" max="266" width="13.5703125" style="49" customWidth="1"/>
    <col min="267" max="267" width="4.140625" style="49" customWidth="1"/>
    <col min="268" max="268" width="46.7109375" style="49" customWidth="1"/>
    <col min="269" max="269" width="25.85546875" style="49" customWidth="1"/>
    <col min="270" max="270" width="23.7109375" style="49" customWidth="1"/>
    <col min="271" max="271" width="11.85546875" style="49" customWidth="1"/>
    <col min="272" max="272" width="39.140625" style="49" customWidth="1"/>
    <col min="273" max="273" width="16.140625" style="49" customWidth="1"/>
    <col min="274" max="274" width="13.85546875" style="49" customWidth="1"/>
    <col min="275" max="275" width="14.7109375" style="49" customWidth="1"/>
    <col min="276" max="276" width="9.140625" style="49"/>
    <col min="277" max="277" width="11.5703125" style="49" bestFit="1" customWidth="1"/>
    <col min="278" max="278" width="9.140625" style="49"/>
    <col min="279" max="279" width="11.5703125" style="49" bestFit="1" customWidth="1"/>
    <col min="280" max="512" width="9.140625" style="49"/>
    <col min="513" max="513" width="4.140625" style="49" customWidth="1"/>
    <col min="514" max="522" width="13.5703125" style="49" customWidth="1"/>
    <col min="523" max="523" width="4.140625" style="49" customWidth="1"/>
    <col min="524" max="524" width="46.7109375" style="49" customWidth="1"/>
    <col min="525" max="525" width="25.85546875" style="49" customWidth="1"/>
    <col min="526" max="526" width="23.7109375" style="49" customWidth="1"/>
    <col min="527" max="527" width="11.85546875" style="49" customWidth="1"/>
    <col min="528" max="528" width="39.140625" style="49" customWidth="1"/>
    <col min="529" max="529" width="16.140625" style="49" customWidth="1"/>
    <col min="530" max="530" width="13.85546875" style="49" customWidth="1"/>
    <col min="531" max="531" width="14.7109375" style="49" customWidth="1"/>
    <col min="532" max="532" width="9.140625" style="49"/>
    <col min="533" max="533" width="11.5703125" style="49" bestFit="1" customWidth="1"/>
    <col min="534" max="534" width="9.140625" style="49"/>
    <col min="535" max="535" width="11.5703125" style="49" bestFit="1" customWidth="1"/>
    <col min="536" max="768" width="9.140625" style="49"/>
    <col min="769" max="769" width="4.140625" style="49" customWidth="1"/>
    <col min="770" max="778" width="13.5703125" style="49" customWidth="1"/>
    <col min="779" max="779" width="4.140625" style="49" customWidth="1"/>
    <col min="780" max="780" width="46.7109375" style="49" customWidth="1"/>
    <col min="781" max="781" width="25.85546875" style="49" customWidth="1"/>
    <col min="782" max="782" width="23.7109375" style="49" customWidth="1"/>
    <col min="783" max="783" width="11.85546875" style="49" customWidth="1"/>
    <col min="784" max="784" width="39.140625" style="49" customWidth="1"/>
    <col min="785" max="785" width="16.140625" style="49" customWidth="1"/>
    <col min="786" max="786" width="13.85546875" style="49" customWidth="1"/>
    <col min="787" max="787" width="14.7109375" style="49" customWidth="1"/>
    <col min="788" max="788" width="9.140625" style="49"/>
    <col min="789" max="789" width="11.5703125" style="49" bestFit="1" customWidth="1"/>
    <col min="790" max="790" width="9.140625" style="49"/>
    <col min="791" max="791" width="11.5703125" style="49" bestFit="1" customWidth="1"/>
    <col min="792" max="1024" width="9.140625" style="49"/>
    <col min="1025" max="1025" width="4.140625" style="49" customWidth="1"/>
    <col min="1026" max="1034" width="13.5703125" style="49" customWidth="1"/>
    <col min="1035" max="1035" width="4.140625" style="49" customWidth="1"/>
    <col min="1036" max="1036" width="46.7109375" style="49" customWidth="1"/>
    <col min="1037" max="1037" width="25.85546875" style="49" customWidth="1"/>
    <col min="1038" max="1038" width="23.7109375" style="49" customWidth="1"/>
    <col min="1039" max="1039" width="11.85546875" style="49" customWidth="1"/>
    <col min="1040" max="1040" width="39.140625" style="49" customWidth="1"/>
    <col min="1041" max="1041" width="16.140625" style="49" customWidth="1"/>
    <col min="1042" max="1042" width="13.85546875" style="49" customWidth="1"/>
    <col min="1043" max="1043" width="14.7109375" style="49" customWidth="1"/>
    <col min="1044" max="1044" width="9.140625" style="49"/>
    <col min="1045" max="1045" width="11.5703125" style="49" bestFit="1" customWidth="1"/>
    <col min="1046" max="1046" width="9.140625" style="49"/>
    <col min="1047" max="1047" width="11.5703125" style="49" bestFit="1" customWidth="1"/>
    <col min="1048" max="1280" width="9.140625" style="49"/>
    <col min="1281" max="1281" width="4.140625" style="49" customWidth="1"/>
    <col min="1282" max="1290" width="13.5703125" style="49" customWidth="1"/>
    <col min="1291" max="1291" width="4.140625" style="49" customWidth="1"/>
    <col min="1292" max="1292" width="46.7109375" style="49" customWidth="1"/>
    <col min="1293" max="1293" width="25.85546875" style="49" customWidth="1"/>
    <col min="1294" max="1294" width="23.7109375" style="49" customWidth="1"/>
    <col min="1295" max="1295" width="11.85546875" style="49" customWidth="1"/>
    <col min="1296" max="1296" width="39.140625" style="49" customWidth="1"/>
    <col min="1297" max="1297" width="16.140625" style="49" customWidth="1"/>
    <col min="1298" max="1298" width="13.85546875" style="49" customWidth="1"/>
    <col min="1299" max="1299" width="14.7109375" style="49" customWidth="1"/>
    <col min="1300" max="1300" width="9.140625" style="49"/>
    <col min="1301" max="1301" width="11.5703125" style="49" bestFit="1" customWidth="1"/>
    <col min="1302" max="1302" width="9.140625" style="49"/>
    <col min="1303" max="1303" width="11.5703125" style="49" bestFit="1" customWidth="1"/>
    <col min="1304" max="1536" width="9.140625" style="49"/>
    <col min="1537" max="1537" width="4.140625" style="49" customWidth="1"/>
    <col min="1538" max="1546" width="13.5703125" style="49" customWidth="1"/>
    <col min="1547" max="1547" width="4.140625" style="49" customWidth="1"/>
    <col min="1548" max="1548" width="46.7109375" style="49" customWidth="1"/>
    <col min="1549" max="1549" width="25.85546875" style="49" customWidth="1"/>
    <col min="1550" max="1550" width="23.7109375" style="49" customWidth="1"/>
    <col min="1551" max="1551" width="11.85546875" style="49" customWidth="1"/>
    <col min="1552" max="1552" width="39.140625" style="49" customWidth="1"/>
    <col min="1553" max="1553" width="16.140625" style="49" customWidth="1"/>
    <col min="1554" max="1554" width="13.85546875" style="49" customWidth="1"/>
    <col min="1555" max="1555" width="14.7109375" style="49" customWidth="1"/>
    <col min="1556" max="1556" width="9.140625" style="49"/>
    <col min="1557" max="1557" width="11.5703125" style="49" bestFit="1" customWidth="1"/>
    <col min="1558" max="1558" width="9.140625" style="49"/>
    <col min="1559" max="1559" width="11.5703125" style="49" bestFit="1" customWidth="1"/>
    <col min="1560" max="1792" width="9.140625" style="49"/>
    <col min="1793" max="1793" width="4.140625" style="49" customWidth="1"/>
    <col min="1794" max="1802" width="13.5703125" style="49" customWidth="1"/>
    <col min="1803" max="1803" width="4.140625" style="49" customWidth="1"/>
    <col min="1804" max="1804" width="46.7109375" style="49" customWidth="1"/>
    <col min="1805" max="1805" width="25.85546875" style="49" customWidth="1"/>
    <col min="1806" max="1806" width="23.7109375" style="49" customWidth="1"/>
    <col min="1807" max="1807" width="11.85546875" style="49" customWidth="1"/>
    <col min="1808" max="1808" width="39.140625" style="49" customWidth="1"/>
    <col min="1809" max="1809" width="16.140625" style="49" customWidth="1"/>
    <col min="1810" max="1810" width="13.85546875" style="49" customWidth="1"/>
    <col min="1811" max="1811" width="14.7109375" style="49" customWidth="1"/>
    <col min="1812" max="1812" width="9.140625" style="49"/>
    <col min="1813" max="1813" width="11.5703125" style="49" bestFit="1" customWidth="1"/>
    <col min="1814" max="1814" width="9.140625" style="49"/>
    <col min="1815" max="1815" width="11.5703125" style="49" bestFit="1" customWidth="1"/>
    <col min="1816" max="2048" width="9.140625" style="49"/>
    <col min="2049" max="2049" width="4.140625" style="49" customWidth="1"/>
    <col min="2050" max="2058" width="13.5703125" style="49" customWidth="1"/>
    <col min="2059" max="2059" width="4.140625" style="49" customWidth="1"/>
    <col min="2060" max="2060" width="46.7109375" style="49" customWidth="1"/>
    <col min="2061" max="2061" width="25.85546875" style="49" customWidth="1"/>
    <col min="2062" max="2062" width="23.7109375" style="49" customWidth="1"/>
    <col min="2063" max="2063" width="11.85546875" style="49" customWidth="1"/>
    <col min="2064" max="2064" width="39.140625" style="49" customWidth="1"/>
    <col min="2065" max="2065" width="16.140625" style="49" customWidth="1"/>
    <col min="2066" max="2066" width="13.85546875" style="49" customWidth="1"/>
    <col min="2067" max="2067" width="14.7109375" style="49" customWidth="1"/>
    <col min="2068" max="2068" width="9.140625" style="49"/>
    <col min="2069" max="2069" width="11.5703125" style="49" bestFit="1" customWidth="1"/>
    <col min="2070" max="2070" width="9.140625" style="49"/>
    <col min="2071" max="2071" width="11.5703125" style="49" bestFit="1" customWidth="1"/>
    <col min="2072" max="2304" width="9.140625" style="49"/>
    <col min="2305" max="2305" width="4.140625" style="49" customWidth="1"/>
    <col min="2306" max="2314" width="13.5703125" style="49" customWidth="1"/>
    <col min="2315" max="2315" width="4.140625" style="49" customWidth="1"/>
    <col min="2316" max="2316" width="46.7109375" style="49" customWidth="1"/>
    <col min="2317" max="2317" width="25.85546875" style="49" customWidth="1"/>
    <col min="2318" max="2318" width="23.7109375" style="49" customWidth="1"/>
    <col min="2319" max="2319" width="11.85546875" style="49" customWidth="1"/>
    <col min="2320" max="2320" width="39.140625" style="49" customWidth="1"/>
    <col min="2321" max="2321" width="16.140625" style="49" customWidth="1"/>
    <col min="2322" max="2322" width="13.85546875" style="49" customWidth="1"/>
    <col min="2323" max="2323" width="14.7109375" style="49" customWidth="1"/>
    <col min="2324" max="2324" width="9.140625" style="49"/>
    <col min="2325" max="2325" width="11.5703125" style="49" bestFit="1" customWidth="1"/>
    <col min="2326" max="2326" width="9.140625" style="49"/>
    <col min="2327" max="2327" width="11.5703125" style="49" bestFit="1" customWidth="1"/>
    <col min="2328" max="2560" width="9.140625" style="49"/>
    <col min="2561" max="2561" width="4.140625" style="49" customWidth="1"/>
    <col min="2562" max="2570" width="13.5703125" style="49" customWidth="1"/>
    <col min="2571" max="2571" width="4.140625" style="49" customWidth="1"/>
    <col min="2572" max="2572" width="46.7109375" style="49" customWidth="1"/>
    <col min="2573" max="2573" width="25.85546875" style="49" customWidth="1"/>
    <col min="2574" max="2574" width="23.7109375" style="49" customWidth="1"/>
    <col min="2575" max="2575" width="11.85546875" style="49" customWidth="1"/>
    <col min="2576" max="2576" width="39.140625" style="49" customWidth="1"/>
    <col min="2577" max="2577" width="16.140625" style="49" customWidth="1"/>
    <col min="2578" max="2578" width="13.85546875" style="49" customWidth="1"/>
    <col min="2579" max="2579" width="14.7109375" style="49" customWidth="1"/>
    <col min="2580" max="2580" width="9.140625" style="49"/>
    <col min="2581" max="2581" width="11.5703125" style="49" bestFit="1" customWidth="1"/>
    <col min="2582" max="2582" width="9.140625" style="49"/>
    <col min="2583" max="2583" width="11.5703125" style="49" bestFit="1" customWidth="1"/>
    <col min="2584" max="2816" width="9.140625" style="49"/>
    <col min="2817" max="2817" width="4.140625" style="49" customWidth="1"/>
    <col min="2818" max="2826" width="13.5703125" style="49" customWidth="1"/>
    <col min="2827" max="2827" width="4.140625" style="49" customWidth="1"/>
    <col min="2828" max="2828" width="46.7109375" style="49" customWidth="1"/>
    <col min="2829" max="2829" width="25.85546875" style="49" customWidth="1"/>
    <col min="2830" max="2830" width="23.7109375" style="49" customWidth="1"/>
    <col min="2831" max="2831" width="11.85546875" style="49" customWidth="1"/>
    <col min="2832" max="2832" width="39.140625" style="49" customWidth="1"/>
    <col min="2833" max="2833" width="16.140625" style="49" customWidth="1"/>
    <col min="2834" max="2834" width="13.85546875" style="49" customWidth="1"/>
    <col min="2835" max="2835" width="14.7109375" style="49" customWidth="1"/>
    <col min="2836" max="2836" width="9.140625" style="49"/>
    <col min="2837" max="2837" width="11.5703125" style="49" bestFit="1" customWidth="1"/>
    <col min="2838" max="2838" width="9.140625" style="49"/>
    <col min="2839" max="2839" width="11.5703125" style="49" bestFit="1" customWidth="1"/>
    <col min="2840" max="3072" width="9.140625" style="49"/>
    <col min="3073" max="3073" width="4.140625" style="49" customWidth="1"/>
    <col min="3074" max="3082" width="13.5703125" style="49" customWidth="1"/>
    <col min="3083" max="3083" width="4.140625" style="49" customWidth="1"/>
    <col min="3084" max="3084" width="46.7109375" style="49" customWidth="1"/>
    <col min="3085" max="3085" width="25.85546875" style="49" customWidth="1"/>
    <col min="3086" max="3086" width="23.7109375" style="49" customWidth="1"/>
    <col min="3087" max="3087" width="11.85546875" style="49" customWidth="1"/>
    <col min="3088" max="3088" width="39.140625" style="49" customWidth="1"/>
    <col min="3089" max="3089" width="16.140625" style="49" customWidth="1"/>
    <col min="3090" max="3090" width="13.85546875" style="49" customWidth="1"/>
    <col min="3091" max="3091" width="14.7109375" style="49" customWidth="1"/>
    <col min="3092" max="3092" width="9.140625" style="49"/>
    <col min="3093" max="3093" width="11.5703125" style="49" bestFit="1" customWidth="1"/>
    <col min="3094" max="3094" width="9.140625" style="49"/>
    <col min="3095" max="3095" width="11.5703125" style="49" bestFit="1" customWidth="1"/>
    <col min="3096" max="3328" width="9.140625" style="49"/>
    <col min="3329" max="3329" width="4.140625" style="49" customWidth="1"/>
    <col min="3330" max="3338" width="13.5703125" style="49" customWidth="1"/>
    <col min="3339" max="3339" width="4.140625" style="49" customWidth="1"/>
    <col min="3340" max="3340" width="46.7109375" style="49" customWidth="1"/>
    <col min="3341" max="3341" width="25.85546875" style="49" customWidth="1"/>
    <col min="3342" max="3342" width="23.7109375" style="49" customWidth="1"/>
    <col min="3343" max="3343" width="11.85546875" style="49" customWidth="1"/>
    <col min="3344" max="3344" width="39.140625" style="49" customWidth="1"/>
    <col min="3345" max="3345" width="16.140625" style="49" customWidth="1"/>
    <col min="3346" max="3346" width="13.85546875" style="49" customWidth="1"/>
    <col min="3347" max="3347" width="14.7109375" style="49" customWidth="1"/>
    <col min="3348" max="3348" width="9.140625" style="49"/>
    <col min="3349" max="3349" width="11.5703125" style="49" bestFit="1" customWidth="1"/>
    <col min="3350" max="3350" width="9.140625" style="49"/>
    <col min="3351" max="3351" width="11.5703125" style="49" bestFit="1" customWidth="1"/>
    <col min="3352" max="3584" width="9.140625" style="49"/>
    <col min="3585" max="3585" width="4.140625" style="49" customWidth="1"/>
    <col min="3586" max="3594" width="13.5703125" style="49" customWidth="1"/>
    <col min="3595" max="3595" width="4.140625" style="49" customWidth="1"/>
    <col min="3596" max="3596" width="46.7109375" style="49" customWidth="1"/>
    <col min="3597" max="3597" width="25.85546875" style="49" customWidth="1"/>
    <col min="3598" max="3598" width="23.7109375" style="49" customWidth="1"/>
    <col min="3599" max="3599" width="11.85546875" style="49" customWidth="1"/>
    <col min="3600" max="3600" width="39.140625" style="49" customWidth="1"/>
    <col min="3601" max="3601" width="16.140625" style="49" customWidth="1"/>
    <col min="3602" max="3602" width="13.85546875" style="49" customWidth="1"/>
    <col min="3603" max="3603" width="14.7109375" style="49" customWidth="1"/>
    <col min="3604" max="3604" width="9.140625" style="49"/>
    <col min="3605" max="3605" width="11.5703125" style="49" bestFit="1" customWidth="1"/>
    <col min="3606" max="3606" width="9.140625" style="49"/>
    <col min="3607" max="3607" width="11.5703125" style="49" bestFit="1" customWidth="1"/>
    <col min="3608" max="3840" width="9.140625" style="49"/>
    <col min="3841" max="3841" width="4.140625" style="49" customWidth="1"/>
    <col min="3842" max="3850" width="13.5703125" style="49" customWidth="1"/>
    <col min="3851" max="3851" width="4.140625" style="49" customWidth="1"/>
    <col min="3852" max="3852" width="46.7109375" style="49" customWidth="1"/>
    <col min="3853" max="3853" width="25.85546875" style="49" customWidth="1"/>
    <col min="3854" max="3854" width="23.7109375" style="49" customWidth="1"/>
    <col min="3855" max="3855" width="11.85546875" style="49" customWidth="1"/>
    <col min="3856" max="3856" width="39.140625" style="49" customWidth="1"/>
    <col min="3857" max="3857" width="16.140625" style="49" customWidth="1"/>
    <col min="3858" max="3858" width="13.85546875" style="49" customWidth="1"/>
    <col min="3859" max="3859" width="14.7109375" style="49" customWidth="1"/>
    <col min="3860" max="3860" width="9.140625" style="49"/>
    <col min="3861" max="3861" width="11.5703125" style="49" bestFit="1" customWidth="1"/>
    <col min="3862" max="3862" width="9.140625" style="49"/>
    <col min="3863" max="3863" width="11.5703125" style="49" bestFit="1" customWidth="1"/>
    <col min="3864" max="4096" width="9.140625" style="49"/>
    <col min="4097" max="4097" width="4.140625" style="49" customWidth="1"/>
    <col min="4098" max="4106" width="13.5703125" style="49" customWidth="1"/>
    <col min="4107" max="4107" width="4.140625" style="49" customWidth="1"/>
    <col min="4108" max="4108" width="46.7109375" style="49" customWidth="1"/>
    <col min="4109" max="4109" width="25.85546875" style="49" customWidth="1"/>
    <col min="4110" max="4110" width="23.7109375" style="49" customWidth="1"/>
    <col min="4111" max="4111" width="11.85546875" style="49" customWidth="1"/>
    <col min="4112" max="4112" width="39.140625" style="49" customWidth="1"/>
    <col min="4113" max="4113" width="16.140625" style="49" customWidth="1"/>
    <col min="4114" max="4114" width="13.85546875" style="49" customWidth="1"/>
    <col min="4115" max="4115" width="14.7109375" style="49" customWidth="1"/>
    <col min="4116" max="4116" width="9.140625" style="49"/>
    <col min="4117" max="4117" width="11.5703125" style="49" bestFit="1" customWidth="1"/>
    <col min="4118" max="4118" width="9.140625" style="49"/>
    <col min="4119" max="4119" width="11.5703125" style="49" bestFit="1" customWidth="1"/>
    <col min="4120" max="4352" width="9.140625" style="49"/>
    <col min="4353" max="4353" width="4.140625" style="49" customWidth="1"/>
    <col min="4354" max="4362" width="13.5703125" style="49" customWidth="1"/>
    <col min="4363" max="4363" width="4.140625" style="49" customWidth="1"/>
    <col min="4364" max="4364" width="46.7109375" style="49" customWidth="1"/>
    <col min="4365" max="4365" width="25.85546875" style="49" customWidth="1"/>
    <col min="4366" max="4366" width="23.7109375" style="49" customWidth="1"/>
    <col min="4367" max="4367" width="11.85546875" style="49" customWidth="1"/>
    <col min="4368" max="4368" width="39.140625" style="49" customWidth="1"/>
    <col min="4369" max="4369" width="16.140625" style="49" customWidth="1"/>
    <col min="4370" max="4370" width="13.85546875" style="49" customWidth="1"/>
    <col min="4371" max="4371" width="14.7109375" style="49" customWidth="1"/>
    <col min="4372" max="4372" width="9.140625" style="49"/>
    <col min="4373" max="4373" width="11.5703125" style="49" bestFit="1" customWidth="1"/>
    <col min="4374" max="4374" width="9.140625" style="49"/>
    <col min="4375" max="4375" width="11.5703125" style="49" bestFit="1" customWidth="1"/>
    <col min="4376" max="4608" width="9.140625" style="49"/>
    <col min="4609" max="4609" width="4.140625" style="49" customWidth="1"/>
    <col min="4610" max="4618" width="13.5703125" style="49" customWidth="1"/>
    <col min="4619" max="4619" width="4.140625" style="49" customWidth="1"/>
    <col min="4620" max="4620" width="46.7109375" style="49" customWidth="1"/>
    <col min="4621" max="4621" width="25.85546875" style="49" customWidth="1"/>
    <col min="4622" max="4622" width="23.7109375" style="49" customWidth="1"/>
    <col min="4623" max="4623" width="11.85546875" style="49" customWidth="1"/>
    <col min="4624" max="4624" width="39.140625" style="49" customWidth="1"/>
    <col min="4625" max="4625" width="16.140625" style="49" customWidth="1"/>
    <col min="4626" max="4626" width="13.85546875" style="49" customWidth="1"/>
    <col min="4627" max="4627" width="14.7109375" style="49" customWidth="1"/>
    <col min="4628" max="4628" width="9.140625" style="49"/>
    <col min="4629" max="4629" width="11.5703125" style="49" bestFit="1" customWidth="1"/>
    <col min="4630" max="4630" width="9.140625" style="49"/>
    <col min="4631" max="4631" width="11.5703125" style="49" bestFit="1" customWidth="1"/>
    <col min="4632" max="4864" width="9.140625" style="49"/>
    <col min="4865" max="4865" width="4.140625" style="49" customWidth="1"/>
    <col min="4866" max="4874" width="13.5703125" style="49" customWidth="1"/>
    <col min="4875" max="4875" width="4.140625" style="49" customWidth="1"/>
    <col min="4876" max="4876" width="46.7109375" style="49" customWidth="1"/>
    <col min="4877" max="4877" width="25.85546875" style="49" customWidth="1"/>
    <col min="4878" max="4878" width="23.7109375" style="49" customWidth="1"/>
    <col min="4879" max="4879" width="11.85546875" style="49" customWidth="1"/>
    <col min="4880" max="4880" width="39.140625" style="49" customWidth="1"/>
    <col min="4881" max="4881" width="16.140625" style="49" customWidth="1"/>
    <col min="4882" max="4882" width="13.85546875" style="49" customWidth="1"/>
    <col min="4883" max="4883" width="14.7109375" style="49" customWidth="1"/>
    <col min="4884" max="4884" width="9.140625" style="49"/>
    <col min="4885" max="4885" width="11.5703125" style="49" bestFit="1" customWidth="1"/>
    <col min="4886" max="4886" width="9.140625" style="49"/>
    <col min="4887" max="4887" width="11.5703125" style="49" bestFit="1" customWidth="1"/>
    <col min="4888" max="5120" width="9.140625" style="49"/>
    <col min="5121" max="5121" width="4.140625" style="49" customWidth="1"/>
    <col min="5122" max="5130" width="13.5703125" style="49" customWidth="1"/>
    <col min="5131" max="5131" width="4.140625" style="49" customWidth="1"/>
    <col min="5132" max="5132" width="46.7109375" style="49" customWidth="1"/>
    <col min="5133" max="5133" width="25.85546875" style="49" customWidth="1"/>
    <col min="5134" max="5134" width="23.7109375" style="49" customWidth="1"/>
    <col min="5135" max="5135" width="11.85546875" style="49" customWidth="1"/>
    <col min="5136" max="5136" width="39.140625" style="49" customWidth="1"/>
    <col min="5137" max="5137" width="16.140625" style="49" customWidth="1"/>
    <col min="5138" max="5138" width="13.85546875" style="49" customWidth="1"/>
    <col min="5139" max="5139" width="14.7109375" style="49" customWidth="1"/>
    <col min="5140" max="5140" width="9.140625" style="49"/>
    <col min="5141" max="5141" width="11.5703125" style="49" bestFit="1" customWidth="1"/>
    <col min="5142" max="5142" width="9.140625" style="49"/>
    <col min="5143" max="5143" width="11.5703125" style="49" bestFit="1" customWidth="1"/>
    <col min="5144" max="5376" width="9.140625" style="49"/>
    <col min="5377" max="5377" width="4.140625" style="49" customWidth="1"/>
    <col min="5378" max="5386" width="13.5703125" style="49" customWidth="1"/>
    <col min="5387" max="5387" width="4.140625" style="49" customWidth="1"/>
    <col min="5388" max="5388" width="46.7109375" style="49" customWidth="1"/>
    <col min="5389" max="5389" width="25.85546875" style="49" customWidth="1"/>
    <col min="5390" max="5390" width="23.7109375" style="49" customWidth="1"/>
    <col min="5391" max="5391" width="11.85546875" style="49" customWidth="1"/>
    <col min="5392" max="5392" width="39.140625" style="49" customWidth="1"/>
    <col min="5393" max="5393" width="16.140625" style="49" customWidth="1"/>
    <col min="5394" max="5394" width="13.85546875" style="49" customWidth="1"/>
    <col min="5395" max="5395" width="14.7109375" style="49" customWidth="1"/>
    <col min="5396" max="5396" width="9.140625" style="49"/>
    <col min="5397" max="5397" width="11.5703125" style="49" bestFit="1" customWidth="1"/>
    <col min="5398" max="5398" width="9.140625" style="49"/>
    <col min="5399" max="5399" width="11.5703125" style="49" bestFit="1" customWidth="1"/>
    <col min="5400" max="5632" width="9.140625" style="49"/>
    <col min="5633" max="5633" width="4.140625" style="49" customWidth="1"/>
    <col min="5634" max="5642" width="13.5703125" style="49" customWidth="1"/>
    <col min="5643" max="5643" width="4.140625" style="49" customWidth="1"/>
    <col min="5644" max="5644" width="46.7109375" style="49" customWidth="1"/>
    <col min="5645" max="5645" width="25.85546875" style="49" customWidth="1"/>
    <col min="5646" max="5646" width="23.7109375" style="49" customWidth="1"/>
    <col min="5647" max="5647" width="11.85546875" style="49" customWidth="1"/>
    <col min="5648" max="5648" width="39.140625" style="49" customWidth="1"/>
    <col min="5649" max="5649" width="16.140625" style="49" customWidth="1"/>
    <col min="5650" max="5650" width="13.85546875" style="49" customWidth="1"/>
    <col min="5651" max="5651" width="14.7109375" style="49" customWidth="1"/>
    <col min="5652" max="5652" width="9.140625" style="49"/>
    <col min="5653" max="5653" width="11.5703125" style="49" bestFit="1" customWidth="1"/>
    <col min="5654" max="5654" width="9.140625" style="49"/>
    <col min="5655" max="5655" width="11.5703125" style="49" bestFit="1" customWidth="1"/>
    <col min="5656" max="5888" width="9.140625" style="49"/>
    <col min="5889" max="5889" width="4.140625" style="49" customWidth="1"/>
    <col min="5890" max="5898" width="13.5703125" style="49" customWidth="1"/>
    <col min="5899" max="5899" width="4.140625" style="49" customWidth="1"/>
    <col min="5900" max="5900" width="46.7109375" style="49" customWidth="1"/>
    <col min="5901" max="5901" width="25.85546875" style="49" customWidth="1"/>
    <col min="5902" max="5902" width="23.7109375" style="49" customWidth="1"/>
    <col min="5903" max="5903" width="11.85546875" style="49" customWidth="1"/>
    <col min="5904" max="5904" width="39.140625" style="49" customWidth="1"/>
    <col min="5905" max="5905" width="16.140625" style="49" customWidth="1"/>
    <col min="5906" max="5906" width="13.85546875" style="49" customWidth="1"/>
    <col min="5907" max="5907" width="14.7109375" style="49" customWidth="1"/>
    <col min="5908" max="5908" width="9.140625" style="49"/>
    <col min="5909" max="5909" width="11.5703125" style="49" bestFit="1" customWidth="1"/>
    <col min="5910" max="5910" width="9.140625" style="49"/>
    <col min="5911" max="5911" width="11.5703125" style="49" bestFit="1" customWidth="1"/>
    <col min="5912" max="6144" width="9.140625" style="49"/>
    <col min="6145" max="6145" width="4.140625" style="49" customWidth="1"/>
    <col min="6146" max="6154" width="13.5703125" style="49" customWidth="1"/>
    <col min="6155" max="6155" width="4.140625" style="49" customWidth="1"/>
    <col min="6156" max="6156" width="46.7109375" style="49" customWidth="1"/>
    <col min="6157" max="6157" width="25.85546875" style="49" customWidth="1"/>
    <col min="6158" max="6158" width="23.7109375" style="49" customWidth="1"/>
    <col min="6159" max="6159" width="11.85546875" style="49" customWidth="1"/>
    <col min="6160" max="6160" width="39.140625" style="49" customWidth="1"/>
    <col min="6161" max="6161" width="16.140625" style="49" customWidth="1"/>
    <col min="6162" max="6162" width="13.85546875" style="49" customWidth="1"/>
    <col min="6163" max="6163" width="14.7109375" style="49" customWidth="1"/>
    <col min="6164" max="6164" width="9.140625" style="49"/>
    <col min="6165" max="6165" width="11.5703125" style="49" bestFit="1" customWidth="1"/>
    <col min="6166" max="6166" width="9.140625" style="49"/>
    <col min="6167" max="6167" width="11.5703125" style="49" bestFit="1" customWidth="1"/>
    <col min="6168" max="6400" width="9.140625" style="49"/>
    <col min="6401" max="6401" width="4.140625" style="49" customWidth="1"/>
    <col min="6402" max="6410" width="13.5703125" style="49" customWidth="1"/>
    <col min="6411" max="6411" width="4.140625" style="49" customWidth="1"/>
    <col min="6412" max="6412" width="46.7109375" style="49" customWidth="1"/>
    <col min="6413" max="6413" width="25.85546875" style="49" customWidth="1"/>
    <col min="6414" max="6414" width="23.7109375" style="49" customWidth="1"/>
    <col min="6415" max="6415" width="11.85546875" style="49" customWidth="1"/>
    <col min="6416" max="6416" width="39.140625" style="49" customWidth="1"/>
    <col min="6417" max="6417" width="16.140625" style="49" customWidth="1"/>
    <col min="6418" max="6418" width="13.85546875" style="49" customWidth="1"/>
    <col min="6419" max="6419" width="14.7109375" style="49" customWidth="1"/>
    <col min="6420" max="6420" width="9.140625" style="49"/>
    <col min="6421" max="6421" width="11.5703125" style="49" bestFit="1" customWidth="1"/>
    <col min="6422" max="6422" width="9.140625" style="49"/>
    <col min="6423" max="6423" width="11.5703125" style="49" bestFit="1" customWidth="1"/>
    <col min="6424" max="6656" width="9.140625" style="49"/>
    <col min="6657" max="6657" width="4.140625" style="49" customWidth="1"/>
    <col min="6658" max="6666" width="13.5703125" style="49" customWidth="1"/>
    <col min="6667" max="6667" width="4.140625" style="49" customWidth="1"/>
    <col min="6668" max="6668" width="46.7109375" style="49" customWidth="1"/>
    <col min="6669" max="6669" width="25.85546875" style="49" customWidth="1"/>
    <col min="6670" max="6670" width="23.7109375" style="49" customWidth="1"/>
    <col min="6671" max="6671" width="11.85546875" style="49" customWidth="1"/>
    <col min="6672" max="6672" width="39.140625" style="49" customWidth="1"/>
    <col min="6673" max="6673" width="16.140625" style="49" customWidth="1"/>
    <col min="6674" max="6674" width="13.85546875" style="49" customWidth="1"/>
    <col min="6675" max="6675" width="14.7109375" style="49" customWidth="1"/>
    <col min="6676" max="6676" width="9.140625" style="49"/>
    <col min="6677" max="6677" width="11.5703125" style="49" bestFit="1" customWidth="1"/>
    <col min="6678" max="6678" width="9.140625" style="49"/>
    <col min="6679" max="6679" width="11.5703125" style="49" bestFit="1" customWidth="1"/>
    <col min="6680" max="6912" width="9.140625" style="49"/>
    <col min="6913" max="6913" width="4.140625" style="49" customWidth="1"/>
    <col min="6914" max="6922" width="13.5703125" style="49" customWidth="1"/>
    <col min="6923" max="6923" width="4.140625" style="49" customWidth="1"/>
    <col min="6924" max="6924" width="46.7109375" style="49" customWidth="1"/>
    <col min="6925" max="6925" width="25.85546875" style="49" customWidth="1"/>
    <col min="6926" max="6926" width="23.7109375" style="49" customWidth="1"/>
    <col min="6927" max="6927" width="11.85546875" style="49" customWidth="1"/>
    <col min="6928" max="6928" width="39.140625" style="49" customWidth="1"/>
    <col min="6929" max="6929" width="16.140625" style="49" customWidth="1"/>
    <col min="6930" max="6930" width="13.85546875" style="49" customWidth="1"/>
    <col min="6931" max="6931" width="14.7109375" style="49" customWidth="1"/>
    <col min="6932" max="6932" width="9.140625" style="49"/>
    <col min="6933" max="6933" width="11.5703125" style="49" bestFit="1" customWidth="1"/>
    <col min="6934" max="6934" width="9.140625" style="49"/>
    <col min="6935" max="6935" width="11.5703125" style="49" bestFit="1" customWidth="1"/>
    <col min="6936" max="7168" width="9.140625" style="49"/>
    <col min="7169" max="7169" width="4.140625" style="49" customWidth="1"/>
    <col min="7170" max="7178" width="13.5703125" style="49" customWidth="1"/>
    <col min="7179" max="7179" width="4.140625" style="49" customWidth="1"/>
    <col min="7180" max="7180" width="46.7109375" style="49" customWidth="1"/>
    <col min="7181" max="7181" width="25.85546875" style="49" customWidth="1"/>
    <col min="7182" max="7182" width="23.7109375" style="49" customWidth="1"/>
    <col min="7183" max="7183" width="11.85546875" style="49" customWidth="1"/>
    <col min="7184" max="7184" width="39.140625" style="49" customWidth="1"/>
    <col min="7185" max="7185" width="16.140625" style="49" customWidth="1"/>
    <col min="7186" max="7186" width="13.85546875" style="49" customWidth="1"/>
    <col min="7187" max="7187" width="14.7109375" style="49" customWidth="1"/>
    <col min="7188" max="7188" width="9.140625" style="49"/>
    <col min="7189" max="7189" width="11.5703125" style="49" bestFit="1" customWidth="1"/>
    <col min="7190" max="7190" width="9.140625" style="49"/>
    <col min="7191" max="7191" width="11.5703125" style="49" bestFit="1" customWidth="1"/>
    <col min="7192" max="7424" width="9.140625" style="49"/>
    <col min="7425" max="7425" width="4.140625" style="49" customWidth="1"/>
    <col min="7426" max="7434" width="13.5703125" style="49" customWidth="1"/>
    <col min="7435" max="7435" width="4.140625" style="49" customWidth="1"/>
    <col min="7436" max="7436" width="46.7109375" style="49" customWidth="1"/>
    <col min="7437" max="7437" width="25.85546875" style="49" customWidth="1"/>
    <col min="7438" max="7438" width="23.7109375" style="49" customWidth="1"/>
    <col min="7439" max="7439" width="11.85546875" style="49" customWidth="1"/>
    <col min="7440" max="7440" width="39.140625" style="49" customWidth="1"/>
    <col min="7441" max="7441" width="16.140625" style="49" customWidth="1"/>
    <col min="7442" max="7442" width="13.85546875" style="49" customWidth="1"/>
    <col min="7443" max="7443" width="14.7109375" style="49" customWidth="1"/>
    <col min="7444" max="7444" width="9.140625" style="49"/>
    <col min="7445" max="7445" width="11.5703125" style="49" bestFit="1" customWidth="1"/>
    <col min="7446" max="7446" width="9.140625" style="49"/>
    <col min="7447" max="7447" width="11.5703125" style="49" bestFit="1" customWidth="1"/>
    <col min="7448" max="7680" width="9.140625" style="49"/>
    <col min="7681" max="7681" width="4.140625" style="49" customWidth="1"/>
    <col min="7682" max="7690" width="13.5703125" style="49" customWidth="1"/>
    <col min="7691" max="7691" width="4.140625" style="49" customWidth="1"/>
    <col min="7692" max="7692" width="46.7109375" style="49" customWidth="1"/>
    <col min="7693" max="7693" width="25.85546875" style="49" customWidth="1"/>
    <col min="7694" max="7694" width="23.7109375" style="49" customWidth="1"/>
    <col min="7695" max="7695" width="11.85546875" style="49" customWidth="1"/>
    <col min="7696" max="7696" width="39.140625" style="49" customWidth="1"/>
    <col min="7697" max="7697" width="16.140625" style="49" customWidth="1"/>
    <col min="7698" max="7698" width="13.85546875" style="49" customWidth="1"/>
    <col min="7699" max="7699" width="14.7109375" style="49" customWidth="1"/>
    <col min="7700" max="7700" width="9.140625" style="49"/>
    <col min="7701" max="7701" width="11.5703125" style="49" bestFit="1" customWidth="1"/>
    <col min="7702" max="7702" width="9.140625" style="49"/>
    <col min="7703" max="7703" width="11.5703125" style="49" bestFit="1" customWidth="1"/>
    <col min="7704" max="7936" width="9.140625" style="49"/>
    <col min="7937" max="7937" width="4.140625" style="49" customWidth="1"/>
    <col min="7938" max="7946" width="13.5703125" style="49" customWidth="1"/>
    <col min="7947" max="7947" width="4.140625" style="49" customWidth="1"/>
    <col min="7948" max="7948" width="46.7109375" style="49" customWidth="1"/>
    <col min="7949" max="7949" width="25.85546875" style="49" customWidth="1"/>
    <col min="7950" max="7950" width="23.7109375" style="49" customWidth="1"/>
    <col min="7951" max="7951" width="11.85546875" style="49" customWidth="1"/>
    <col min="7952" max="7952" width="39.140625" style="49" customWidth="1"/>
    <col min="7953" max="7953" width="16.140625" style="49" customWidth="1"/>
    <col min="7954" max="7954" width="13.85546875" style="49" customWidth="1"/>
    <col min="7955" max="7955" width="14.7109375" style="49" customWidth="1"/>
    <col min="7956" max="7956" width="9.140625" style="49"/>
    <col min="7957" max="7957" width="11.5703125" style="49" bestFit="1" customWidth="1"/>
    <col min="7958" max="7958" width="9.140625" style="49"/>
    <col min="7959" max="7959" width="11.5703125" style="49" bestFit="1" customWidth="1"/>
    <col min="7960" max="8192" width="9.140625" style="49"/>
    <col min="8193" max="8193" width="4.140625" style="49" customWidth="1"/>
    <col min="8194" max="8202" width="13.5703125" style="49" customWidth="1"/>
    <col min="8203" max="8203" width="4.140625" style="49" customWidth="1"/>
    <col min="8204" max="8204" width="46.7109375" style="49" customWidth="1"/>
    <col min="8205" max="8205" width="25.85546875" style="49" customWidth="1"/>
    <col min="8206" max="8206" width="23.7109375" style="49" customWidth="1"/>
    <col min="8207" max="8207" width="11.85546875" style="49" customWidth="1"/>
    <col min="8208" max="8208" width="39.140625" style="49" customWidth="1"/>
    <col min="8209" max="8209" width="16.140625" style="49" customWidth="1"/>
    <col min="8210" max="8210" width="13.85546875" style="49" customWidth="1"/>
    <col min="8211" max="8211" width="14.7109375" style="49" customWidth="1"/>
    <col min="8212" max="8212" width="9.140625" style="49"/>
    <col min="8213" max="8213" width="11.5703125" style="49" bestFit="1" customWidth="1"/>
    <col min="8214" max="8214" width="9.140625" style="49"/>
    <col min="8215" max="8215" width="11.5703125" style="49" bestFit="1" customWidth="1"/>
    <col min="8216" max="8448" width="9.140625" style="49"/>
    <col min="8449" max="8449" width="4.140625" style="49" customWidth="1"/>
    <col min="8450" max="8458" width="13.5703125" style="49" customWidth="1"/>
    <col min="8459" max="8459" width="4.140625" style="49" customWidth="1"/>
    <col min="8460" max="8460" width="46.7109375" style="49" customWidth="1"/>
    <col min="8461" max="8461" width="25.85546875" style="49" customWidth="1"/>
    <col min="8462" max="8462" width="23.7109375" style="49" customWidth="1"/>
    <col min="8463" max="8463" width="11.85546875" style="49" customWidth="1"/>
    <col min="8464" max="8464" width="39.140625" style="49" customWidth="1"/>
    <col min="8465" max="8465" width="16.140625" style="49" customWidth="1"/>
    <col min="8466" max="8466" width="13.85546875" style="49" customWidth="1"/>
    <col min="8467" max="8467" width="14.7109375" style="49" customWidth="1"/>
    <col min="8468" max="8468" width="9.140625" style="49"/>
    <col min="8469" max="8469" width="11.5703125" style="49" bestFit="1" customWidth="1"/>
    <col min="8470" max="8470" width="9.140625" style="49"/>
    <col min="8471" max="8471" width="11.5703125" style="49" bestFit="1" customWidth="1"/>
    <col min="8472" max="8704" width="9.140625" style="49"/>
    <col min="8705" max="8705" width="4.140625" style="49" customWidth="1"/>
    <col min="8706" max="8714" width="13.5703125" style="49" customWidth="1"/>
    <col min="8715" max="8715" width="4.140625" style="49" customWidth="1"/>
    <col min="8716" max="8716" width="46.7109375" style="49" customWidth="1"/>
    <col min="8717" max="8717" width="25.85546875" style="49" customWidth="1"/>
    <col min="8718" max="8718" width="23.7109375" style="49" customWidth="1"/>
    <col min="8719" max="8719" width="11.85546875" style="49" customWidth="1"/>
    <col min="8720" max="8720" width="39.140625" style="49" customWidth="1"/>
    <col min="8721" max="8721" width="16.140625" style="49" customWidth="1"/>
    <col min="8722" max="8722" width="13.85546875" style="49" customWidth="1"/>
    <col min="8723" max="8723" width="14.7109375" style="49" customWidth="1"/>
    <col min="8724" max="8724" width="9.140625" style="49"/>
    <col min="8725" max="8725" width="11.5703125" style="49" bestFit="1" customWidth="1"/>
    <col min="8726" max="8726" width="9.140625" style="49"/>
    <col min="8727" max="8727" width="11.5703125" style="49" bestFit="1" customWidth="1"/>
    <col min="8728" max="8960" width="9.140625" style="49"/>
    <col min="8961" max="8961" width="4.140625" style="49" customWidth="1"/>
    <col min="8962" max="8970" width="13.5703125" style="49" customWidth="1"/>
    <col min="8971" max="8971" width="4.140625" style="49" customWidth="1"/>
    <col min="8972" max="8972" width="46.7109375" style="49" customWidth="1"/>
    <col min="8973" max="8973" width="25.85546875" style="49" customWidth="1"/>
    <col min="8974" max="8974" width="23.7109375" style="49" customWidth="1"/>
    <col min="8975" max="8975" width="11.85546875" style="49" customWidth="1"/>
    <col min="8976" max="8976" width="39.140625" style="49" customWidth="1"/>
    <col min="8977" max="8977" width="16.140625" style="49" customWidth="1"/>
    <col min="8978" max="8978" width="13.85546875" style="49" customWidth="1"/>
    <col min="8979" max="8979" width="14.7109375" style="49" customWidth="1"/>
    <col min="8980" max="8980" width="9.140625" style="49"/>
    <col min="8981" max="8981" width="11.5703125" style="49" bestFit="1" customWidth="1"/>
    <col min="8982" max="8982" width="9.140625" style="49"/>
    <col min="8983" max="8983" width="11.5703125" style="49" bestFit="1" customWidth="1"/>
    <col min="8984" max="9216" width="9.140625" style="49"/>
    <col min="9217" max="9217" width="4.140625" style="49" customWidth="1"/>
    <col min="9218" max="9226" width="13.5703125" style="49" customWidth="1"/>
    <col min="9227" max="9227" width="4.140625" style="49" customWidth="1"/>
    <col min="9228" max="9228" width="46.7109375" style="49" customWidth="1"/>
    <col min="9229" max="9229" width="25.85546875" style="49" customWidth="1"/>
    <col min="9230" max="9230" width="23.7109375" style="49" customWidth="1"/>
    <col min="9231" max="9231" width="11.85546875" style="49" customWidth="1"/>
    <col min="9232" max="9232" width="39.140625" style="49" customWidth="1"/>
    <col min="9233" max="9233" width="16.140625" style="49" customWidth="1"/>
    <col min="9234" max="9234" width="13.85546875" style="49" customWidth="1"/>
    <col min="9235" max="9235" width="14.7109375" style="49" customWidth="1"/>
    <col min="9236" max="9236" width="9.140625" style="49"/>
    <col min="9237" max="9237" width="11.5703125" style="49" bestFit="1" customWidth="1"/>
    <col min="9238" max="9238" width="9.140625" style="49"/>
    <col min="9239" max="9239" width="11.5703125" style="49" bestFit="1" customWidth="1"/>
    <col min="9240" max="9472" width="9.140625" style="49"/>
    <col min="9473" max="9473" width="4.140625" style="49" customWidth="1"/>
    <col min="9474" max="9482" width="13.5703125" style="49" customWidth="1"/>
    <col min="9483" max="9483" width="4.140625" style="49" customWidth="1"/>
    <col min="9484" max="9484" width="46.7109375" style="49" customWidth="1"/>
    <col min="9485" max="9485" width="25.85546875" style="49" customWidth="1"/>
    <col min="9486" max="9486" width="23.7109375" style="49" customWidth="1"/>
    <col min="9487" max="9487" width="11.85546875" style="49" customWidth="1"/>
    <col min="9488" max="9488" width="39.140625" style="49" customWidth="1"/>
    <col min="9489" max="9489" width="16.140625" style="49" customWidth="1"/>
    <col min="9490" max="9490" width="13.85546875" style="49" customWidth="1"/>
    <col min="9491" max="9491" width="14.7109375" style="49" customWidth="1"/>
    <col min="9492" max="9492" width="9.140625" style="49"/>
    <col min="9493" max="9493" width="11.5703125" style="49" bestFit="1" customWidth="1"/>
    <col min="9494" max="9494" width="9.140625" style="49"/>
    <col min="9495" max="9495" width="11.5703125" style="49" bestFit="1" customWidth="1"/>
    <col min="9496" max="9728" width="9.140625" style="49"/>
    <col min="9729" max="9729" width="4.140625" style="49" customWidth="1"/>
    <col min="9730" max="9738" width="13.5703125" style="49" customWidth="1"/>
    <col min="9739" max="9739" width="4.140625" style="49" customWidth="1"/>
    <col min="9740" max="9740" width="46.7109375" style="49" customWidth="1"/>
    <col min="9741" max="9741" width="25.85546875" style="49" customWidth="1"/>
    <col min="9742" max="9742" width="23.7109375" style="49" customWidth="1"/>
    <col min="9743" max="9743" width="11.85546875" style="49" customWidth="1"/>
    <col min="9744" max="9744" width="39.140625" style="49" customWidth="1"/>
    <col min="9745" max="9745" width="16.140625" style="49" customWidth="1"/>
    <col min="9746" max="9746" width="13.85546875" style="49" customWidth="1"/>
    <col min="9747" max="9747" width="14.7109375" style="49" customWidth="1"/>
    <col min="9748" max="9748" width="9.140625" style="49"/>
    <col min="9749" max="9749" width="11.5703125" style="49" bestFit="1" customWidth="1"/>
    <col min="9750" max="9750" width="9.140625" style="49"/>
    <col min="9751" max="9751" width="11.5703125" style="49" bestFit="1" customWidth="1"/>
    <col min="9752" max="9984" width="9.140625" style="49"/>
    <col min="9985" max="9985" width="4.140625" style="49" customWidth="1"/>
    <col min="9986" max="9994" width="13.5703125" style="49" customWidth="1"/>
    <col min="9995" max="9995" width="4.140625" style="49" customWidth="1"/>
    <col min="9996" max="9996" width="46.7109375" style="49" customWidth="1"/>
    <col min="9997" max="9997" width="25.85546875" style="49" customWidth="1"/>
    <col min="9998" max="9998" width="23.7109375" style="49" customWidth="1"/>
    <col min="9999" max="9999" width="11.85546875" style="49" customWidth="1"/>
    <col min="10000" max="10000" width="39.140625" style="49" customWidth="1"/>
    <col min="10001" max="10001" width="16.140625" style="49" customWidth="1"/>
    <col min="10002" max="10002" width="13.85546875" style="49" customWidth="1"/>
    <col min="10003" max="10003" width="14.7109375" style="49" customWidth="1"/>
    <col min="10004" max="10004" width="9.140625" style="49"/>
    <col min="10005" max="10005" width="11.5703125" style="49" bestFit="1" customWidth="1"/>
    <col min="10006" max="10006" width="9.140625" style="49"/>
    <col min="10007" max="10007" width="11.5703125" style="49" bestFit="1" customWidth="1"/>
    <col min="10008" max="10240" width="9.140625" style="49"/>
    <col min="10241" max="10241" width="4.140625" style="49" customWidth="1"/>
    <col min="10242" max="10250" width="13.5703125" style="49" customWidth="1"/>
    <col min="10251" max="10251" width="4.140625" style="49" customWidth="1"/>
    <col min="10252" max="10252" width="46.7109375" style="49" customWidth="1"/>
    <col min="10253" max="10253" width="25.85546875" style="49" customWidth="1"/>
    <col min="10254" max="10254" width="23.7109375" style="49" customWidth="1"/>
    <col min="10255" max="10255" width="11.85546875" style="49" customWidth="1"/>
    <col min="10256" max="10256" width="39.140625" style="49" customWidth="1"/>
    <col min="10257" max="10257" width="16.140625" style="49" customWidth="1"/>
    <col min="10258" max="10258" width="13.85546875" style="49" customWidth="1"/>
    <col min="10259" max="10259" width="14.7109375" style="49" customWidth="1"/>
    <col min="10260" max="10260" width="9.140625" style="49"/>
    <col min="10261" max="10261" width="11.5703125" style="49" bestFit="1" customWidth="1"/>
    <col min="10262" max="10262" width="9.140625" style="49"/>
    <col min="10263" max="10263" width="11.5703125" style="49" bestFit="1" customWidth="1"/>
    <col min="10264" max="10496" width="9.140625" style="49"/>
    <col min="10497" max="10497" width="4.140625" style="49" customWidth="1"/>
    <col min="10498" max="10506" width="13.5703125" style="49" customWidth="1"/>
    <col min="10507" max="10507" width="4.140625" style="49" customWidth="1"/>
    <col min="10508" max="10508" width="46.7109375" style="49" customWidth="1"/>
    <col min="10509" max="10509" width="25.85546875" style="49" customWidth="1"/>
    <col min="10510" max="10510" width="23.7109375" style="49" customWidth="1"/>
    <col min="10511" max="10511" width="11.85546875" style="49" customWidth="1"/>
    <col min="10512" max="10512" width="39.140625" style="49" customWidth="1"/>
    <col min="10513" max="10513" width="16.140625" style="49" customWidth="1"/>
    <col min="10514" max="10514" width="13.85546875" style="49" customWidth="1"/>
    <col min="10515" max="10515" width="14.7109375" style="49" customWidth="1"/>
    <col min="10516" max="10516" width="9.140625" style="49"/>
    <col min="10517" max="10517" width="11.5703125" style="49" bestFit="1" customWidth="1"/>
    <col min="10518" max="10518" width="9.140625" style="49"/>
    <col min="10519" max="10519" width="11.5703125" style="49" bestFit="1" customWidth="1"/>
    <col min="10520" max="10752" width="9.140625" style="49"/>
    <col min="10753" max="10753" width="4.140625" style="49" customWidth="1"/>
    <col min="10754" max="10762" width="13.5703125" style="49" customWidth="1"/>
    <col min="10763" max="10763" width="4.140625" style="49" customWidth="1"/>
    <col min="10764" max="10764" width="46.7109375" style="49" customWidth="1"/>
    <col min="10765" max="10765" width="25.85546875" style="49" customWidth="1"/>
    <col min="10766" max="10766" width="23.7109375" style="49" customWidth="1"/>
    <col min="10767" max="10767" width="11.85546875" style="49" customWidth="1"/>
    <col min="10768" max="10768" width="39.140625" style="49" customWidth="1"/>
    <col min="10769" max="10769" width="16.140625" style="49" customWidth="1"/>
    <col min="10770" max="10770" width="13.85546875" style="49" customWidth="1"/>
    <col min="10771" max="10771" width="14.7109375" style="49" customWidth="1"/>
    <col min="10772" max="10772" width="9.140625" style="49"/>
    <col min="10773" max="10773" width="11.5703125" style="49" bestFit="1" customWidth="1"/>
    <col min="10774" max="10774" width="9.140625" style="49"/>
    <col min="10775" max="10775" width="11.5703125" style="49" bestFit="1" customWidth="1"/>
    <col min="10776" max="11008" width="9.140625" style="49"/>
    <col min="11009" max="11009" width="4.140625" style="49" customWidth="1"/>
    <col min="11010" max="11018" width="13.5703125" style="49" customWidth="1"/>
    <col min="11019" max="11019" width="4.140625" style="49" customWidth="1"/>
    <col min="11020" max="11020" width="46.7109375" style="49" customWidth="1"/>
    <col min="11021" max="11021" width="25.85546875" style="49" customWidth="1"/>
    <col min="11022" max="11022" width="23.7109375" style="49" customWidth="1"/>
    <col min="11023" max="11023" width="11.85546875" style="49" customWidth="1"/>
    <col min="11024" max="11024" width="39.140625" style="49" customWidth="1"/>
    <col min="11025" max="11025" width="16.140625" style="49" customWidth="1"/>
    <col min="11026" max="11026" width="13.85546875" style="49" customWidth="1"/>
    <col min="11027" max="11027" width="14.7109375" style="49" customWidth="1"/>
    <col min="11028" max="11028" width="9.140625" style="49"/>
    <col min="11029" max="11029" width="11.5703125" style="49" bestFit="1" customWidth="1"/>
    <col min="11030" max="11030" width="9.140625" style="49"/>
    <col min="11031" max="11031" width="11.5703125" style="49" bestFit="1" customWidth="1"/>
    <col min="11032" max="11264" width="9.140625" style="49"/>
    <col min="11265" max="11265" width="4.140625" style="49" customWidth="1"/>
    <col min="11266" max="11274" width="13.5703125" style="49" customWidth="1"/>
    <col min="11275" max="11275" width="4.140625" style="49" customWidth="1"/>
    <col min="11276" max="11276" width="46.7109375" style="49" customWidth="1"/>
    <col min="11277" max="11277" width="25.85546875" style="49" customWidth="1"/>
    <col min="11278" max="11278" width="23.7109375" style="49" customWidth="1"/>
    <col min="11279" max="11279" width="11.85546875" style="49" customWidth="1"/>
    <col min="11280" max="11280" width="39.140625" style="49" customWidth="1"/>
    <col min="11281" max="11281" width="16.140625" style="49" customWidth="1"/>
    <col min="11282" max="11282" width="13.85546875" style="49" customWidth="1"/>
    <col min="11283" max="11283" width="14.7109375" style="49" customWidth="1"/>
    <col min="11284" max="11284" width="9.140625" style="49"/>
    <col min="11285" max="11285" width="11.5703125" style="49" bestFit="1" customWidth="1"/>
    <col min="11286" max="11286" width="9.140625" style="49"/>
    <col min="11287" max="11287" width="11.5703125" style="49" bestFit="1" customWidth="1"/>
    <col min="11288" max="11520" width="9.140625" style="49"/>
    <col min="11521" max="11521" width="4.140625" style="49" customWidth="1"/>
    <col min="11522" max="11530" width="13.5703125" style="49" customWidth="1"/>
    <col min="11531" max="11531" width="4.140625" style="49" customWidth="1"/>
    <col min="11532" max="11532" width="46.7109375" style="49" customWidth="1"/>
    <col min="11533" max="11533" width="25.85546875" style="49" customWidth="1"/>
    <col min="11534" max="11534" width="23.7109375" style="49" customWidth="1"/>
    <col min="11535" max="11535" width="11.85546875" style="49" customWidth="1"/>
    <col min="11536" max="11536" width="39.140625" style="49" customWidth="1"/>
    <col min="11537" max="11537" width="16.140625" style="49" customWidth="1"/>
    <col min="11538" max="11538" width="13.85546875" style="49" customWidth="1"/>
    <col min="11539" max="11539" width="14.7109375" style="49" customWidth="1"/>
    <col min="11540" max="11540" width="9.140625" style="49"/>
    <col min="11541" max="11541" width="11.5703125" style="49" bestFit="1" customWidth="1"/>
    <col min="11542" max="11542" width="9.140625" style="49"/>
    <col min="11543" max="11543" width="11.5703125" style="49" bestFit="1" customWidth="1"/>
    <col min="11544" max="11776" width="9.140625" style="49"/>
    <col min="11777" max="11777" width="4.140625" style="49" customWidth="1"/>
    <col min="11778" max="11786" width="13.5703125" style="49" customWidth="1"/>
    <col min="11787" max="11787" width="4.140625" style="49" customWidth="1"/>
    <col min="11788" max="11788" width="46.7109375" style="49" customWidth="1"/>
    <col min="11789" max="11789" width="25.85546875" style="49" customWidth="1"/>
    <col min="11790" max="11790" width="23.7109375" style="49" customWidth="1"/>
    <col min="11791" max="11791" width="11.85546875" style="49" customWidth="1"/>
    <col min="11792" max="11792" width="39.140625" style="49" customWidth="1"/>
    <col min="11793" max="11793" width="16.140625" style="49" customWidth="1"/>
    <col min="11794" max="11794" width="13.85546875" style="49" customWidth="1"/>
    <col min="11795" max="11795" width="14.7109375" style="49" customWidth="1"/>
    <col min="11796" max="11796" width="9.140625" style="49"/>
    <col min="11797" max="11797" width="11.5703125" style="49" bestFit="1" customWidth="1"/>
    <col min="11798" max="11798" width="9.140625" style="49"/>
    <col min="11799" max="11799" width="11.5703125" style="49" bestFit="1" customWidth="1"/>
    <col min="11800" max="12032" width="9.140625" style="49"/>
    <col min="12033" max="12033" width="4.140625" style="49" customWidth="1"/>
    <col min="12034" max="12042" width="13.5703125" style="49" customWidth="1"/>
    <col min="12043" max="12043" width="4.140625" style="49" customWidth="1"/>
    <col min="12044" max="12044" width="46.7109375" style="49" customWidth="1"/>
    <col min="12045" max="12045" width="25.85546875" style="49" customWidth="1"/>
    <col min="12046" max="12046" width="23.7109375" style="49" customWidth="1"/>
    <col min="12047" max="12047" width="11.85546875" style="49" customWidth="1"/>
    <col min="12048" max="12048" width="39.140625" style="49" customWidth="1"/>
    <col min="12049" max="12049" width="16.140625" style="49" customWidth="1"/>
    <col min="12050" max="12050" width="13.85546875" style="49" customWidth="1"/>
    <col min="12051" max="12051" width="14.7109375" style="49" customWidth="1"/>
    <col min="12052" max="12052" width="9.140625" style="49"/>
    <col min="12053" max="12053" width="11.5703125" style="49" bestFit="1" customWidth="1"/>
    <col min="12054" max="12054" width="9.140625" style="49"/>
    <col min="12055" max="12055" width="11.5703125" style="49" bestFit="1" customWidth="1"/>
    <col min="12056" max="12288" width="9.140625" style="49"/>
    <col min="12289" max="12289" width="4.140625" style="49" customWidth="1"/>
    <col min="12290" max="12298" width="13.5703125" style="49" customWidth="1"/>
    <col min="12299" max="12299" width="4.140625" style="49" customWidth="1"/>
    <col min="12300" max="12300" width="46.7109375" style="49" customWidth="1"/>
    <col min="12301" max="12301" width="25.85546875" style="49" customWidth="1"/>
    <col min="12302" max="12302" width="23.7109375" style="49" customWidth="1"/>
    <col min="12303" max="12303" width="11.85546875" style="49" customWidth="1"/>
    <col min="12304" max="12304" width="39.140625" style="49" customWidth="1"/>
    <col min="12305" max="12305" width="16.140625" style="49" customWidth="1"/>
    <col min="12306" max="12306" width="13.85546875" style="49" customWidth="1"/>
    <col min="12307" max="12307" width="14.7109375" style="49" customWidth="1"/>
    <col min="12308" max="12308" width="9.140625" style="49"/>
    <col min="12309" max="12309" width="11.5703125" style="49" bestFit="1" customWidth="1"/>
    <col min="12310" max="12310" width="9.140625" style="49"/>
    <col min="12311" max="12311" width="11.5703125" style="49" bestFit="1" customWidth="1"/>
    <col min="12312" max="12544" width="9.140625" style="49"/>
    <col min="12545" max="12545" width="4.140625" style="49" customWidth="1"/>
    <col min="12546" max="12554" width="13.5703125" style="49" customWidth="1"/>
    <col min="12555" max="12555" width="4.140625" style="49" customWidth="1"/>
    <col min="12556" max="12556" width="46.7109375" style="49" customWidth="1"/>
    <col min="12557" max="12557" width="25.85546875" style="49" customWidth="1"/>
    <col min="12558" max="12558" width="23.7109375" style="49" customWidth="1"/>
    <col min="12559" max="12559" width="11.85546875" style="49" customWidth="1"/>
    <col min="12560" max="12560" width="39.140625" style="49" customWidth="1"/>
    <col min="12561" max="12561" width="16.140625" style="49" customWidth="1"/>
    <col min="12562" max="12562" width="13.85546875" style="49" customWidth="1"/>
    <col min="12563" max="12563" width="14.7109375" style="49" customWidth="1"/>
    <col min="12564" max="12564" width="9.140625" style="49"/>
    <col min="12565" max="12565" width="11.5703125" style="49" bestFit="1" customWidth="1"/>
    <col min="12566" max="12566" width="9.140625" style="49"/>
    <col min="12567" max="12567" width="11.5703125" style="49" bestFit="1" customWidth="1"/>
    <col min="12568" max="12800" width="9.140625" style="49"/>
    <col min="12801" max="12801" width="4.140625" style="49" customWidth="1"/>
    <col min="12802" max="12810" width="13.5703125" style="49" customWidth="1"/>
    <col min="12811" max="12811" width="4.140625" style="49" customWidth="1"/>
    <col min="12812" max="12812" width="46.7109375" style="49" customWidth="1"/>
    <col min="12813" max="12813" width="25.85546875" style="49" customWidth="1"/>
    <col min="12814" max="12814" width="23.7109375" style="49" customWidth="1"/>
    <col min="12815" max="12815" width="11.85546875" style="49" customWidth="1"/>
    <col min="12816" max="12816" width="39.140625" style="49" customWidth="1"/>
    <col min="12817" max="12817" width="16.140625" style="49" customWidth="1"/>
    <col min="12818" max="12818" width="13.85546875" style="49" customWidth="1"/>
    <col min="12819" max="12819" width="14.7109375" style="49" customWidth="1"/>
    <col min="12820" max="12820" width="9.140625" style="49"/>
    <col min="12821" max="12821" width="11.5703125" style="49" bestFit="1" customWidth="1"/>
    <col min="12822" max="12822" width="9.140625" style="49"/>
    <col min="12823" max="12823" width="11.5703125" style="49" bestFit="1" customWidth="1"/>
    <col min="12824" max="13056" width="9.140625" style="49"/>
    <col min="13057" max="13057" width="4.140625" style="49" customWidth="1"/>
    <col min="13058" max="13066" width="13.5703125" style="49" customWidth="1"/>
    <col min="13067" max="13067" width="4.140625" style="49" customWidth="1"/>
    <col min="13068" max="13068" width="46.7109375" style="49" customWidth="1"/>
    <col min="13069" max="13069" width="25.85546875" style="49" customWidth="1"/>
    <col min="13070" max="13070" width="23.7109375" style="49" customWidth="1"/>
    <col min="13071" max="13071" width="11.85546875" style="49" customWidth="1"/>
    <col min="13072" max="13072" width="39.140625" style="49" customWidth="1"/>
    <col min="13073" max="13073" width="16.140625" style="49" customWidth="1"/>
    <col min="13074" max="13074" width="13.85546875" style="49" customWidth="1"/>
    <col min="13075" max="13075" width="14.7109375" style="49" customWidth="1"/>
    <col min="13076" max="13076" width="9.140625" style="49"/>
    <col min="13077" max="13077" width="11.5703125" style="49" bestFit="1" customWidth="1"/>
    <col min="13078" max="13078" width="9.140625" style="49"/>
    <col min="13079" max="13079" width="11.5703125" style="49" bestFit="1" customWidth="1"/>
    <col min="13080" max="13312" width="9.140625" style="49"/>
    <col min="13313" max="13313" width="4.140625" style="49" customWidth="1"/>
    <col min="13314" max="13322" width="13.5703125" style="49" customWidth="1"/>
    <col min="13323" max="13323" width="4.140625" style="49" customWidth="1"/>
    <col min="13324" max="13324" width="46.7109375" style="49" customWidth="1"/>
    <col min="13325" max="13325" width="25.85546875" style="49" customWidth="1"/>
    <col min="13326" max="13326" width="23.7109375" style="49" customWidth="1"/>
    <col min="13327" max="13327" width="11.85546875" style="49" customWidth="1"/>
    <col min="13328" max="13328" width="39.140625" style="49" customWidth="1"/>
    <col min="13329" max="13329" width="16.140625" style="49" customWidth="1"/>
    <col min="13330" max="13330" width="13.85546875" style="49" customWidth="1"/>
    <col min="13331" max="13331" width="14.7109375" style="49" customWidth="1"/>
    <col min="13332" max="13332" width="9.140625" style="49"/>
    <col min="13333" max="13333" width="11.5703125" style="49" bestFit="1" customWidth="1"/>
    <col min="13334" max="13334" width="9.140625" style="49"/>
    <col min="13335" max="13335" width="11.5703125" style="49" bestFit="1" customWidth="1"/>
    <col min="13336" max="13568" width="9.140625" style="49"/>
    <col min="13569" max="13569" width="4.140625" style="49" customWidth="1"/>
    <col min="13570" max="13578" width="13.5703125" style="49" customWidth="1"/>
    <col min="13579" max="13579" width="4.140625" style="49" customWidth="1"/>
    <col min="13580" max="13580" width="46.7109375" style="49" customWidth="1"/>
    <col min="13581" max="13581" width="25.85546875" style="49" customWidth="1"/>
    <col min="13582" max="13582" width="23.7109375" style="49" customWidth="1"/>
    <col min="13583" max="13583" width="11.85546875" style="49" customWidth="1"/>
    <col min="13584" max="13584" width="39.140625" style="49" customWidth="1"/>
    <col min="13585" max="13585" width="16.140625" style="49" customWidth="1"/>
    <col min="13586" max="13586" width="13.85546875" style="49" customWidth="1"/>
    <col min="13587" max="13587" width="14.7109375" style="49" customWidth="1"/>
    <col min="13588" max="13588" width="9.140625" style="49"/>
    <col min="13589" max="13589" width="11.5703125" style="49" bestFit="1" customWidth="1"/>
    <col min="13590" max="13590" width="9.140625" style="49"/>
    <col min="13591" max="13591" width="11.5703125" style="49" bestFit="1" customWidth="1"/>
    <col min="13592" max="13824" width="9.140625" style="49"/>
    <col min="13825" max="13825" width="4.140625" style="49" customWidth="1"/>
    <col min="13826" max="13834" width="13.5703125" style="49" customWidth="1"/>
    <col min="13835" max="13835" width="4.140625" style="49" customWidth="1"/>
    <col min="13836" max="13836" width="46.7109375" style="49" customWidth="1"/>
    <col min="13837" max="13837" width="25.85546875" style="49" customWidth="1"/>
    <col min="13838" max="13838" width="23.7109375" style="49" customWidth="1"/>
    <col min="13839" max="13839" width="11.85546875" style="49" customWidth="1"/>
    <col min="13840" max="13840" width="39.140625" style="49" customWidth="1"/>
    <col min="13841" max="13841" width="16.140625" style="49" customWidth="1"/>
    <col min="13842" max="13842" width="13.85546875" style="49" customWidth="1"/>
    <col min="13843" max="13843" width="14.7109375" style="49" customWidth="1"/>
    <col min="13844" max="13844" width="9.140625" style="49"/>
    <col min="13845" max="13845" width="11.5703125" style="49" bestFit="1" customWidth="1"/>
    <col min="13846" max="13846" width="9.140625" style="49"/>
    <col min="13847" max="13847" width="11.5703125" style="49" bestFit="1" customWidth="1"/>
    <col min="13848" max="14080" width="9.140625" style="49"/>
    <col min="14081" max="14081" width="4.140625" style="49" customWidth="1"/>
    <col min="14082" max="14090" width="13.5703125" style="49" customWidth="1"/>
    <col min="14091" max="14091" width="4.140625" style="49" customWidth="1"/>
    <col min="14092" max="14092" width="46.7109375" style="49" customWidth="1"/>
    <col min="14093" max="14093" width="25.85546875" style="49" customWidth="1"/>
    <col min="14094" max="14094" width="23.7109375" style="49" customWidth="1"/>
    <col min="14095" max="14095" width="11.85546875" style="49" customWidth="1"/>
    <col min="14096" max="14096" width="39.140625" style="49" customWidth="1"/>
    <col min="14097" max="14097" width="16.140625" style="49" customWidth="1"/>
    <col min="14098" max="14098" width="13.85546875" style="49" customWidth="1"/>
    <col min="14099" max="14099" width="14.7109375" style="49" customWidth="1"/>
    <col min="14100" max="14100" width="9.140625" style="49"/>
    <col min="14101" max="14101" width="11.5703125" style="49" bestFit="1" customWidth="1"/>
    <col min="14102" max="14102" width="9.140625" style="49"/>
    <col min="14103" max="14103" width="11.5703125" style="49" bestFit="1" customWidth="1"/>
    <col min="14104" max="14336" width="9.140625" style="49"/>
    <col min="14337" max="14337" width="4.140625" style="49" customWidth="1"/>
    <col min="14338" max="14346" width="13.5703125" style="49" customWidth="1"/>
    <col min="14347" max="14347" width="4.140625" style="49" customWidth="1"/>
    <col min="14348" max="14348" width="46.7109375" style="49" customWidth="1"/>
    <col min="14349" max="14349" width="25.85546875" style="49" customWidth="1"/>
    <col min="14350" max="14350" width="23.7109375" style="49" customWidth="1"/>
    <col min="14351" max="14351" width="11.85546875" style="49" customWidth="1"/>
    <col min="14352" max="14352" width="39.140625" style="49" customWidth="1"/>
    <col min="14353" max="14353" width="16.140625" style="49" customWidth="1"/>
    <col min="14354" max="14354" width="13.85546875" style="49" customWidth="1"/>
    <col min="14355" max="14355" width="14.7109375" style="49" customWidth="1"/>
    <col min="14356" max="14356" width="9.140625" style="49"/>
    <col min="14357" max="14357" width="11.5703125" style="49" bestFit="1" customWidth="1"/>
    <col min="14358" max="14358" width="9.140625" style="49"/>
    <col min="14359" max="14359" width="11.5703125" style="49" bestFit="1" customWidth="1"/>
    <col min="14360" max="14592" width="9.140625" style="49"/>
    <col min="14593" max="14593" width="4.140625" style="49" customWidth="1"/>
    <col min="14594" max="14602" width="13.5703125" style="49" customWidth="1"/>
    <col min="14603" max="14603" width="4.140625" style="49" customWidth="1"/>
    <col min="14604" max="14604" width="46.7109375" style="49" customWidth="1"/>
    <col min="14605" max="14605" width="25.85546875" style="49" customWidth="1"/>
    <col min="14606" max="14606" width="23.7109375" style="49" customWidth="1"/>
    <col min="14607" max="14607" width="11.85546875" style="49" customWidth="1"/>
    <col min="14608" max="14608" width="39.140625" style="49" customWidth="1"/>
    <col min="14609" max="14609" width="16.140625" style="49" customWidth="1"/>
    <col min="14610" max="14610" width="13.85546875" style="49" customWidth="1"/>
    <col min="14611" max="14611" width="14.7109375" style="49" customWidth="1"/>
    <col min="14612" max="14612" width="9.140625" style="49"/>
    <col min="14613" max="14613" width="11.5703125" style="49" bestFit="1" customWidth="1"/>
    <col min="14614" max="14614" width="9.140625" style="49"/>
    <col min="14615" max="14615" width="11.5703125" style="49" bestFit="1" customWidth="1"/>
    <col min="14616" max="14848" width="9.140625" style="49"/>
    <col min="14849" max="14849" width="4.140625" style="49" customWidth="1"/>
    <col min="14850" max="14858" width="13.5703125" style="49" customWidth="1"/>
    <col min="14859" max="14859" width="4.140625" style="49" customWidth="1"/>
    <col min="14860" max="14860" width="46.7109375" style="49" customWidth="1"/>
    <col min="14861" max="14861" width="25.85546875" style="49" customWidth="1"/>
    <col min="14862" max="14862" width="23.7109375" style="49" customWidth="1"/>
    <col min="14863" max="14863" width="11.85546875" style="49" customWidth="1"/>
    <col min="14864" max="14864" width="39.140625" style="49" customWidth="1"/>
    <col min="14865" max="14865" width="16.140625" style="49" customWidth="1"/>
    <col min="14866" max="14866" width="13.85546875" style="49" customWidth="1"/>
    <col min="14867" max="14867" width="14.7109375" style="49" customWidth="1"/>
    <col min="14868" max="14868" width="9.140625" style="49"/>
    <col min="14869" max="14869" width="11.5703125" style="49" bestFit="1" customWidth="1"/>
    <col min="14870" max="14870" width="9.140625" style="49"/>
    <col min="14871" max="14871" width="11.5703125" style="49" bestFit="1" customWidth="1"/>
    <col min="14872" max="15104" width="9.140625" style="49"/>
    <col min="15105" max="15105" width="4.140625" style="49" customWidth="1"/>
    <col min="15106" max="15114" width="13.5703125" style="49" customWidth="1"/>
    <col min="15115" max="15115" width="4.140625" style="49" customWidth="1"/>
    <col min="15116" max="15116" width="46.7109375" style="49" customWidth="1"/>
    <col min="15117" max="15117" width="25.85546875" style="49" customWidth="1"/>
    <col min="15118" max="15118" width="23.7109375" style="49" customWidth="1"/>
    <col min="15119" max="15119" width="11.85546875" style="49" customWidth="1"/>
    <col min="15120" max="15120" width="39.140625" style="49" customWidth="1"/>
    <col min="15121" max="15121" width="16.140625" style="49" customWidth="1"/>
    <col min="15122" max="15122" width="13.85546875" style="49" customWidth="1"/>
    <col min="15123" max="15123" width="14.7109375" style="49" customWidth="1"/>
    <col min="15124" max="15124" width="9.140625" style="49"/>
    <col min="15125" max="15125" width="11.5703125" style="49" bestFit="1" customWidth="1"/>
    <col min="15126" max="15126" width="9.140625" style="49"/>
    <col min="15127" max="15127" width="11.5703125" style="49" bestFit="1" customWidth="1"/>
    <col min="15128" max="15360" width="9.140625" style="49"/>
    <col min="15361" max="15361" width="4.140625" style="49" customWidth="1"/>
    <col min="15362" max="15370" width="13.5703125" style="49" customWidth="1"/>
    <col min="15371" max="15371" width="4.140625" style="49" customWidth="1"/>
    <col min="15372" max="15372" width="46.7109375" style="49" customWidth="1"/>
    <col min="15373" max="15373" width="25.85546875" style="49" customWidth="1"/>
    <col min="15374" max="15374" width="23.7109375" style="49" customWidth="1"/>
    <col min="15375" max="15375" width="11.85546875" style="49" customWidth="1"/>
    <col min="15376" max="15376" width="39.140625" style="49" customWidth="1"/>
    <col min="15377" max="15377" width="16.140625" style="49" customWidth="1"/>
    <col min="15378" max="15378" width="13.85546875" style="49" customWidth="1"/>
    <col min="15379" max="15379" width="14.7109375" style="49" customWidth="1"/>
    <col min="15380" max="15380" width="9.140625" style="49"/>
    <col min="15381" max="15381" width="11.5703125" style="49" bestFit="1" customWidth="1"/>
    <col min="15382" max="15382" width="9.140625" style="49"/>
    <col min="15383" max="15383" width="11.5703125" style="49" bestFit="1" customWidth="1"/>
    <col min="15384" max="15616" width="9.140625" style="49"/>
    <col min="15617" max="15617" width="4.140625" style="49" customWidth="1"/>
    <col min="15618" max="15626" width="13.5703125" style="49" customWidth="1"/>
    <col min="15627" max="15627" width="4.140625" style="49" customWidth="1"/>
    <col min="15628" max="15628" width="46.7109375" style="49" customWidth="1"/>
    <col min="15629" max="15629" width="25.85546875" style="49" customWidth="1"/>
    <col min="15630" max="15630" width="23.7109375" style="49" customWidth="1"/>
    <col min="15631" max="15631" width="11.85546875" style="49" customWidth="1"/>
    <col min="15632" max="15632" width="39.140625" style="49" customWidth="1"/>
    <col min="15633" max="15633" width="16.140625" style="49" customWidth="1"/>
    <col min="15634" max="15634" width="13.85546875" style="49" customWidth="1"/>
    <col min="15635" max="15635" width="14.7109375" style="49" customWidth="1"/>
    <col min="15636" max="15636" width="9.140625" style="49"/>
    <col min="15637" max="15637" width="11.5703125" style="49" bestFit="1" customWidth="1"/>
    <col min="15638" max="15638" width="9.140625" style="49"/>
    <col min="15639" max="15639" width="11.5703125" style="49" bestFit="1" customWidth="1"/>
    <col min="15640" max="15872" width="9.140625" style="49"/>
    <col min="15873" max="15873" width="4.140625" style="49" customWidth="1"/>
    <col min="15874" max="15882" width="13.5703125" style="49" customWidth="1"/>
    <col min="15883" max="15883" width="4.140625" style="49" customWidth="1"/>
    <col min="15884" max="15884" width="46.7109375" style="49" customWidth="1"/>
    <col min="15885" max="15885" width="25.85546875" style="49" customWidth="1"/>
    <col min="15886" max="15886" width="23.7109375" style="49" customWidth="1"/>
    <col min="15887" max="15887" width="11.85546875" style="49" customWidth="1"/>
    <col min="15888" max="15888" width="39.140625" style="49" customWidth="1"/>
    <col min="15889" max="15889" width="16.140625" style="49" customWidth="1"/>
    <col min="15890" max="15890" width="13.85546875" style="49" customWidth="1"/>
    <col min="15891" max="15891" width="14.7109375" style="49" customWidth="1"/>
    <col min="15892" max="15892" width="9.140625" style="49"/>
    <col min="15893" max="15893" width="11.5703125" style="49" bestFit="1" customWidth="1"/>
    <col min="15894" max="15894" width="9.140625" style="49"/>
    <col min="15895" max="15895" width="11.5703125" style="49" bestFit="1" customWidth="1"/>
    <col min="15896" max="16128" width="9.140625" style="49"/>
    <col min="16129" max="16129" width="4.140625" style="49" customWidth="1"/>
    <col min="16130" max="16138" width="13.5703125" style="49" customWidth="1"/>
    <col min="16139" max="16139" width="4.140625" style="49" customWidth="1"/>
    <col min="16140" max="16140" width="46.7109375" style="49" customWidth="1"/>
    <col min="16141" max="16141" width="25.85546875" style="49" customWidth="1"/>
    <col min="16142" max="16142" width="23.7109375" style="49" customWidth="1"/>
    <col min="16143" max="16143" width="11.85546875" style="49" customWidth="1"/>
    <col min="16144" max="16144" width="39.140625" style="49" customWidth="1"/>
    <col min="16145" max="16145" width="16.140625" style="49" customWidth="1"/>
    <col min="16146" max="16146" width="13.85546875" style="49" customWidth="1"/>
    <col min="16147" max="16147" width="14.7109375" style="49" customWidth="1"/>
    <col min="16148" max="16148" width="9.140625" style="49"/>
    <col min="16149" max="16149" width="11.5703125" style="49" bestFit="1" customWidth="1"/>
    <col min="16150" max="16150" width="9.140625" style="49"/>
    <col min="16151" max="16151" width="11.5703125" style="49" bestFit="1" customWidth="1"/>
    <col min="16152" max="16384" width="9.140625" style="49"/>
  </cols>
  <sheetData>
    <row r="1" spans="2:23" ht="7.9" customHeight="1" x14ac:dyDescent="0.25">
      <c r="L1" s="47"/>
      <c r="M1" s="47"/>
      <c r="N1" s="48"/>
    </row>
    <row r="2" spans="2:23" x14ac:dyDescent="0.25">
      <c r="B2" s="170" t="s">
        <v>64</v>
      </c>
      <c r="C2" s="170"/>
      <c r="D2" s="170"/>
      <c r="E2" s="170"/>
      <c r="F2" s="170"/>
      <c r="G2" s="170"/>
      <c r="H2" s="170"/>
      <c r="I2" s="170"/>
      <c r="J2" s="170"/>
      <c r="L2" s="170" t="s">
        <v>65</v>
      </c>
      <c r="M2" s="170"/>
      <c r="N2" s="170"/>
      <c r="P2" s="148" t="s">
        <v>66</v>
      </c>
      <c r="Q2" s="148"/>
      <c r="R2" s="148"/>
      <c r="S2" s="148"/>
    </row>
    <row r="3" spans="2:23" ht="22.5" customHeight="1" x14ac:dyDescent="0.25">
      <c r="B3" s="51"/>
      <c r="C3" s="51"/>
      <c r="D3" s="51"/>
      <c r="E3" s="51"/>
      <c r="F3" s="51"/>
      <c r="G3" s="51"/>
      <c r="H3" s="51"/>
      <c r="I3" s="51"/>
      <c r="J3" s="51"/>
      <c r="L3" s="52" t="s">
        <v>67</v>
      </c>
      <c r="M3" s="26" t="s">
        <v>68</v>
      </c>
      <c r="N3" s="26" t="s">
        <v>69</v>
      </c>
      <c r="P3" s="145"/>
      <c r="Q3" s="53"/>
      <c r="R3" s="53"/>
      <c r="S3" s="53"/>
    </row>
    <row r="4" spans="2:23" ht="15.75" x14ac:dyDescent="0.25">
      <c r="B4" s="51"/>
      <c r="C4" s="51"/>
      <c r="D4" s="51"/>
      <c r="E4" s="51"/>
      <c r="F4" s="51"/>
      <c r="G4" s="51"/>
      <c r="H4" s="51"/>
      <c r="I4" s="51"/>
      <c r="J4" s="51"/>
      <c r="L4" s="54" t="s">
        <v>70</v>
      </c>
      <c r="M4" s="29">
        <v>0.94</v>
      </c>
      <c r="N4" s="29" t="s">
        <v>71</v>
      </c>
      <c r="P4" s="148" t="s">
        <v>72</v>
      </c>
      <c r="Q4" s="148"/>
      <c r="R4" s="148"/>
      <c r="S4" s="148"/>
      <c r="U4" s="53"/>
      <c r="V4" s="53"/>
      <c r="W4" s="53"/>
    </row>
    <row r="5" spans="2:23" ht="15.75" x14ac:dyDescent="0.25">
      <c r="B5" s="170" t="s">
        <v>73</v>
      </c>
      <c r="C5" s="170"/>
      <c r="D5" s="170"/>
      <c r="E5" s="170"/>
      <c r="F5" s="170"/>
      <c r="G5" s="170"/>
      <c r="H5" s="170"/>
      <c r="I5" s="170"/>
      <c r="J5" s="170"/>
      <c r="L5" s="55" t="s">
        <v>74</v>
      </c>
      <c r="M5" s="56">
        <v>6.7000000000000002E-4</v>
      </c>
      <c r="N5" s="29" t="s">
        <v>75</v>
      </c>
      <c r="P5" s="52" t="s">
        <v>76</v>
      </c>
      <c r="Q5" s="26">
        <v>2019</v>
      </c>
      <c r="R5" s="26">
        <v>2020</v>
      </c>
      <c r="S5" s="26" t="s">
        <v>77</v>
      </c>
      <c r="U5" s="53"/>
      <c r="V5" s="53"/>
      <c r="W5" s="53"/>
    </row>
    <row r="6" spans="2:23" ht="28.5" x14ac:dyDescent="0.25">
      <c r="B6" s="21" t="s">
        <v>15</v>
      </c>
      <c r="C6" s="21" t="s">
        <v>26</v>
      </c>
      <c r="D6" s="26" t="s">
        <v>27</v>
      </c>
      <c r="E6" s="21" t="s">
        <v>28</v>
      </c>
      <c r="F6" s="21" t="s">
        <v>29</v>
      </c>
      <c r="G6" s="21" t="s">
        <v>30</v>
      </c>
      <c r="H6" s="21" t="s">
        <v>78</v>
      </c>
      <c r="I6" s="21" t="s">
        <v>24</v>
      </c>
      <c r="J6" s="26" t="s">
        <v>16</v>
      </c>
      <c r="L6" s="55" t="s">
        <v>79</v>
      </c>
      <c r="M6" s="56">
        <v>0.77</v>
      </c>
      <c r="N6" s="29" t="s">
        <v>71</v>
      </c>
      <c r="P6" s="11" t="s">
        <v>26</v>
      </c>
      <c r="Q6" s="14">
        <f>SUMIFS('Animal Data - Altenor'!$H$5:$H$8,'Animal Data - Altenor'!$I$5:$I$8,'BE - Altenor'!$P6,'Animal Data - Altenor'!$G$5:$G$8,'BE - Altenor'!Q$5)</f>
        <v>0</v>
      </c>
      <c r="R6" s="14">
        <f>SUMIFS('Animal Data - Altenor'!$H$5:$H$8,'Animal Data - Altenor'!$I$5:$I$8,'BE - Altenor'!$P6,'Animal Data - Altenor'!$G$5:$G$8,'BE - Altenor'!R$5)</f>
        <v>0</v>
      </c>
      <c r="S6" s="13">
        <f t="shared" ref="S6:S11" si="0">AVERAGE(Q6:R6)</f>
        <v>0</v>
      </c>
      <c r="U6" s="53"/>
      <c r="V6" s="53"/>
      <c r="W6" s="53"/>
    </row>
    <row r="7" spans="2:23" ht="15.75" x14ac:dyDescent="0.25">
      <c r="B7" s="19">
        <v>2019</v>
      </c>
      <c r="C7" s="13">
        <f>$M$7*$M$5*$M$4*$M$6*$M$22*$Q$24*$Q$42*$M$8</f>
        <v>0</v>
      </c>
      <c r="D7" s="13">
        <f>$M$7*$M$5*$M$4*$M$6*$M$22*$Q$25*$Q$43*$M$8</f>
        <v>0</v>
      </c>
      <c r="E7" s="13">
        <f>$M$7*$M$5*$M$4*$M$6*$M$22*$Q$26*$Q$44*$M$8</f>
        <v>0</v>
      </c>
      <c r="F7" s="13">
        <f>$M$7*$M$5*$M$4*$M$6*$M$22*$Q$27*$Q$45*$M$8</f>
        <v>0</v>
      </c>
      <c r="G7" s="13">
        <f>$M$7*$M$5*$M$4*$M$6*$M$39*$Q$28*$Q$46*$M$8</f>
        <v>0</v>
      </c>
      <c r="H7" s="13">
        <f>$M$7*$M$5*$M$4*$M$6*$M$39*$Q$29*$Q$47*$M$8</f>
        <v>0</v>
      </c>
      <c r="I7" s="57">
        <f>$M$7*$M$5*$M$4*$M$6*$M$39*$Q$30*$Q$48*$M$8</f>
        <v>915.50958051344651</v>
      </c>
      <c r="J7" s="13">
        <f>SUM(C7:I7)</f>
        <v>915.50958051344651</v>
      </c>
      <c r="L7" s="55" t="s">
        <v>80</v>
      </c>
      <c r="M7" s="56">
        <v>28</v>
      </c>
      <c r="N7" s="29" t="s">
        <v>81</v>
      </c>
      <c r="P7" s="11" t="s">
        <v>27</v>
      </c>
      <c r="Q7" s="14">
        <f>SUMIFS('Animal Data - Altenor'!$H$5:$H$8,'Animal Data - Altenor'!$I$5:$I$8,'BE - Altenor'!$P7,'Animal Data - Altenor'!$G$5:$G$8,'BE - Altenor'!Q$5)</f>
        <v>0</v>
      </c>
      <c r="R7" s="14">
        <f>SUMIFS('Animal Data - Altenor'!$H$5:$H$8,'Animal Data - Altenor'!$I$5:$I$8,'BE - Altenor'!$P7,'Animal Data - Altenor'!$G$5:$G$8,'BE - Altenor'!R$5)</f>
        <v>0</v>
      </c>
      <c r="S7" s="13">
        <f t="shared" si="0"/>
        <v>0</v>
      </c>
      <c r="U7" s="53"/>
      <c r="V7" s="53"/>
      <c r="W7" s="53"/>
    </row>
    <row r="8" spans="2:23" ht="28.5" x14ac:dyDescent="0.25">
      <c r="B8" s="19">
        <v>2020</v>
      </c>
      <c r="C8" s="13">
        <f>$M$7*$M$5*$M$4*$M$6*$M$22*$R$24*$R$42*$M$8</f>
        <v>0</v>
      </c>
      <c r="D8" s="13">
        <f>$M$7*$M$5*$M$4*$M$6*$M$22*$R$25*$R$43*$M$8</f>
        <v>0</v>
      </c>
      <c r="E8" s="13">
        <f>$M$7*$M$5*$M$4*$M$6*$M$22*$R$26*$R$44*$M$8</f>
        <v>0</v>
      </c>
      <c r="F8" s="13">
        <f>$M$7*$M$5*$M$4*$M$6*$M$22*$R$27*$R$45*$M$8</f>
        <v>0</v>
      </c>
      <c r="G8" s="13">
        <f>$M$7*$M$5*$M$4*$M$6*$M$39*$R$28*$R$46*$M$8</f>
        <v>0</v>
      </c>
      <c r="H8" s="13">
        <f>$M$7*$M$5*$M$4*$M$6*$M$39*$R$29*$R$47*$M$8</f>
        <v>0</v>
      </c>
      <c r="I8" s="57">
        <f>$M$7*$M$5*$M$4*$M$6*$M$39*$R$30*$R$48*$M$8</f>
        <v>824.67107008705636</v>
      </c>
      <c r="J8" s="13">
        <f>SUM(C8:I8)</f>
        <v>824.67107008705636</v>
      </c>
      <c r="L8" s="55" t="s">
        <v>82</v>
      </c>
      <c r="M8" s="56">
        <v>1</v>
      </c>
      <c r="N8" s="29" t="s">
        <v>71</v>
      </c>
      <c r="P8" s="11" t="s">
        <v>28</v>
      </c>
      <c r="Q8" s="14">
        <f>SUMIFS('Animal Data - Altenor'!$H$5:$H$8,'Animal Data - Altenor'!$I$5:$I$8,'BE - Altenor'!$P8,'Animal Data - Altenor'!$G$5:$G$8,'BE - Altenor'!Q$5)</f>
        <v>0</v>
      </c>
      <c r="R8" s="14">
        <f>SUMIFS('Animal Data - Altenor'!$H$5:$H$8,'Animal Data - Altenor'!$I$5:$I$8,'BE - Altenor'!$P8,'Animal Data - Altenor'!$G$5:$G$8,'BE - Altenor'!R$5)</f>
        <v>0</v>
      </c>
      <c r="S8" s="13">
        <f t="shared" si="0"/>
        <v>0</v>
      </c>
      <c r="U8" s="53"/>
      <c r="V8" s="53"/>
      <c r="W8" s="53"/>
    </row>
    <row r="9" spans="2:23" x14ac:dyDescent="0.25">
      <c r="B9" s="43" t="s">
        <v>16</v>
      </c>
      <c r="C9" s="13">
        <f t="shared" ref="C9:J9" si="1">SUM(C7:C8)</f>
        <v>0</v>
      </c>
      <c r="D9" s="13">
        <f t="shared" si="1"/>
        <v>0</v>
      </c>
      <c r="E9" s="13">
        <f t="shared" si="1"/>
        <v>0</v>
      </c>
      <c r="F9" s="13">
        <f t="shared" si="1"/>
        <v>0</v>
      </c>
      <c r="G9" s="13">
        <f t="shared" si="1"/>
        <v>0</v>
      </c>
      <c r="H9" s="13">
        <f t="shared" si="1"/>
        <v>0</v>
      </c>
      <c r="I9" s="13">
        <f t="shared" si="1"/>
        <v>1740.1806506005028</v>
      </c>
      <c r="J9" s="13">
        <f t="shared" si="1"/>
        <v>1740.1806506005028</v>
      </c>
      <c r="P9" s="11" t="s">
        <v>29</v>
      </c>
      <c r="Q9" s="14">
        <f>SUMIFS('Animal Data - Altenor'!$H$5:$H$8,'Animal Data - Altenor'!$I$5:$I$8,'BE - Altenor'!$P9,'Animal Data - Altenor'!$G$5:$G$8,'BE - Altenor'!Q$5)</f>
        <v>0</v>
      </c>
      <c r="R9" s="14">
        <f>SUMIFS('Animal Data - Altenor'!$H$5:$H$8,'Animal Data - Altenor'!$I$5:$I$8,'BE - Altenor'!$P9,'Animal Data - Altenor'!$G$5:$G$8,'BE - Altenor'!R$5)</f>
        <v>0</v>
      </c>
      <c r="S9" s="13">
        <f t="shared" si="0"/>
        <v>0</v>
      </c>
      <c r="U9" s="53"/>
      <c r="V9" s="53"/>
      <c r="W9" s="53"/>
    </row>
    <row r="10" spans="2:23" x14ac:dyDescent="0.25">
      <c r="B10" s="53"/>
      <c r="C10" s="53"/>
      <c r="D10" s="53"/>
      <c r="E10" s="53"/>
      <c r="F10" s="53"/>
      <c r="G10" s="53"/>
      <c r="H10" s="53"/>
      <c r="I10" s="53"/>
      <c r="J10" s="53"/>
      <c r="L10" s="170" t="s">
        <v>83</v>
      </c>
      <c r="M10" s="170"/>
      <c r="N10" s="170"/>
      <c r="P10" s="11" t="s">
        <v>30</v>
      </c>
      <c r="Q10" s="14">
        <f>SUMIFS('Animal Data - Altenor'!$H$5:$H$8,'Animal Data - Altenor'!$I$5:$I$8,'BE - Altenor'!$P10,'Animal Data - Altenor'!$G$5:$G$8,'BE - Altenor'!Q$5)</f>
        <v>0</v>
      </c>
      <c r="R10" s="14">
        <f>SUMIFS('Animal Data - Altenor'!$H$5:$H$8,'Animal Data - Altenor'!$I$5:$I$8,'BE - Altenor'!$P10,'Animal Data - Altenor'!$G$5:$G$8,'BE - Altenor'!R$5)</f>
        <v>0</v>
      </c>
      <c r="S10" s="13">
        <f t="shared" si="0"/>
        <v>0</v>
      </c>
      <c r="U10" s="53"/>
      <c r="V10" s="53"/>
      <c r="W10" s="53"/>
    </row>
    <row r="11" spans="2:23" x14ac:dyDescent="0.25">
      <c r="C11" s="53"/>
      <c r="D11" s="53"/>
      <c r="E11" s="53"/>
      <c r="F11" s="53"/>
      <c r="G11" s="53"/>
      <c r="H11" s="53"/>
      <c r="I11" s="53"/>
      <c r="J11" s="53"/>
      <c r="L11" s="170" t="s">
        <v>84</v>
      </c>
      <c r="M11" s="170"/>
      <c r="N11" s="170"/>
      <c r="P11" s="11" t="s">
        <v>78</v>
      </c>
      <c r="Q11" s="14">
        <f>SUMIFS('Animal Data - Altenor'!$H$5:$H$8,'Animal Data - Altenor'!$I$5:$I$8,'BE - Altenor'!$P11,'Animal Data - Altenor'!$G$5:$G$8,'BE - Altenor'!Q$5)</f>
        <v>0</v>
      </c>
      <c r="R11" s="14">
        <f>SUMIFS('Animal Data - Altenor'!$H$5:$H$8,'Animal Data - Altenor'!$I$5:$I$8,'BE - Altenor'!$P11,'Animal Data - Altenor'!$G$5:$G$8,'BE - Altenor'!R$5)</f>
        <v>0</v>
      </c>
      <c r="S11" s="13">
        <f t="shared" si="0"/>
        <v>0</v>
      </c>
      <c r="U11" s="53"/>
      <c r="V11" s="53"/>
      <c r="W11" s="53"/>
    </row>
    <row r="12" spans="2:23" x14ac:dyDescent="0.25">
      <c r="C12" s="53"/>
      <c r="D12" s="53"/>
      <c r="E12" s="53"/>
      <c r="F12" s="53"/>
      <c r="G12" s="53"/>
      <c r="H12" s="53"/>
      <c r="I12" s="53"/>
      <c r="J12" s="53"/>
      <c r="L12" s="52" t="s">
        <v>67</v>
      </c>
      <c r="M12" s="26" t="s">
        <v>68</v>
      </c>
      <c r="N12" s="26" t="s">
        <v>69</v>
      </c>
      <c r="P12" s="11" t="s">
        <v>24</v>
      </c>
      <c r="Q12" s="14">
        <f>SUMIFS('Animal Data - Altenor'!$H$5:$H$8,'Animal Data - Altenor'!$I$5:$I$8,'BE - Altenor'!$P12,'Animal Data - Altenor'!$G$5:$G$8,'BE - Altenor'!Q$5)</f>
        <v>4395</v>
      </c>
      <c r="R12" s="14">
        <f>SUMIFS('Animal Data - Altenor'!$H$5:$H$8,'Animal Data - Altenor'!$I$5:$I$8,'BE - Altenor'!$P12,'Animal Data - Altenor'!$G$5:$G$8,'BE - Altenor'!R$5)</f>
        <v>4395</v>
      </c>
      <c r="S12" s="13">
        <f>AVERAGE(Q12:R12)</f>
        <v>4395</v>
      </c>
      <c r="U12" s="53"/>
      <c r="V12" s="53"/>
      <c r="W12" s="53"/>
    </row>
    <row r="13" spans="2:23" ht="15.75" x14ac:dyDescent="0.25">
      <c r="B13" s="53"/>
      <c r="C13" s="53"/>
      <c r="D13" s="53"/>
      <c r="E13" s="53"/>
      <c r="F13" s="53"/>
      <c r="G13" s="53"/>
      <c r="H13" s="53"/>
      <c r="I13" s="53"/>
      <c r="J13" s="53"/>
      <c r="L13" s="170" t="s">
        <v>85</v>
      </c>
      <c r="M13" s="170"/>
      <c r="N13" s="170"/>
      <c r="P13" s="148" t="s">
        <v>86</v>
      </c>
      <c r="Q13" s="148"/>
      <c r="R13" s="148"/>
      <c r="S13" s="148"/>
      <c r="U13" s="53"/>
      <c r="V13" s="53"/>
      <c r="W13" s="53"/>
    </row>
    <row r="14" spans="2:23" x14ac:dyDescent="0.25">
      <c r="B14" s="53"/>
      <c r="C14" s="53"/>
      <c r="D14" s="53"/>
      <c r="E14" s="53"/>
      <c r="F14" s="53"/>
      <c r="G14" s="53"/>
      <c r="H14" s="53"/>
      <c r="I14" s="53"/>
      <c r="J14" s="53"/>
      <c r="L14" s="59" t="s">
        <v>87</v>
      </c>
      <c r="M14" s="29">
        <v>0.5</v>
      </c>
      <c r="N14" s="29" t="s">
        <v>88</v>
      </c>
      <c r="P14" s="52" t="s">
        <v>76</v>
      </c>
      <c r="Q14" s="26">
        <v>2019</v>
      </c>
      <c r="R14" s="26">
        <v>2020</v>
      </c>
      <c r="S14" s="26" t="s">
        <v>77</v>
      </c>
      <c r="U14" s="53"/>
      <c r="V14" s="53"/>
      <c r="W14" s="53"/>
    </row>
    <row r="15" spans="2:23" x14ac:dyDescent="0.25">
      <c r="B15" s="53"/>
      <c r="C15" s="53"/>
      <c r="D15" s="53"/>
      <c r="E15" s="53"/>
      <c r="F15" s="53"/>
      <c r="G15" s="53"/>
      <c r="H15" s="53"/>
      <c r="I15" s="53"/>
      <c r="J15" s="53"/>
      <c r="L15" s="59" t="s">
        <v>89</v>
      </c>
      <c r="M15" s="29">
        <v>0.46</v>
      </c>
      <c r="N15" s="29" t="s">
        <v>88</v>
      </c>
      <c r="P15" s="11" t="s">
        <v>26</v>
      </c>
      <c r="Q15" s="14">
        <f>'Animal Data - Altenor'!D12</f>
        <v>0</v>
      </c>
      <c r="R15" s="14">
        <f>'Animal Data - Altenor'!E12</f>
        <v>0</v>
      </c>
      <c r="S15" s="13">
        <f t="shared" ref="S15:S21" si="2">AVERAGE(Q15:R15)</f>
        <v>0</v>
      </c>
      <c r="U15" s="53"/>
      <c r="V15" s="53"/>
      <c r="W15" s="53"/>
    </row>
    <row r="16" spans="2:23" x14ac:dyDescent="0.25">
      <c r="B16" s="53"/>
      <c r="C16" s="53"/>
      <c r="D16" s="53"/>
      <c r="E16" s="53"/>
      <c r="F16" s="53"/>
      <c r="G16" s="53"/>
      <c r="H16" s="53"/>
      <c r="I16" s="53"/>
      <c r="J16" s="53"/>
      <c r="L16" s="59" t="s">
        <v>90</v>
      </c>
      <c r="M16" s="29">
        <v>0.5</v>
      </c>
      <c r="N16" s="29" t="s">
        <v>88</v>
      </c>
      <c r="P16" s="11" t="s">
        <v>27</v>
      </c>
      <c r="Q16" s="14">
        <f>'Animal Data - Altenor'!D13</f>
        <v>0</v>
      </c>
      <c r="R16" s="14">
        <f>'Animal Data - Altenor'!E13</f>
        <v>0</v>
      </c>
      <c r="S16" s="13">
        <f t="shared" si="2"/>
        <v>0</v>
      </c>
      <c r="U16" s="53"/>
      <c r="V16" s="53"/>
      <c r="W16" s="53"/>
    </row>
    <row r="17" spans="2:24" x14ac:dyDescent="0.25">
      <c r="B17" s="53"/>
      <c r="C17" s="53"/>
      <c r="D17" s="53"/>
      <c r="E17" s="53"/>
      <c r="F17" s="53"/>
      <c r="G17" s="53"/>
      <c r="H17" s="53"/>
      <c r="I17" s="53"/>
      <c r="J17" s="53"/>
      <c r="L17" s="59" t="s">
        <v>91</v>
      </c>
      <c r="M17" s="29">
        <v>0.3</v>
      </c>
      <c r="N17" s="29" t="s">
        <v>88</v>
      </c>
      <c r="P17" s="11" t="s">
        <v>56</v>
      </c>
      <c r="Q17" s="14">
        <f>'Animal Data - Altenor'!D14</f>
        <v>0</v>
      </c>
      <c r="R17" s="14">
        <f>'Animal Data - Altenor'!E14</f>
        <v>0</v>
      </c>
      <c r="S17" s="13">
        <f t="shared" si="2"/>
        <v>0</v>
      </c>
      <c r="U17" s="53"/>
      <c r="V17" s="53"/>
      <c r="W17" s="53"/>
    </row>
    <row r="18" spans="2:24" x14ac:dyDescent="0.25">
      <c r="B18" s="53"/>
      <c r="C18" s="53"/>
      <c r="D18" s="53"/>
      <c r="E18" s="53"/>
      <c r="F18" s="53"/>
      <c r="G18" s="53"/>
      <c r="H18" s="53"/>
      <c r="I18" s="53"/>
      <c r="J18" s="53"/>
      <c r="L18" s="170" t="s">
        <v>92</v>
      </c>
      <c r="M18" s="170"/>
      <c r="N18" s="170"/>
      <c r="P18" s="11" t="s">
        <v>93</v>
      </c>
      <c r="Q18" s="14">
        <f>'Animal Data - Altenor'!D15</f>
        <v>0</v>
      </c>
      <c r="R18" s="14">
        <f>'Animal Data - Altenor'!E15</f>
        <v>0</v>
      </c>
      <c r="S18" s="13">
        <f t="shared" si="2"/>
        <v>0</v>
      </c>
      <c r="U18" s="53"/>
      <c r="V18" s="53"/>
      <c r="W18" s="53"/>
    </row>
    <row r="19" spans="2:24" ht="15.75" x14ac:dyDescent="0.25">
      <c r="B19" s="53"/>
      <c r="C19" s="53"/>
      <c r="D19" s="53"/>
      <c r="E19" s="53"/>
      <c r="F19" s="53"/>
      <c r="G19" s="53"/>
      <c r="H19" s="53"/>
      <c r="I19" s="53"/>
      <c r="J19" s="53"/>
      <c r="L19" s="59" t="s">
        <v>87</v>
      </c>
      <c r="M19" s="29">
        <v>0.48</v>
      </c>
      <c r="N19" s="29" t="s">
        <v>94</v>
      </c>
      <c r="P19" s="11" t="s">
        <v>30</v>
      </c>
      <c r="Q19" s="14">
        <f>'Animal Data - Altenor'!D16</f>
        <v>0</v>
      </c>
      <c r="R19" s="14">
        <f>'Animal Data - Altenor'!E16</f>
        <v>0</v>
      </c>
      <c r="S19" s="13">
        <f t="shared" si="2"/>
        <v>0</v>
      </c>
      <c r="U19" s="53"/>
      <c r="V19" s="53"/>
      <c r="W19" s="53"/>
    </row>
    <row r="20" spans="2:24" ht="15.75" x14ac:dyDescent="0.25">
      <c r="B20" s="53"/>
      <c r="C20" s="53"/>
      <c r="D20" s="53"/>
      <c r="E20" s="53"/>
      <c r="F20" s="53"/>
      <c r="G20" s="53"/>
      <c r="H20" s="53"/>
      <c r="I20" s="53"/>
      <c r="J20" s="53"/>
      <c r="L20" s="59" t="s">
        <v>89</v>
      </c>
      <c r="M20" s="29">
        <v>0.45</v>
      </c>
      <c r="N20" s="29" t="s">
        <v>94</v>
      </c>
      <c r="P20" s="11" t="s">
        <v>95</v>
      </c>
      <c r="Q20" s="14">
        <f>'Animal Data - Altenor'!D17</f>
        <v>0</v>
      </c>
      <c r="R20" s="14">
        <f>'Animal Data - Altenor'!E17</f>
        <v>0</v>
      </c>
      <c r="S20" s="13">
        <f t="shared" si="2"/>
        <v>0</v>
      </c>
      <c r="U20" s="53"/>
      <c r="V20" s="53"/>
      <c r="W20" s="53"/>
    </row>
    <row r="21" spans="2:24" ht="15.75" x14ac:dyDescent="0.25">
      <c r="B21" s="53"/>
      <c r="C21" s="53"/>
      <c r="D21" s="53"/>
      <c r="E21" s="53"/>
      <c r="F21" s="53"/>
      <c r="G21" s="53"/>
      <c r="H21" s="53"/>
      <c r="I21" s="53"/>
      <c r="J21" s="53"/>
      <c r="L21" s="59" t="s">
        <v>90</v>
      </c>
      <c r="M21" s="29">
        <v>0.45</v>
      </c>
      <c r="N21" s="29" t="s">
        <v>94</v>
      </c>
      <c r="P21" s="11" t="s">
        <v>24</v>
      </c>
      <c r="Q21" s="14">
        <f>'Animal Data - Altenor'!D18</f>
        <v>99.361774744027301</v>
      </c>
      <c r="R21" s="14">
        <f>'Animal Data - Altenor'!E18</f>
        <v>106.99522184300341</v>
      </c>
      <c r="S21" s="13">
        <f t="shared" si="2"/>
        <v>103.17849829351536</v>
      </c>
      <c r="U21" s="53"/>
      <c r="V21" s="53"/>
      <c r="W21" s="53"/>
    </row>
    <row r="22" spans="2:24" ht="15.75" x14ac:dyDescent="0.25">
      <c r="B22" s="53"/>
      <c r="C22" s="53"/>
      <c r="D22" s="53"/>
      <c r="E22" s="53"/>
      <c r="F22" s="53"/>
      <c r="G22" s="53"/>
      <c r="H22" s="53"/>
      <c r="I22" s="53"/>
      <c r="J22" s="53"/>
      <c r="L22" s="59" t="s">
        <v>91</v>
      </c>
      <c r="M22" s="29">
        <v>0.28999999999999998</v>
      </c>
      <c r="N22" s="29" t="s">
        <v>94</v>
      </c>
      <c r="P22" s="148" t="s">
        <v>96</v>
      </c>
      <c r="Q22" s="148"/>
      <c r="R22" s="148"/>
      <c r="S22" s="148"/>
      <c r="U22" s="53"/>
      <c r="V22" s="53"/>
      <c r="W22" s="53"/>
    </row>
    <row r="23" spans="2:24" x14ac:dyDescent="0.25">
      <c r="B23" s="53"/>
      <c r="C23" s="53"/>
      <c r="D23" s="53"/>
      <c r="E23" s="53"/>
      <c r="F23" s="53"/>
      <c r="G23" s="53"/>
      <c r="H23" s="53"/>
      <c r="I23" s="53"/>
      <c r="J23" s="53"/>
      <c r="L23" s="170" t="s">
        <v>97</v>
      </c>
      <c r="M23" s="170"/>
      <c r="N23" s="170"/>
      <c r="P23" s="52" t="s">
        <v>76</v>
      </c>
      <c r="Q23" s="26">
        <v>2019</v>
      </c>
      <c r="R23" s="26">
        <v>2020</v>
      </c>
      <c r="S23" s="26" t="s">
        <v>77</v>
      </c>
      <c r="U23" s="53"/>
      <c r="V23" s="53"/>
      <c r="W23" s="53"/>
    </row>
    <row r="24" spans="2:24" x14ac:dyDescent="0.25">
      <c r="B24" s="53"/>
      <c r="C24" s="53"/>
      <c r="D24" s="53"/>
      <c r="E24" s="53"/>
      <c r="F24" s="53"/>
      <c r="G24" s="53"/>
      <c r="H24" s="53"/>
      <c r="I24" s="53"/>
      <c r="J24" s="53"/>
      <c r="L24" s="59" t="s">
        <v>87</v>
      </c>
      <c r="M24" s="29">
        <v>198</v>
      </c>
      <c r="N24" s="29" t="s">
        <v>98</v>
      </c>
      <c r="P24" s="11" t="s">
        <v>26</v>
      </c>
      <c r="Q24" s="45">
        <f>Q15*(Q6/365)</f>
        <v>0</v>
      </c>
      <c r="R24" s="45">
        <f>R15*(R6/365)</f>
        <v>0</v>
      </c>
      <c r="S24" s="13">
        <f t="shared" ref="S24:S30" si="3">AVERAGE(Q24:R24)</f>
        <v>0</v>
      </c>
      <c r="U24" s="53"/>
      <c r="V24" s="53"/>
      <c r="W24" s="53"/>
    </row>
    <row r="25" spans="2:24" x14ac:dyDescent="0.25">
      <c r="B25" s="53"/>
      <c r="C25" s="53"/>
      <c r="D25" s="53"/>
      <c r="E25" s="53"/>
      <c r="F25" s="53"/>
      <c r="G25" s="53"/>
      <c r="H25" s="53"/>
      <c r="I25" s="53"/>
      <c r="J25" s="53"/>
      <c r="L25" s="59" t="s">
        <v>89</v>
      </c>
      <c r="M25" s="29">
        <v>198</v>
      </c>
      <c r="N25" s="29" t="s">
        <v>98</v>
      </c>
      <c r="P25" s="11" t="s">
        <v>27</v>
      </c>
      <c r="Q25" s="45">
        <f t="shared" ref="Q25:R30" si="4">Q16*(Q7/365)</f>
        <v>0</v>
      </c>
      <c r="R25" s="45">
        <f t="shared" si="4"/>
        <v>0</v>
      </c>
      <c r="S25" s="13">
        <f t="shared" si="3"/>
        <v>0</v>
      </c>
      <c r="U25" s="53"/>
      <c r="V25" s="53"/>
      <c r="W25" s="53"/>
    </row>
    <row r="26" spans="2:24" ht="12.75" customHeight="1" x14ac:dyDescent="0.25">
      <c r="B26" s="53"/>
      <c r="C26" s="53"/>
      <c r="D26" s="53"/>
      <c r="E26" s="53"/>
      <c r="F26" s="53"/>
      <c r="G26" s="53"/>
      <c r="H26" s="53"/>
      <c r="I26" s="53"/>
      <c r="J26" s="53"/>
      <c r="L26" s="59" t="s">
        <v>90</v>
      </c>
      <c r="M26" s="29">
        <v>180</v>
      </c>
      <c r="N26" s="29" t="s">
        <v>98</v>
      </c>
      <c r="P26" s="11" t="s">
        <v>56</v>
      </c>
      <c r="Q26" s="45">
        <f t="shared" si="4"/>
        <v>0</v>
      </c>
      <c r="R26" s="45">
        <f t="shared" si="4"/>
        <v>0</v>
      </c>
      <c r="S26" s="13">
        <f t="shared" si="3"/>
        <v>0</v>
      </c>
      <c r="U26" s="53"/>
      <c r="V26" s="53"/>
    </row>
    <row r="27" spans="2:24" ht="12.75" customHeight="1" x14ac:dyDescent="0.25">
      <c r="B27" s="53"/>
      <c r="C27" s="53"/>
      <c r="D27" s="53"/>
      <c r="E27" s="53"/>
      <c r="F27" s="53"/>
      <c r="G27" s="53"/>
      <c r="H27" s="53"/>
      <c r="I27" s="53"/>
      <c r="J27" s="53"/>
      <c r="L27" s="59" t="s">
        <v>91</v>
      </c>
      <c r="M27" s="29">
        <v>28</v>
      </c>
      <c r="N27" s="29" t="s">
        <v>98</v>
      </c>
      <c r="P27" s="11" t="s">
        <v>93</v>
      </c>
      <c r="Q27" s="45">
        <f t="shared" si="4"/>
        <v>0</v>
      </c>
      <c r="R27" s="45">
        <f t="shared" si="4"/>
        <v>0</v>
      </c>
      <c r="S27" s="13">
        <f t="shared" si="3"/>
        <v>0</v>
      </c>
      <c r="U27" s="53"/>
      <c r="V27" s="53"/>
      <c r="W27" s="53"/>
    </row>
    <row r="28" spans="2:24" x14ac:dyDescent="0.25">
      <c r="B28" s="53"/>
      <c r="C28" s="53"/>
      <c r="D28" s="53"/>
      <c r="E28" s="53"/>
      <c r="F28" s="53"/>
      <c r="G28" s="53"/>
      <c r="H28" s="53"/>
      <c r="I28" s="53"/>
      <c r="J28" s="53"/>
      <c r="L28" s="170" t="s">
        <v>99</v>
      </c>
      <c r="M28" s="170"/>
      <c r="N28" s="170"/>
      <c r="P28" s="11" t="s">
        <v>30</v>
      </c>
      <c r="Q28" s="45">
        <f t="shared" si="4"/>
        <v>0</v>
      </c>
      <c r="R28" s="45">
        <f t="shared" si="4"/>
        <v>0</v>
      </c>
      <c r="S28" s="13">
        <f t="shared" si="3"/>
        <v>0</v>
      </c>
      <c r="U28" s="53"/>
      <c r="V28" s="53"/>
      <c r="W28" s="53"/>
    </row>
    <row r="29" spans="2:24" x14ac:dyDescent="0.25">
      <c r="B29" s="53"/>
      <c r="C29" s="53"/>
      <c r="D29" s="53"/>
      <c r="E29" s="53"/>
      <c r="F29" s="53"/>
      <c r="G29" s="53"/>
      <c r="H29" s="53"/>
      <c r="I29" s="53"/>
      <c r="J29" s="53"/>
      <c r="L29" s="52" t="s">
        <v>67</v>
      </c>
      <c r="M29" s="26" t="s">
        <v>68</v>
      </c>
      <c r="N29" s="26" t="s">
        <v>69</v>
      </c>
      <c r="P29" s="11" t="s">
        <v>95</v>
      </c>
      <c r="Q29" s="45">
        <f t="shared" si="4"/>
        <v>0</v>
      </c>
      <c r="R29" s="45">
        <f t="shared" si="4"/>
        <v>0</v>
      </c>
      <c r="S29" s="13">
        <f t="shared" si="3"/>
        <v>0</v>
      </c>
      <c r="U29" s="53"/>
      <c r="V29" s="53"/>
      <c r="W29" s="53"/>
    </row>
    <row r="30" spans="2:24" x14ac:dyDescent="0.25">
      <c r="B30" s="53"/>
      <c r="C30" s="53"/>
      <c r="D30" s="53"/>
      <c r="E30" s="53"/>
      <c r="F30" s="53"/>
      <c r="G30" s="53"/>
      <c r="H30" s="53"/>
      <c r="I30" s="53"/>
      <c r="J30" s="53"/>
      <c r="L30" s="170" t="s">
        <v>85</v>
      </c>
      <c r="M30" s="170"/>
      <c r="N30" s="170"/>
      <c r="P30" s="11" t="s">
        <v>24</v>
      </c>
      <c r="Q30" s="13">
        <f t="shared" si="4"/>
        <v>1196.4246575342465</v>
      </c>
      <c r="R30" s="13">
        <f t="shared" si="4"/>
        <v>1288.3397260273973</v>
      </c>
      <c r="S30" s="13">
        <f t="shared" si="3"/>
        <v>1242.3821917808218</v>
      </c>
      <c r="U30" s="53"/>
      <c r="V30" s="53"/>
      <c r="W30" s="53"/>
    </row>
    <row r="31" spans="2:24" ht="15.75" x14ac:dyDescent="0.25">
      <c r="C31" s="53"/>
      <c r="D31" s="53"/>
      <c r="E31" s="53"/>
      <c r="F31" s="53"/>
      <c r="G31" s="53"/>
      <c r="H31" s="53"/>
      <c r="I31" s="53"/>
      <c r="J31" s="53"/>
      <c r="L31" s="60" t="s">
        <v>87</v>
      </c>
      <c r="M31" s="61">
        <v>0.27</v>
      </c>
      <c r="N31" s="61" t="s">
        <v>88</v>
      </c>
      <c r="P31" s="148" t="s">
        <v>100</v>
      </c>
      <c r="Q31" s="148"/>
      <c r="R31" s="148"/>
      <c r="S31" s="148"/>
      <c r="U31" s="62"/>
      <c r="V31" s="62"/>
      <c r="W31" s="62"/>
      <c r="X31" s="63"/>
    </row>
    <row r="32" spans="2:24" x14ac:dyDescent="0.25">
      <c r="C32" s="53"/>
      <c r="D32" s="53"/>
      <c r="E32" s="53"/>
      <c r="F32" s="53"/>
      <c r="G32" s="53"/>
      <c r="H32" s="53"/>
      <c r="I32" s="53"/>
      <c r="J32" s="53"/>
      <c r="L32" s="60" t="s">
        <v>89</v>
      </c>
      <c r="M32" s="61">
        <v>0.3</v>
      </c>
      <c r="N32" s="61" t="s">
        <v>88</v>
      </c>
      <c r="P32" s="52" t="s">
        <v>76</v>
      </c>
      <c r="Q32" s="26">
        <v>2019</v>
      </c>
      <c r="R32" s="26">
        <v>2020</v>
      </c>
      <c r="S32" s="26" t="s">
        <v>77</v>
      </c>
      <c r="U32" s="62"/>
      <c r="V32" s="62"/>
      <c r="W32" s="62"/>
      <c r="X32" s="63"/>
    </row>
    <row r="33" spans="3:25" x14ac:dyDescent="0.25">
      <c r="C33" s="53"/>
      <c r="D33" s="53"/>
      <c r="E33" s="53"/>
      <c r="F33" s="53"/>
      <c r="G33" s="53"/>
      <c r="H33" s="53"/>
      <c r="I33" s="53"/>
      <c r="J33" s="53"/>
      <c r="L33" s="60" t="s">
        <v>90</v>
      </c>
      <c r="M33" s="61">
        <v>0.3</v>
      </c>
      <c r="N33" s="61" t="s">
        <v>88</v>
      </c>
      <c r="P33" s="11" t="s">
        <v>101</v>
      </c>
      <c r="Q33" s="14">
        <f>'Animal Data - Altenor'!D19</f>
        <v>0</v>
      </c>
      <c r="R33" s="14">
        <f>'Animal Data - Altenor'!E19</f>
        <v>0</v>
      </c>
      <c r="S33" s="13">
        <f t="shared" ref="S33:S39" si="5">AVERAGE(Q33:R33)</f>
        <v>0</v>
      </c>
      <c r="U33" s="62"/>
      <c r="V33" s="62"/>
      <c r="W33" s="62"/>
      <c r="X33" s="63"/>
    </row>
    <row r="34" spans="3:25" ht="14.25" customHeight="1" x14ac:dyDescent="0.25">
      <c r="C34" s="53"/>
      <c r="D34" s="53"/>
      <c r="E34" s="53"/>
      <c r="F34" s="53"/>
      <c r="G34" s="53"/>
      <c r="H34" s="53"/>
      <c r="I34" s="53"/>
      <c r="J34" s="53"/>
      <c r="L34" s="60" t="s">
        <v>91</v>
      </c>
      <c r="M34" s="61">
        <v>0.3</v>
      </c>
      <c r="N34" s="61" t="s">
        <v>88</v>
      </c>
      <c r="P34" s="11" t="s">
        <v>27</v>
      </c>
      <c r="Q34" s="14">
        <f>'Animal Data - Altenor'!D20</f>
        <v>0</v>
      </c>
      <c r="R34" s="14">
        <f>'Animal Data - Altenor'!E20</f>
        <v>0</v>
      </c>
      <c r="S34" s="13">
        <f t="shared" si="5"/>
        <v>0</v>
      </c>
      <c r="U34" s="62"/>
      <c r="V34" s="62"/>
      <c r="W34" s="62"/>
      <c r="X34" s="63"/>
    </row>
    <row r="35" spans="3:25" ht="12.75" customHeight="1" x14ac:dyDescent="0.25">
      <c r="C35" s="53"/>
      <c r="D35" s="53"/>
      <c r="E35" s="53"/>
      <c r="F35" s="53"/>
      <c r="G35" s="53"/>
      <c r="H35" s="53"/>
      <c r="I35" s="53"/>
      <c r="J35" s="53"/>
      <c r="L35" s="170" t="s">
        <v>92</v>
      </c>
      <c r="M35" s="170"/>
      <c r="N35" s="170"/>
      <c r="P35" s="11" t="s">
        <v>56</v>
      </c>
      <c r="Q35" s="14">
        <f>'Animal Data - Altenor'!D21</f>
        <v>0</v>
      </c>
      <c r="R35" s="14">
        <f>'Animal Data - Altenor'!E21</f>
        <v>0</v>
      </c>
      <c r="S35" s="13">
        <f t="shared" si="5"/>
        <v>0</v>
      </c>
      <c r="U35" s="62"/>
      <c r="V35" s="62"/>
      <c r="W35" s="62"/>
      <c r="X35" s="63"/>
    </row>
    <row r="36" spans="3:25" ht="15.75" x14ac:dyDescent="0.25">
      <c r="C36" s="53"/>
      <c r="D36" s="53"/>
      <c r="E36" s="53"/>
      <c r="F36" s="53"/>
      <c r="G36" s="53"/>
      <c r="H36" s="53"/>
      <c r="I36" s="53"/>
      <c r="J36" s="53"/>
      <c r="L36" s="60" t="s">
        <v>87</v>
      </c>
      <c r="M36" s="61">
        <v>0.48</v>
      </c>
      <c r="N36" s="29" t="s">
        <v>94</v>
      </c>
      <c r="P36" s="11" t="s">
        <v>93</v>
      </c>
      <c r="Q36" s="14">
        <f>'Animal Data - Altenor'!D22</f>
        <v>0</v>
      </c>
      <c r="R36" s="14">
        <f>'Animal Data - Altenor'!E22</f>
        <v>0</v>
      </c>
      <c r="S36" s="13">
        <f t="shared" si="5"/>
        <v>0</v>
      </c>
      <c r="U36" s="62"/>
      <c r="V36" s="62"/>
      <c r="W36" s="62"/>
      <c r="X36" s="62"/>
      <c r="Y36" s="53"/>
    </row>
    <row r="37" spans="3:25" ht="15" customHeight="1" x14ac:dyDescent="0.25">
      <c r="C37" s="53"/>
      <c r="D37" s="53"/>
      <c r="E37" s="53"/>
      <c r="F37" s="53"/>
      <c r="G37" s="53"/>
      <c r="H37" s="53"/>
      <c r="I37" s="53"/>
      <c r="J37" s="53"/>
      <c r="L37" s="60" t="s">
        <v>89</v>
      </c>
      <c r="M37" s="61">
        <v>0.45</v>
      </c>
      <c r="N37" s="29" t="s">
        <v>94</v>
      </c>
      <c r="P37" s="11" t="s">
        <v>102</v>
      </c>
      <c r="Q37" s="14">
        <f>'Animal Data - Altenor'!D23</f>
        <v>0</v>
      </c>
      <c r="R37" s="14">
        <f>'Animal Data - Altenor'!E23</f>
        <v>0</v>
      </c>
      <c r="S37" s="13">
        <f t="shared" si="5"/>
        <v>0</v>
      </c>
      <c r="U37" s="62"/>
      <c r="V37" s="62"/>
      <c r="W37" s="62"/>
      <c r="X37" s="62"/>
      <c r="Y37" s="53"/>
    </row>
    <row r="38" spans="3:25" ht="15.75" x14ac:dyDescent="0.25">
      <c r="C38" s="53"/>
      <c r="D38" s="53"/>
      <c r="E38" s="53"/>
      <c r="F38" s="53"/>
      <c r="G38" s="53"/>
      <c r="H38" s="53"/>
      <c r="I38" s="53"/>
      <c r="J38" s="53"/>
      <c r="L38" s="60" t="s">
        <v>90</v>
      </c>
      <c r="M38" s="61">
        <v>0.45</v>
      </c>
      <c r="N38" s="29" t="s">
        <v>94</v>
      </c>
      <c r="P38" s="11" t="s">
        <v>78</v>
      </c>
      <c r="Q38" s="14">
        <f>'Animal Data - Altenor'!D24</f>
        <v>0</v>
      </c>
      <c r="R38" s="14">
        <f>'Animal Data - Altenor'!E24</f>
        <v>0</v>
      </c>
      <c r="S38" s="13">
        <f t="shared" si="5"/>
        <v>0</v>
      </c>
      <c r="U38" s="62"/>
      <c r="V38" s="62"/>
      <c r="W38" s="62"/>
      <c r="X38" s="62"/>
      <c r="Y38" s="53"/>
    </row>
    <row r="39" spans="3:25" ht="15.75" x14ac:dyDescent="0.25">
      <c r="C39" s="53"/>
      <c r="D39" s="53"/>
      <c r="E39" s="53"/>
      <c r="F39" s="53"/>
      <c r="G39" s="53"/>
      <c r="H39" s="53"/>
      <c r="I39" s="53"/>
      <c r="J39" s="53"/>
      <c r="L39" s="60" t="s">
        <v>91</v>
      </c>
      <c r="M39" s="61">
        <v>0.28999999999999998</v>
      </c>
      <c r="N39" s="29" t="s">
        <v>94</v>
      </c>
      <c r="P39" s="11" t="s">
        <v>24</v>
      </c>
      <c r="Q39" s="14">
        <f>'Animal Data - Altenor'!D25</f>
        <v>82.067769624573387</v>
      </c>
      <c r="R39" s="14">
        <f>'Animal Data - Altenor'!E25</f>
        <v>79.019904095563135</v>
      </c>
      <c r="S39" s="13">
        <f t="shared" si="5"/>
        <v>80.543836860068268</v>
      </c>
      <c r="U39" s="62"/>
      <c r="V39" s="63"/>
      <c r="W39" s="63"/>
      <c r="X39" s="63"/>
    </row>
    <row r="40" spans="3:25" ht="32.25" customHeight="1" x14ac:dyDescent="0.25">
      <c r="C40" s="53"/>
      <c r="D40" s="53"/>
      <c r="E40" s="53"/>
      <c r="F40" s="53"/>
      <c r="G40" s="53"/>
      <c r="H40" s="53"/>
      <c r="I40" s="53"/>
      <c r="J40" s="53"/>
      <c r="L40" s="170" t="s">
        <v>97</v>
      </c>
      <c r="M40" s="170"/>
      <c r="N40" s="170"/>
      <c r="P40" s="170" t="s">
        <v>103</v>
      </c>
      <c r="Q40" s="170"/>
      <c r="R40" s="170"/>
      <c r="S40" s="170"/>
      <c r="U40" s="62"/>
      <c r="V40" s="62"/>
      <c r="W40" s="62"/>
      <c r="X40" s="63"/>
    </row>
    <row r="41" spans="3:25" x14ac:dyDescent="0.25">
      <c r="C41" s="53"/>
      <c r="D41" s="53"/>
      <c r="E41" s="53"/>
      <c r="F41" s="53"/>
      <c r="G41" s="53"/>
      <c r="H41" s="53"/>
      <c r="I41" s="53"/>
      <c r="J41" s="53"/>
      <c r="L41" s="60" t="s">
        <v>87</v>
      </c>
      <c r="M41" s="61">
        <v>46</v>
      </c>
      <c r="N41" s="61" t="s">
        <v>98</v>
      </c>
      <c r="P41" s="52" t="s">
        <v>76</v>
      </c>
      <c r="Q41" s="26">
        <v>2019</v>
      </c>
      <c r="R41" s="26">
        <v>2020</v>
      </c>
      <c r="S41" s="26" t="s">
        <v>77</v>
      </c>
      <c r="U41" s="62"/>
      <c r="V41" s="62"/>
      <c r="W41" s="62"/>
      <c r="X41" s="63"/>
    </row>
    <row r="42" spans="3:25" x14ac:dyDescent="0.25">
      <c r="L42" s="60" t="s">
        <v>89</v>
      </c>
      <c r="M42" s="61">
        <v>50</v>
      </c>
      <c r="N42" s="61" t="s">
        <v>98</v>
      </c>
      <c r="P42" s="11" t="s">
        <v>101</v>
      </c>
      <c r="Q42" s="45">
        <f t="shared" ref="Q42:R45" si="6">(Q33/$M$27)*$M$17*Q$51</f>
        <v>0</v>
      </c>
      <c r="R42" s="45">
        <f t="shared" si="6"/>
        <v>0</v>
      </c>
      <c r="S42" s="64">
        <f t="shared" ref="S42:S48" si="7">AVERAGE(Q42:R42)</f>
        <v>0</v>
      </c>
      <c r="U42" s="62"/>
      <c r="V42" s="62"/>
      <c r="W42" s="62"/>
      <c r="X42" s="63"/>
    </row>
    <row r="43" spans="3:25" x14ac:dyDescent="0.25">
      <c r="L43" s="60" t="s">
        <v>90</v>
      </c>
      <c r="M43" s="61">
        <v>50</v>
      </c>
      <c r="N43" s="61" t="s">
        <v>98</v>
      </c>
      <c r="P43" s="11" t="s">
        <v>27</v>
      </c>
      <c r="Q43" s="45">
        <f t="shared" si="6"/>
        <v>0</v>
      </c>
      <c r="R43" s="45">
        <f t="shared" si="6"/>
        <v>0</v>
      </c>
      <c r="S43" s="64">
        <f t="shared" si="7"/>
        <v>0</v>
      </c>
      <c r="U43" s="62"/>
      <c r="V43" s="62"/>
      <c r="W43" s="62"/>
      <c r="X43" s="63"/>
    </row>
    <row r="44" spans="3:25" x14ac:dyDescent="0.25">
      <c r="L44" s="60" t="s">
        <v>91</v>
      </c>
      <c r="M44" s="61">
        <v>28</v>
      </c>
      <c r="N44" s="61" t="s">
        <v>98</v>
      </c>
      <c r="P44" s="11" t="s">
        <v>56</v>
      </c>
      <c r="Q44" s="45">
        <f t="shared" si="6"/>
        <v>0</v>
      </c>
      <c r="R44" s="45">
        <f t="shared" si="6"/>
        <v>0</v>
      </c>
      <c r="S44" s="64">
        <f t="shared" si="7"/>
        <v>0</v>
      </c>
      <c r="U44" s="63"/>
      <c r="V44" s="63"/>
      <c r="W44" s="63"/>
      <c r="X44" s="63"/>
    </row>
    <row r="45" spans="3:25" x14ac:dyDescent="0.25">
      <c r="P45" s="11" t="s">
        <v>93</v>
      </c>
      <c r="Q45" s="45">
        <f t="shared" si="6"/>
        <v>0</v>
      </c>
      <c r="R45" s="45">
        <f t="shared" si="6"/>
        <v>0</v>
      </c>
      <c r="S45" s="64">
        <f t="shared" si="7"/>
        <v>0</v>
      </c>
      <c r="U45" s="63"/>
      <c r="V45" s="63"/>
      <c r="W45" s="63"/>
      <c r="X45" s="63"/>
    </row>
    <row r="46" spans="3:25" x14ac:dyDescent="0.25">
      <c r="P46" s="11" t="s">
        <v>102</v>
      </c>
      <c r="Q46" s="45">
        <f t="shared" ref="Q46:R48" si="8">(Q37/$M$44)*$M$34*Q$51</f>
        <v>0</v>
      </c>
      <c r="R46" s="45">
        <f t="shared" si="8"/>
        <v>0</v>
      </c>
      <c r="S46" s="64">
        <f t="shared" si="7"/>
        <v>0</v>
      </c>
      <c r="U46" s="63"/>
      <c r="V46" s="63"/>
      <c r="W46" s="63"/>
      <c r="X46" s="63"/>
    </row>
    <row r="47" spans="3:25" x14ac:dyDescent="0.25">
      <c r="P47" s="11" t="s">
        <v>78</v>
      </c>
      <c r="Q47" s="45">
        <f t="shared" si="8"/>
        <v>0</v>
      </c>
      <c r="R47" s="45">
        <f t="shared" si="8"/>
        <v>0</v>
      </c>
      <c r="S47" s="64">
        <f t="shared" si="7"/>
        <v>0</v>
      </c>
    </row>
    <row r="48" spans="3:25" x14ac:dyDescent="0.25">
      <c r="O48" s="53"/>
      <c r="P48" s="11" t="s">
        <v>24</v>
      </c>
      <c r="Q48" s="64">
        <f t="shared" si="8"/>
        <v>194.32475450390058</v>
      </c>
      <c r="R48" s="64">
        <f t="shared" si="8"/>
        <v>162.55523128230129</v>
      </c>
      <c r="S48" s="64">
        <f t="shared" si="7"/>
        <v>178.43999289310094</v>
      </c>
    </row>
    <row r="49" spans="15:20" ht="15.75" x14ac:dyDescent="0.25">
      <c r="O49" s="53"/>
      <c r="P49" s="148" t="s">
        <v>104</v>
      </c>
      <c r="Q49" s="148"/>
      <c r="R49" s="148"/>
      <c r="S49" s="148"/>
      <c r="T49" s="53"/>
    </row>
    <row r="50" spans="15:20" x14ac:dyDescent="0.25">
      <c r="O50" s="53"/>
      <c r="P50" s="52" t="s">
        <v>76</v>
      </c>
      <c r="Q50" s="26">
        <v>2019</v>
      </c>
      <c r="R50" s="26">
        <v>2020</v>
      </c>
      <c r="S50" s="26" t="s">
        <v>77</v>
      </c>
    </row>
    <row r="51" spans="15:20" x14ac:dyDescent="0.25">
      <c r="O51" s="53"/>
      <c r="P51" s="11" t="s">
        <v>24</v>
      </c>
      <c r="Q51" s="29">
        <f>('Animal Data - Altenor'!F5-'Animal Data - Altenor'!C1+1)+('Animal Data - Altenor'!F6-'Animal Data - Altenor'!C6+1)+('Animal Data - Altenor'!D1-'Animal Data - Altenor'!C7+1)</f>
        <v>221</v>
      </c>
      <c r="R51" s="29">
        <f>('Animal Data - Altenor'!F7-'Animal Data - Altenor'!C2+1)+('Animal Data - Altenor'!F8-'Animal Data - Altenor'!C8+1)</f>
        <v>192</v>
      </c>
      <c r="S51" s="13">
        <f>AVERAGE(Q51:R51)</f>
        <v>206.5</v>
      </c>
    </row>
    <row r="52" spans="15:20" x14ac:dyDescent="0.25">
      <c r="O52" s="53"/>
      <c r="P52" s="53"/>
      <c r="Q52" s="53"/>
      <c r="R52" s="53"/>
      <c r="S52" s="53"/>
    </row>
    <row r="53" spans="15:20" x14ac:dyDescent="0.25">
      <c r="O53" s="53"/>
      <c r="P53" s="53"/>
      <c r="Q53" s="53"/>
      <c r="R53" s="53"/>
      <c r="S53" s="53"/>
    </row>
    <row r="54" spans="15:20" x14ac:dyDescent="0.25">
      <c r="O54" s="53"/>
      <c r="P54" s="53"/>
      <c r="Q54" s="53"/>
      <c r="R54" s="53"/>
      <c r="S54" s="53"/>
    </row>
    <row r="55" spans="15:20" x14ac:dyDescent="0.25">
      <c r="O55" s="53"/>
      <c r="P55" s="53"/>
      <c r="Q55" s="53"/>
      <c r="R55" s="53"/>
      <c r="S55" s="53"/>
    </row>
    <row r="56" spans="15:20" x14ac:dyDescent="0.25">
      <c r="O56" s="53"/>
      <c r="P56" s="53"/>
      <c r="Q56" s="53"/>
      <c r="R56" s="53"/>
      <c r="S56" s="53"/>
    </row>
    <row r="57" spans="15:20" x14ac:dyDescent="0.25">
      <c r="O57" s="53"/>
      <c r="P57" s="53"/>
      <c r="Q57" s="53"/>
      <c r="R57" s="53"/>
      <c r="S57" s="53"/>
    </row>
    <row r="58" spans="15:20" x14ac:dyDescent="0.25">
      <c r="O58" s="53"/>
    </row>
    <row r="59" spans="15:20" x14ac:dyDescent="0.25">
      <c r="O59" s="53"/>
    </row>
    <row r="60" spans="15:20" x14ac:dyDescent="0.25">
      <c r="O60" s="53"/>
    </row>
    <row r="61" spans="15:20" x14ac:dyDescent="0.25">
      <c r="O61" s="53"/>
    </row>
    <row r="62" spans="15:20" x14ac:dyDescent="0.25">
      <c r="O62" s="53"/>
    </row>
    <row r="63" spans="15:20" x14ac:dyDescent="0.25">
      <c r="O63" s="53"/>
    </row>
    <row r="64" spans="15:20" x14ac:dyDescent="0.25">
      <c r="O64" s="53"/>
    </row>
    <row r="65" spans="15:15" x14ac:dyDescent="0.25">
      <c r="O65" s="53"/>
    </row>
    <row r="66" spans="15:15" x14ac:dyDescent="0.25">
      <c r="O66" s="53"/>
    </row>
    <row r="67" spans="15:15" x14ac:dyDescent="0.25">
      <c r="O67" s="53"/>
    </row>
    <row r="68" spans="15:15" x14ac:dyDescent="0.25">
      <c r="O68" s="53"/>
    </row>
    <row r="69" spans="15:15" x14ac:dyDescent="0.25">
      <c r="O69" s="53"/>
    </row>
    <row r="70" spans="15:15" x14ac:dyDescent="0.25">
      <c r="O70" s="53"/>
    </row>
    <row r="71" spans="15:15" x14ac:dyDescent="0.25">
      <c r="O71" s="53"/>
    </row>
    <row r="72" spans="15:15" x14ac:dyDescent="0.25">
      <c r="O72" s="53"/>
    </row>
    <row r="73" spans="15:15" x14ac:dyDescent="0.25">
      <c r="O73" s="53"/>
    </row>
    <row r="74" spans="15:15" x14ac:dyDescent="0.25">
      <c r="O74" s="53"/>
    </row>
    <row r="75" spans="15:15" x14ac:dyDescent="0.25">
      <c r="O75" s="53"/>
    </row>
  </sheetData>
  <mergeCells count="19">
    <mergeCell ref="P49:S49"/>
    <mergeCell ref="L28:N28"/>
    <mergeCell ref="L30:N30"/>
    <mergeCell ref="P31:S31"/>
    <mergeCell ref="L35:N35"/>
    <mergeCell ref="L40:N40"/>
    <mergeCell ref="P40:S40"/>
    <mergeCell ref="L23:N23"/>
    <mergeCell ref="B2:J2"/>
    <mergeCell ref="L2:N2"/>
    <mergeCell ref="P2:S2"/>
    <mergeCell ref="P4:S4"/>
    <mergeCell ref="B5:J5"/>
    <mergeCell ref="L10:N10"/>
    <mergeCell ref="L11:N11"/>
    <mergeCell ref="L13:N13"/>
    <mergeCell ref="P13:S13"/>
    <mergeCell ref="L18:N18"/>
    <mergeCell ref="P22:S22"/>
  </mergeCells>
  <pageMargins left="0.511811024" right="0.511811024" top="0.78740157499999996" bottom="0.78740157499999996" header="0.31496062000000002" footer="0.31496062000000002"/>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6D59-82C1-44D9-850D-7FB6CDA8C14D}">
  <sheetPr>
    <tabColor rgb="FFC2D7E0"/>
  </sheetPr>
  <dimension ref="B1:P25"/>
  <sheetViews>
    <sheetView showGridLines="0" zoomScale="80" zoomScaleNormal="80" workbookViewId="0">
      <selection activeCell="F4" sqref="F4"/>
    </sheetView>
  </sheetViews>
  <sheetFormatPr defaultRowHeight="14.25" x14ac:dyDescent="0.25"/>
  <cols>
    <col min="1" max="1" width="3.140625" style="65" customWidth="1"/>
    <col min="2" max="2" width="19.85546875" style="65" customWidth="1"/>
    <col min="3" max="3" width="16" style="65" bestFit="1" customWidth="1"/>
    <col min="4" max="4" width="20.28515625" style="65" bestFit="1" customWidth="1"/>
    <col min="5" max="5" width="19.7109375" style="65" bestFit="1" customWidth="1"/>
    <col min="6" max="6" width="11.85546875" style="65" bestFit="1" customWidth="1"/>
    <col min="7" max="7" width="12.28515625" style="65" bestFit="1" customWidth="1"/>
    <col min="8" max="8" width="19.85546875" style="65" bestFit="1" customWidth="1"/>
    <col min="9" max="9" width="18.28515625" style="65" bestFit="1" customWidth="1"/>
    <col min="10" max="10" width="19.7109375" style="65" customWidth="1"/>
    <col min="11" max="11" width="17" style="65" customWidth="1"/>
    <col min="12" max="13" width="22.5703125" style="65" customWidth="1"/>
    <col min="14" max="14" width="19.42578125" style="65" customWidth="1"/>
    <col min="15" max="15" width="14" style="65" customWidth="1"/>
    <col min="16" max="16" width="21.42578125" style="65" customWidth="1"/>
    <col min="17" max="256" width="9.140625" style="65"/>
    <col min="257" max="257" width="3.140625" style="65" customWidth="1"/>
    <col min="258" max="258" width="19.85546875" style="65" customWidth="1"/>
    <col min="259" max="261" width="22.5703125" style="65" customWidth="1"/>
    <col min="262" max="262" width="28.140625" style="65" customWidth="1"/>
    <col min="263" max="263" width="16.85546875" style="65" customWidth="1"/>
    <col min="264" max="264" width="22.5703125" style="65" customWidth="1"/>
    <col min="265" max="265" width="19.42578125" style="65" customWidth="1"/>
    <col min="266" max="269" width="22.5703125" style="65" customWidth="1"/>
    <col min="270" max="270" width="19.42578125" style="65" customWidth="1"/>
    <col min="271" max="271" width="14" style="65" customWidth="1"/>
    <col min="272" max="272" width="21.42578125" style="65" customWidth="1"/>
    <col min="273" max="512" width="9.140625" style="65"/>
    <col min="513" max="513" width="3.140625" style="65" customWidth="1"/>
    <col min="514" max="514" width="19.85546875" style="65" customWidth="1"/>
    <col min="515" max="517" width="22.5703125" style="65" customWidth="1"/>
    <col min="518" max="518" width="28.140625" style="65" customWidth="1"/>
    <col min="519" max="519" width="16.85546875" style="65" customWidth="1"/>
    <col min="520" max="520" width="22.5703125" style="65" customWidth="1"/>
    <col min="521" max="521" width="19.42578125" style="65" customWidth="1"/>
    <col min="522" max="525" width="22.5703125" style="65" customWidth="1"/>
    <col min="526" max="526" width="19.42578125" style="65" customWidth="1"/>
    <col min="527" max="527" width="14" style="65" customWidth="1"/>
    <col min="528" max="528" width="21.42578125" style="65" customWidth="1"/>
    <col min="529" max="768" width="9.140625" style="65"/>
    <col min="769" max="769" width="3.140625" style="65" customWidth="1"/>
    <col min="770" max="770" width="19.85546875" style="65" customWidth="1"/>
    <col min="771" max="773" width="22.5703125" style="65" customWidth="1"/>
    <col min="774" max="774" width="28.140625" style="65" customWidth="1"/>
    <col min="775" max="775" width="16.85546875" style="65" customWidth="1"/>
    <col min="776" max="776" width="22.5703125" style="65" customWidth="1"/>
    <col min="777" max="777" width="19.42578125" style="65" customWidth="1"/>
    <col min="778" max="781" width="22.5703125" style="65" customWidth="1"/>
    <col min="782" max="782" width="19.42578125" style="65" customWidth="1"/>
    <col min="783" max="783" width="14" style="65" customWidth="1"/>
    <col min="784" max="784" width="21.42578125" style="65" customWidth="1"/>
    <col min="785" max="1024" width="9.140625" style="65"/>
    <col min="1025" max="1025" width="3.140625" style="65" customWidth="1"/>
    <col min="1026" max="1026" width="19.85546875" style="65" customWidth="1"/>
    <col min="1027" max="1029" width="22.5703125" style="65" customWidth="1"/>
    <col min="1030" max="1030" width="28.140625" style="65" customWidth="1"/>
    <col min="1031" max="1031" width="16.85546875" style="65" customWidth="1"/>
    <col min="1032" max="1032" width="22.5703125" style="65" customWidth="1"/>
    <col min="1033" max="1033" width="19.42578125" style="65" customWidth="1"/>
    <col min="1034" max="1037" width="22.5703125" style="65" customWidth="1"/>
    <col min="1038" max="1038" width="19.42578125" style="65" customWidth="1"/>
    <col min="1039" max="1039" width="14" style="65" customWidth="1"/>
    <col min="1040" max="1040" width="21.42578125" style="65" customWidth="1"/>
    <col min="1041" max="1280" width="9.140625" style="65"/>
    <col min="1281" max="1281" width="3.140625" style="65" customWidth="1"/>
    <col min="1282" max="1282" width="19.85546875" style="65" customWidth="1"/>
    <col min="1283" max="1285" width="22.5703125" style="65" customWidth="1"/>
    <col min="1286" max="1286" width="28.140625" style="65" customWidth="1"/>
    <col min="1287" max="1287" width="16.85546875" style="65" customWidth="1"/>
    <col min="1288" max="1288" width="22.5703125" style="65" customWidth="1"/>
    <col min="1289" max="1289" width="19.42578125" style="65" customWidth="1"/>
    <col min="1290" max="1293" width="22.5703125" style="65" customWidth="1"/>
    <col min="1294" max="1294" width="19.42578125" style="65" customWidth="1"/>
    <col min="1295" max="1295" width="14" style="65" customWidth="1"/>
    <col min="1296" max="1296" width="21.42578125" style="65" customWidth="1"/>
    <col min="1297" max="1536" width="9.140625" style="65"/>
    <col min="1537" max="1537" width="3.140625" style="65" customWidth="1"/>
    <col min="1538" max="1538" width="19.85546875" style="65" customWidth="1"/>
    <col min="1539" max="1541" width="22.5703125" style="65" customWidth="1"/>
    <col min="1542" max="1542" width="28.140625" style="65" customWidth="1"/>
    <col min="1543" max="1543" width="16.85546875" style="65" customWidth="1"/>
    <col min="1544" max="1544" width="22.5703125" style="65" customWidth="1"/>
    <col min="1545" max="1545" width="19.42578125" style="65" customWidth="1"/>
    <col min="1546" max="1549" width="22.5703125" style="65" customWidth="1"/>
    <col min="1550" max="1550" width="19.42578125" style="65" customWidth="1"/>
    <col min="1551" max="1551" width="14" style="65" customWidth="1"/>
    <col min="1552" max="1552" width="21.42578125" style="65" customWidth="1"/>
    <col min="1553" max="1792" width="9.140625" style="65"/>
    <col min="1793" max="1793" width="3.140625" style="65" customWidth="1"/>
    <col min="1794" max="1794" width="19.85546875" style="65" customWidth="1"/>
    <col min="1795" max="1797" width="22.5703125" style="65" customWidth="1"/>
    <col min="1798" max="1798" width="28.140625" style="65" customWidth="1"/>
    <col min="1799" max="1799" width="16.85546875" style="65" customWidth="1"/>
    <col min="1800" max="1800" width="22.5703125" style="65" customWidth="1"/>
    <col min="1801" max="1801" width="19.42578125" style="65" customWidth="1"/>
    <col min="1802" max="1805" width="22.5703125" style="65" customWidth="1"/>
    <col min="1806" max="1806" width="19.42578125" style="65" customWidth="1"/>
    <col min="1807" max="1807" width="14" style="65" customWidth="1"/>
    <col min="1808" max="1808" width="21.42578125" style="65" customWidth="1"/>
    <col min="1809" max="2048" width="9.140625" style="65"/>
    <col min="2049" max="2049" width="3.140625" style="65" customWidth="1"/>
    <col min="2050" max="2050" width="19.85546875" style="65" customWidth="1"/>
    <col min="2051" max="2053" width="22.5703125" style="65" customWidth="1"/>
    <col min="2054" max="2054" width="28.140625" style="65" customWidth="1"/>
    <col min="2055" max="2055" width="16.85546875" style="65" customWidth="1"/>
    <col min="2056" max="2056" width="22.5703125" style="65" customWidth="1"/>
    <col min="2057" max="2057" width="19.42578125" style="65" customWidth="1"/>
    <col min="2058" max="2061" width="22.5703125" style="65" customWidth="1"/>
    <col min="2062" max="2062" width="19.42578125" style="65" customWidth="1"/>
    <col min="2063" max="2063" width="14" style="65" customWidth="1"/>
    <col min="2064" max="2064" width="21.42578125" style="65" customWidth="1"/>
    <col min="2065" max="2304" width="9.140625" style="65"/>
    <col min="2305" max="2305" width="3.140625" style="65" customWidth="1"/>
    <col min="2306" max="2306" width="19.85546875" style="65" customWidth="1"/>
    <col min="2307" max="2309" width="22.5703125" style="65" customWidth="1"/>
    <col min="2310" max="2310" width="28.140625" style="65" customWidth="1"/>
    <col min="2311" max="2311" width="16.85546875" style="65" customWidth="1"/>
    <col min="2312" max="2312" width="22.5703125" style="65" customWidth="1"/>
    <col min="2313" max="2313" width="19.42578125" style="65" customWidth="1"/>
    <col min="2314" max="2317" width="22.5703125" style="65" customWidth="1"/>
    <col min="2318" max="2318" width="19.42578125" style="65" customWidth="1"/>
    <col min="2319" max="2319" width="14" style="65" customWidth="1"/>
    <col min="2320" max="2320" width="21.42578125" style="65" customWidth="1"/>
    <col min="2321" max="2560" width="9.140625" style="65"/>
    <col min="2561" max="2561" width="3.140625" style="65" customWidth="1"/>
    <col min="2562" max="2562" width="19.85546875" style="65" customWidth="1"/>
    <col min="2563" max="2565" width="22.5703125" style="65" customWidth="1"/>
    <col min="2566" max="2566" width="28.140625" style="65" customWidth="1"/>
    <col min="2567" max="2567" width="16.85546875" style="65" customWidth="1"/>
    <col min="2568" max="2568" width="22.5703125" style="65" customWidth="1"/>
    <col min="2569" max="2569" width="19.42578125" style="65" customWidth="1"/>
    <col min="2570" max="2573" width="22.5703125" style="65" customWidth="1"/>
    <col min="2574" max="2574" width="19.42578125" style="65" customWidth="1"/>
    <col min="2575" max="2575" width="14" style="65" customWidth="1"/>
    <col min="2576" max="2576" width="21.42578125" style="65" customWidth="1"/>
    <col min="2577" max="2816" width="9.140625" style="65"/>
    <col min="2817" max="2817" width="3.140625" style="65" customWidth="1"/>
    <col min="2818" max="2818" width="19.85546875" style="65" customWidth="1"/>
    <col min="2819" max="2821" width="22.5703125" style="65" customWidth="1"/>
    <col min="2822" max="2822" width="28.140625" style="65" customWidth="1"/>
    <col min="2823" max="2823" width="16.85546875" style="65" customWidth="1"/>
    <col min="2824" max="2824" width="22.5703125" style="65" customWidth="1"/>
    <col min="2825" max="2825" width="19.42578125" style="65" customWidth="1"/>
    <col min="2826" max="2829" width="22.5703125" style="65" customWidth="1"/>
    <col min="2830" max="2830" width="19.42578125" style="65" customWidth="1"/>
    <col min="2831" max="2831" width="14" style="65" customWidth="1"/>
    <col min="2832" max="2832" width="21.42578125" style="65" customWidth="1"/>
    <col min="2833" max="3072" width="9.140625" style="65"/>
    <col min="3073" max="3073" width="3.140625" style="65" customWidth="1"/>
    <col min="3074" max="3074" width="19.85546875" style="65" customWidth="1"/>
    <col min="3075" max="3077" width="22.5703125" style="65" customWidth="1"/>
    <col min="3078" max="3078" width="28.140625" style="65" customWidth="1"/>
    <col min="3079" max="3079" width="16.85546875" style="65" customWidth="1"/>
    <col min="3080" max="3080" width="22.5703125" style="65" customWidth="1"/>
    <col min="3081" max="3081" width="19.42578125" style="65" customWidth="1"/>
    <col min="3082" max="3085" width="22.5703125" style="65" customWidth="1"/>
    <col min="3086" max="3086" width="19.42578125" style="65" customWidth="1"/>
    <col min="3087" max="3087" width="14" style="65" customWidth="1"/>
    <col min="3088" max="3088" width="21.42578125" style="65" customWidth="1"/>
    <col min="3089" max="3328" width="9.140625" style="65"/>
    <col min="3329" max="3329" width="3.140625" style="65" customWidth="1"/>
    <col min="3330" max="3330" width="19.85546875" style="65" customWidth="1"/>
    <col min="3331" max="3333" width="22.5703125" style="65" customWidth="1"/>
    <col min="3334" max="3334" width="28.140625" style="65" customWidth="1"/>
    <col min="3335" max="3335" width="16.85546875" style="65" customWidth="1"/>
    <col min="3336" max="3336" width="22.5703125" style="65" customWidth="1"/>
    <col min="3337" max="3337" width="19.42578125" style="65" customWidth="1"/>
    <col min="3338" max="3341" width="22.5703125" style="65" customWidth="1"/>
    <col min="3342" max="3342" width="19.42578125" style="65" customWidth="1"/>
    <col min="3343" max="3343" width="14" style="65" customWidth="1"/>
    <col min="3344" max="3344" width="21.42578125" style="65" customWidth="1"/>
    <col min="3345" max="3584" width="9.140625" style="65"/>
    <col min="3585" max="3585" width="3.140625" style="65" customWidth="1"/>
    <col min="3586" max="3586" width="19.85546875" style="65" customWidth="1"/>
    <col min="3587" max="3589" width="22.5703125" style="65" customWidth="1"/>
    <col min="3590" max="3590" width="28.140625" style="65" customWidth="1"/>
    <col min="3591" max="3591" width="16.85546875" style="65" customWidth="1"/>
    <col min="3592" max="3592" width="22.5703125" style="65" customWidth="1"/>
    <col min="3593" max="3593" width="19.42578125" style="65" customWidth="1"/>
    <col min="3594" max="3597" width="22.5703125" style="65" customWidth="1"/>
    <col min="3598" max="3598" width="19.42578125" style="65" customWidth="1"/>
    <col min="3599" max="3599" width="14" style="65" customWidth="1"/>
    <col min="3600" max="3600" width="21.42578125" style="65" customWidth="1"/>
    <col min="3601" max="3840" width="9.140625" style="65"/>
    <col min="3841" max="3841" width="3.140625" style="65" customWidth="1"/>
    <col min="3842" max="3842" width="19.85546875" style="65" customWidth="1"/>
    <col min="3843" max="3845" width="22.5703125" style="65" customWidth="1"/>
    <col min="3846" max="3846" width="28.140625" style="65" customWidth="1"/>
    <col min="3847" max="3847" width="16.85546875" style="65" customWidth="1"/>
    <col min="3848" max="3848" width="22.5703125" style="65" customWidth="1"/>
    <col min="3849" max="3849" width="19.42578125" style="65" customWidth="1"/>
    <col min="3850" max="3853" width="22.5703125" style="65" customWidth="1"/>
    <col min="3854" max="3854" width="19.42578125" style="65" customWidth="1"/>
    <col min="3855" max="3855" width="14" style="65" customWidth="1"/>
    <col min="3856" max="3856" width="21.42578125" style="65" customWidth="1"/>
    <col min="3857" max="4096" width="9.140625" style="65"/>
    <col min="4097" max="4097" width="3.140625" style="65" customWidth="1"/>
    <col min="4098" max="4098" width="19.85546875" style="65" customWidth="1"/>
    <col min="4099" max="4101" width="22.5703125" style="65" customWidth="1"/>
    <col min="4102" max="4102" width="28.140625" style="65" customWidth="1"/>
    <col min="4103" max="4103" width="16.85546875" style="65" customWidth="1"/>
    <col min="4104" max="4104" width="22.5703125" style="65" customWidth="1"/>
    <col min="4105" max="4105" width="19.42578125" style="65" customWidth="1"/>
    <col min="4106" max="4109" width="22.5703125" style="65" customWidth="1"/>
    <col min="4110" max="4110" width="19.42578125" style="65" customWidth="1"/>
    <col min="4111" max="4111" width="14" style="65" customWidth="1"/>
    <col min="4112" max="4112" width="21.42578125" style="65" customWidth="1"/>
    <col min="4113" max="4352" width="9.140625" style="65"/>
    <col min="4353" max="4353" width="3.140625" style="65" customWidth="1"/>
    <col min="4354" max="4354" width="19.85546875" style="65" customWidth="1"/>
    <col min="4355" max="4357" width="22.5703125" style="65" customWidth="1"/>
    <col min="4358" max="4358" width="28.140625" style="65" customWidth="1"/>
    <col min="4359" max="4359" width="16.85546875" style="65" customWidth="1"/>
    <col min="4360" max="4360" width="22.5703125" style="65" customWidth="1"/>
    <col min="4361" max="4361" width="19.42578125" style="65" customWidth="1"/>
    <col min="4362" max="4365" width="22.5703125" style="65" customWidth="1"/>
    <col min="4366" max="4366" width="19.42578125" style="65" customWidth="1"/>
    <col min="4367" max="4367" width="14" style="65" customWidth="1"/>
    <col min="4368" max="4368" width="21.42578125" style="65" customWidth="1"/>
    <col min="4369" max="4608" width="9.140625" style="65"/>
    <col min="4609" max="4609" width="3.140625" style="65" customWidth="1"/>
    <col min="4610" max="4610" width="19.85546875" style="65" customWidth="1"/>
    <col min="4611" max="4613" width="22.5703125" style="65" customWidth="1"/>
    <col min="4614" max="4614" width="28.140625" style="65" customWidth="1"/>
    <col min="4615" max="4615" width="16.85546875" style="65" customWidth="1"/>
    <col min="4616" max="4616" width="22.5703125" style="65" customWidth="1"/>
    <col min="4617" max="4617" width="19.42578125" style="65" customWidth="1"/>
    <col min="4618" max="4621" width="22.5703125" style="65" customWidth="1"/>
    <col min="4622" max="4622" width="19.42578125" style="65" customWidth="1"/>
    <col min="4623" max="4623" width="14" style="65" customWidth="1"/>
    <col min="4624" max="4624" width="21.42578125" style="65" customWidth="1"/>
    <col min="4625" max="4864" width="9.140625" style="65"/>
    <col min="4865" max="4865" width="3.140625" style="65" customWidth="1"/>
    <col min="4866" max="4866" width="19.85546875" style="65" customWidth="1"/>
    <col min="4867" max="4869" width="22.5703125" style="65" customWidth="1"/>
    <col min="4870" max="4870" width="28.140625" style="65" customWidth="1"/>
    <col min="4871" max="4871" width="16.85546875" style="65" customWidth="1"/>
    <col min="4872" max="4872" width="22.5703125" style="65" customWidth="1"/>
    <col min="4873" max="4873" width="19.42578125" style="65" customWidth="1"/>
    <col min="4874" max="4877" width="22.5703125" style="65" customWidth="1"/>
    <col min="4878" max="4878" width="19.42578125" style="65" customWidth="1"/>
    <col min="4879" max="4879" width="14" style="65" customWidth="1"/>
    <col min="4880" max="4880" width="21.42578125" style="65" customWidth="1"/>
    <col min="4881" max="5120" width="9.140625" style="65"/>
    <col min="5121" max="5121" width="3.140625" style="65" customWidth="1"/>
    <col min="5122" max="5122" width="19.85546875" style="65" customWidth="1"/>
    <col min="5123" max="5125" width="22.5703125" style="65" customWidth="1"/>
    <col min="5126" max="5126" width="28.140625" style="65" customWidth="1"/>
    <col min="5127" max="5127" width="16.85546875" style="65" customWidth="1"/>
    <col min="5128" max="5128" width="22.5703125" style="65" customWidth="1"/>
    <col min="5129" max="5129" width="19.42578125" style="65" customWidth="1"/>
    <col min="5130" max="5133" width="22.5703125" style="65" customWidth="1"/>
    <col min="5134" max="5134" width="19.42578125" style="65" customWidth="1"/>
    <col min="5135" max="5135" width="14" style="65" customWidth="1"/>
    <col min="5136" max="5136" width="21.42578125" style="65" customWidth="1"/>
    <col min="5137" max="5376" width="9.140625" style="65"/>
    <col min="5377" max="5377" width="3.140625" style="65" customWidth="1"/>
    <col min="5378" max="5378" width="19.85546875" style="65" customWidth="1"/>
    <col min="5379" max="5381" width="22.5703125" style="65" customWidth="1"/>
    <col min="5382" max="5382" width="28.140625" style="65" customWidth="1"/>
    <col min="5383" max="5383" width="16.85546875" style="65" customWidth="1"/>
    <col min="5384" max="5384" width="22.5703125" style="65" customWidth="1"/>
    <col min="5385" max="5385" width="19.42578125" style="65" customWidth="1"/>
    <col min="5386" max="5389" width="22.5703125" style="65" customWidth="1"/>
    <col min="5390" max="5390" width="19.42578125" style="65" customWidth="1"/>
    <col min="5391" max="5391" width="14" style="65" customWidth="1"/>
    <col min="5392" max="5392" width="21.42578125" style="65" customWidth="1"/>
    <col min="5393" max="5632" width="9.140625" style="65"/>
    <col min="5633" max="5633" width="3.140625" style="65" customWidth="1"/>
    <col min="5634" max="5634" width="19.85546875" style="65" customWidth="1"/>
    <col min="5635" max="5637" width="22.5703125" style="65" customWidth="1"/>
    <col min="5638" max="5638" width="28.140625" style="65" customWidth="1"/>
    <col min="5639" max="5639" width="16.85546875" style="65" customWidth="1"/>
    <col min="5640" max="5640" width="22.5703125" style="65" customWidth="1"/>
    <col min="5641" max="5641" width="19.42578125" style="65" customWidth="1"/>
    <col min="5642" max="5645" width="22.5703125" style="65" customWidth="1"/>
    <col min="5646" max="5646" width="19.42578125" style="65" customWidth="1"/>
    <col min="5647" max="5647" width="14" style="65" customWidth="1"/>
    <col min="5648" max="5648" width="21.42578125" style="65" customWidth="1"/>
    <col min="5649" max="5888" width="9.140625" style="65"/>
    <col min="5889" max="5889" width="3.140625" style="65" customWidth="1"/>
    <col min="5890" max="5890" width="19.85546875" style="65" customWidth="1"/>
    <col min="5891" max="5893" width="22.5703125" style="65" customWidth="1"/>
    <col min="5894" max="5894" width="28.140625" style="65" customWidth="1"/>
    <col min="5895" max="5895" width="16.85546875" style="65" customWidth="1"/>
    <col min="5896" max="5896" width="22.5703125" style="65" customWidth="1"/>
    <col min="5897" max="5897" width="19.42578125" style="65" customWidth="1"/>
    <col min="5898" max="5901" width="22.5703125" style="65" customWidth="1"/>
    <col min="5902" max="5902" width="19.42578125" style="65" customWidth="1"/>
    <col min="5903" max="5903" width="14" style="65" customWidth="1"/>
    <col min="5904" max="5904" width="21.42578125" style="65" customWidth="1"/>
    <col min="5905" max="6144" width="9.140625" style="65"/>
    <col min="6145" max="6145" width="3.140625" style="65" customWidth="1"/>
    <col min="6146" max="6146" width="19.85546875" style="65" customWidth="1"/>
    <col min="6147" max="6149" width="22.5703125" style="65" customWidth="1"/>
    <col min="6150" max="6150" width="28.140625" style="65" customWidth="1"/>
    <col min="6151" max="6151" width="16.85546875" style="65" customWidth="1"/>
    <col min="6152" max="6152" width="22.5703125" style="65" customWidth="1"/>
    <col min="6153" max="6153" width="19.42578125" style="65" customWidth="1"/>
    <col min="6154" max="6157" width="22.5703125" style="65" customWidth="1"/>
    <col min="6158" max="6158" width="19.42578125" style="65" customWidth="1"/>
    <col min="6159" max="6159" width="14" style="65" customWidth="1"/>
    <col min="6160" max="6160" width="21.42578125" style="65" customWidth="1"/>
    <col min="6161" max="6400" width="9.140625" style="65"/>
    <col min="6401" max="6401" width="3.140625" style="65" customWidth="1"/>
    <col min="6402" max="6402" width="19.85546875" style="65" customWidth="1"/>
    <col min="6403" max="6405" width="22.5703125" style="65" customWidth="1"/>
    <col min="6406" max="6406" width="28.140625" style="65" customWidth="1"/>
    <col min="6407" max="6407" width="16.85546875" style="65" customWidth="1"/>
    <col min="6408" max="6408" width="22.5703125" style="65" customWidth="1"/>
    <col min="6409" max="6409" width="19.42578125" style="65" customWidth="1"/>
    <col min="6410" max="6413" width="22.5703125" style="65" customWidth="1"/>
    <col min="6414" max="6414" width="19.42578125" style="65" customWidth="1"/>
    <col min="6415" max="6415" width="14" style="65" customWidth="1"/>
    <col min="6416" max="6416" width="21.42578125" style="65" customWidth="1"/>
    <col min="6417" max="6656" width="9.140625" style="65"/>
    <col min="6657" max="6657" width="3.140625" style="65" customWidth="1"/>
    <col min="6658" max="6658" width="19.85546875" style="65" customWidth="1"/>
    <col min="6659" max="6661" width="22.5703125" style="65" customWidth="1"/>
    <col min="6662" max="6662" width="28.140625" style="65" customWidth="1"/>
    <col min="6663" max="6663" width="16.85546875" style="65" customWidth="1"/>
    <col min="6664" max="6664" width="22.5703125" style="65" customWidth="1"/>
    <col min="6665" max="6665" width="19.42578125" style="65" customWidth="1"/>
    <col min="6666" max="6669" width="22.5703125" style="65" customWidth="1"/>
    <col min="6670" max="6670" width="19.42578125" style="65" customWidth="1"/>
    <col min="6671" max="6671" width="14" style="65" customWidth="1"/>
    <col min="6672" max="6672" width="21.42578125" style="65" customWidth="1"/>
    <col min="6673" max="6912" width="9.140625" style="65"/>
    <col min="6913" max="6913" width="3.140625" style="65" customWidth="1"/>
    <col min="6914" max="6914" width="19.85546875" style="65" customWidth="1"/>
    <col min="6915" max="6917" width="22.5703125" style="65" customWidth="1"/>
    <col min="6918" max="6918" width="28.140625" style="65" customWidth="1"/>
    <col min="6919" max="6919" width="16.85546875" style="65" customWidth="1"/>
    <col min="6920" max="6920" width="22.5703125" style="65" customWidth="1"/>
    <col min="6921" max="6921" width="19.42578125" style="65" customWidth="1"/>
    <col min="6922" max="6925" width="22.5703125" style="65" customWidth="1"/>
    <col min="6926" max="6926" width="19.42578125" style="65" customWidth="1"/>
    <col min="6927" max="6927" width="14" style="65" customWidth="1"/>
    <col min="6928" max="6928" width="21.42578125" style="65" customWidth="1"/>
    <col min="6929" max="7168" width="9.140625" style="65"/>
    <col min="7169" max="7169" width="3.140625" style="65" customWidth="1"/>
    <col min="7170" max="7170" width="19.85546875" style="65" customWidth="1"/>
    <col min="7171" max="7173" width="22.5703125" style="65" customWidth="1"/>
    <col min="7174" max="7174" width="28.140625" style="65" customWidth="1"/>
    <col min="7175" max="7175" width="16.85546875" style="65" customWidth="1"/>
    <col min="7176" max="7176" width="22.5703125" style="65" customWidth="1"/>
    <col min="7177" max="7177" width="19.42578125" style="65" customWidth="1"/>
    <col min="7178" max="7181" width="22.5703125" style="65" customWidth="1"/>
    <col min="7182" max="7182" width="19.42578125" style="65" customWidth="1"/>
    <col min="7183" max="7183" width="14" style="65" customWidth="1"/>
    <col min="7184" max="7184" width="21.42578125" style="65" customWidth="1"/>
    <col min="7185" max="7424" width="9.140625" style="65"/>
    <col min="7425" max="7425" width="3.140625" style="65" customWidth="1"/>
    <col min="7426" max="7426" width="19.85546875" style="65" customWidth="1"/>
    <col min="7427" max="7429" width="22.5703125" style="65" customWidth="1"/>
    <col min="7430" max="7430" width="28.140625" style="65" customWidth="1"/>
    <col min="7431" max="7431" width="16.85546875" style="65" customWidth="1"/>
    <col min="7432" max="7432" width="22.5703125" style="65" customWidth="1"/>
    <col min="7433" max="7433" width="19.42578125" style="65" customWidth="1"/>
    <col min="7434" max="7437" width="22.5703125" style="65" customWidth="1"/>
    <col min="7438" max="7438" width="19.42578125" style="65" customWidth="1"/>
    <col min="7439" max="7439" width="14" style="65" customWidth="1"/>
    <col min="7440" max="7440" width="21.42578125" style="65" customWidth="1"/>
    <col min="7441" max="7680" width="9.140625" style="65"/>
    <col min="7681" max="7681" width="3.140625" style="65" customWidth="1"/>
    <col min="7682" max="7682" width="19.85546875" style="65" customWidth="1"/>
    <col min="7683" max="7685" width="22.5703125" style="65" customWidth="1"/>
    <col min="7686" max="7686" width="28.140625" style="65" customWidth="1"/>
    <col min="7687" max="7687" width="16.85546875" style="65" customWidth="1"/>
    <col min="7688" max="7688" width="22.5703125" style="65" customWidth="1"/>
    <col min="7689" max="7689" width="19.42578125" style="65" customWidth="1"/>
    <col min="7690" max="7693" width="22.5703125" style="65" customWidth="1"/>
    <col min="7694" max="7694" width="19.42578125" style="65" customWidth="1"/>
    <col min="7695" max="7695" width="14" style="65" customWidth="1"/>
    <col min="7696" max="7696" width="21.42578125" style="65" customWidth="1"/>
    <col min="7697" max="7936" width="9.140625" style="65"/>
    <col min="7937" max="7937" width="3.140625" style="65" customWidth="1"/>
    <col min="7938" max="7938" width="19.85546875" style="65" customWidth="1"/>
    <col min="7939" max="7941" width="22.5703125" style="65" customWidth="1"/>
    <col min="7942" max="7942" width="28.140625" style="65" customWidth="1"/>
    <col min="7943" max="7943" width="16.85546875" style="65" customWidth="1"/>
    <col min="7944" max="7944" width="22.5703125" style="65" customWidth="1"/>
    <col min="7945" max="7945" width="19.42578125" style="65" customWidth="1"/>
    <col min="7946" max="7949" width="22.5703125" style="65" customWidth="1"/>
    <col min="7950" max="7950" width="19.42578125" style="65" customWidth="1"/>
    <col min="7951" max="7951" width="14" style="65" customWidth="1"/>
    <col min="7952" max="7952" width="21.42578125" style="65" customWidth="1"/>
    <col min="7953" max="8192" width="9.140625" style="65"/>
    <col min="8193" max="8193" width="3.140625" style="65" customWidth="1"/>
    <col min="8194" max="8194" width="19.85546875" style="65" customWidth="1"/>
    <col min="8195" max="8197" width="22.5703125" style="65" customWidth="1"/>
    <col min="8198" max="8198" width="28.140625" style="65" customWidth="1"/>
    <col min="8199" max="8199" width="16.85546875" style="65" customWidth="1"/>
    <col min="8200" max="8200" width="22.5703125" style="65" customWidth="1"/>
    <col min="8201" max="8201" width="19.42578125" style="65" customWidth="1"/>
    <col min="8202" max="8205" width="22.5703125" style="65" customWidth="1"/>
    <col min="8206" max="8206" width="19.42578125" style="65" customWidth="1"/>
    <col min="8207" max="8207" width="14" style="65" customWidth="1"/>
    <col min="8208" max="8208" width="21.42578125" style="65" customWidth="1"/>
    <col min="8209" max="8448" width="9.140625" style="65"/>
    <col min="8449" max="8449" width="3.140625" style="65" customWidth="1"/>
    <col min="8450" max="8450" width="19.85546875" style="65" customWidth="1"/>
    <col min="8451" max="8453" width="22.5703125" style="65" customWidth="1"/>
    <col min="8454" max="8454" width="28.140625" style="65" customWidth="1"/>
    <col min="8455" max="8455" width="16.85546875" style="65" customWidth="1"/>
    <col min="8456" max="8456" width="22.5703125" style="65" customWidth="1"/>
    <col min="8457" max="8457" width="19.42578125" style="65" customWidth="1"/>
    <col min="8458" max="8461" width="22.5703125" style="65" customWidth="1"/>
    <col min="8462" max="8462" width="19.42578125" style="65" customWidth="1"/>
    <col min="8463" max="8463" width="14" style="65" customWidth="1"/>
    <col min="8464" max="8464" width="21.42578125" style="65" customWidth="1"/>
    <col min="8465" max="8704" width="9.140625" style="65"/>
    <col min="8705" max="8705" width="3.140625" style="65" customWidth="1"/>
    <col min="8706" max="8706" width="19.85546875" style="65" customWidth="1"/>
    <col min="8707" max="8709" width="22.5703125" style="65" customWidth="1"/>
    <col min="8710" max="8710" width="28.140625" style="65" customWidth="1"/>
    <col min="8711" max="8711" width="16.85546875" style="65" customWidth="1"/>
    <col min="8712" max="8712" width="22.5703125" style="65" customWidth="1"/>
    <col min="8713" max="8713" width="19.42578125" style="65" customWidth="1"/>
    <col min="8714" max="8717" width="22.5703125" style="65" customWidth="1"/>
    <col min="8718" max="8718" width="19.42578125" style="65" customWidth="1"/>
    <col min="8719" max="8719" width="14" style="65" customWidth="1"/>
    <col min="8720" max="8720" width="21.42578125" style="65" customWidth="1"/>
    <col min="8721" max="8960" width="9.140625" style="65"/>
    <col min="8961" max="8961" width="3.140625" style="65" customWidth="1"/>
    <col min="8962" max="8962" width="19.85546875" style="65" customWidth="1"/>
    <col min="8963" max="8965" width="22.5703125" style="65" customWidth="1"/>
    <col min="8966" max="8966" width="28.140625" style="65" customWidth="1"/>
    <col min="8967" max="8967" width="16.85546875" style="65" customWidth="1"/>
    <col min="8968" max="8968" width="22.5703125" style="65" customWidth="1"/>
    <col min="8969" max="8969" width="19.42578125" style="65" customWidth="1"/>
    <col min="8970" max="8973" width="22.5703125" style="65" customWidth="1"/>
    <col min="8974" max="8974" width="19.42578125" style="65" customWidth="1"/>
    <col min="8975" max="8975" width="14" style="65" customWidth="1"/>
    <col min="8976" max="8976" width="21.42578125" style="65" customWidth="1"/>
    <col min="8977" max="9216" width="9.140625" style="65"/>
    <col min="9217" max="9217" width="3.140625" style="65" customWidth="1"/>
    <col min="9218" max="9218" width="19.85546875" style="65" customWidth="1"/>
    <col min="9219" max="9221" width="22.5703125" style="65" customWidth="1"/>
    <col min="9222" max="9222" width="28.140625" style="65" customWidth="1"/>
    <col min="9223" max="9223" width="16.85546875" style="65" customWidth="1"/>
    <col min="9224" max="9224" width="22.5703125" style="65" customWidth="1"/>
    <col min="9225" max="9225" width="19.42578125" style="65" customWidth="1"/>
    <col min="9226" max="9229" width="22.5703125" style="65" customWidth="1"/>
    <col min="9230" max="9230" width="19.42578125" style="65" customWidth="1"/>
    <col min="9231" max="9231" width="14" style="65" customWidth="1"/>
    <col min="9232" max="9232" width="21.42578125" style="65" customWidth="1"/>
    <col min="9233" max="9472" width="9.140625" style="65"/>
    <col min="9473" max="9473" width="3.140625" style="65" customWidth="1"/>
    <col min="9474" max="9474" width="19.85546875" style="65" customWidth="1"/>
    <col min="9475" max="9477" width="22.5703125" style="65" customWidth="1"/>
    <col min="9478" max="9478" width="28.140625" style="65" customWidth="1"/>
    <col min="9479" max="9479" width="16.85546875" style="65" customWidth="1"/>
    <col min="9480" max="9480" width="22.5703125" style="65" customWidth="1"/>
    <col min="9481" max="9481" width="19.42578125" style="65" customWidth="1"/>
    <col min="9482" max="9485" width="22.5703125" style="65" customWidth="1"/>
    <col min="9486" max="9486" width="19.42578125" style="65" customWidth="1"/>
    <col min="9487" max="9487" width="14" style="65" customWidth="1"/>
    <col min="9488" max="9488" width="21.42578125" style="65" customWidth="1"/>
    <col min="9489" max="9728" width="9.140625" style="65"/>
    <col min="9729" max="9729" width="3.140625" style="65" customWidth="1"/>
    <col min="9730" max="9730" width="19.85546875" style="65" customWidth="1"/>
    <col min="9731" max="9733" width="22.5703125" style="65" customWidth="1"/>
    <col min="9734" max="9734" width="28.140625" style="65" customWidth="1"/>
    <col min="9735" max="9735" width="16.85546875" style="65" customWidth="1"/>
    <col min="9736" max="9736" width="22.5703125" style="65" customWidth="1"/>
    <col min="9737" max="9737" width="19.42578125" style="65" customWidth="1"/>
    <col min="9738" max="9741" width="22.5703125" style="65" customWidth="1"/>
    <col min="9742" max="9742" width="19.42578125" style="65" customWidth="1"/>
    <col min="9743" max="9743" width="14" style="65" customWidth="1"/>
    <col min="9744" max="9744" width="21.42578125" style="65" customWidth="1"/>
    <col min="9745" max="9984" width="9.140625" style="65"/>
    <col min="9985" max="9985" width="3.140625" style="65" customWidth="1"/>
    <col min="9986" max="9986" width="19.85546875" style="65" customWidth="1"/>
    <col min="9987" max="9989" width="22.5703125" style="65" customWidth="1"/>
    <col min="9990" max="9990" width="28.140625" style="65" customWidth="1"/>
    <col min="9991" max="9991" width="16.85546875" style="65" customWidth="1"/>
    <col min="9992" max="9992" width="22.5703125" style="65" customWidth="1"/>
    <col min="9993" max="9993" width="19.42578125" style="65" customWidth="1"/>
    <col min="9994" max="9997" width="22.5703125" style="65" customWidth="1"/>
    <col min="9998" max="9998" width="19.42578125" style="65" customWidth="1"/>
    <col min="9999" max="9999" width="14" style="65" customWidth="1"/>
    <col min="10000" max="10000" width="21.42578125" style="65" customWidth="1"/>
    <col min="10001" max="10240" width="9.140625" style="65"/>
    <col min="10241" max="10241" width="3.140625" style="65" customWidth="1"/>
    <col min="10242" max="10242" width="19.85546875" style="65" customWidth="1"/>
    <col min="10243" max="10245" width="22.5703125" style="65" customWidth="1"/>
    <col min="10246" max="10246" width="28.140625" style="65" customWidth="1"/>
    <col min="10247" max="10247" width="16.85546875" style="65" customWidth="1"/>
    <col min="10248" max="10248" width="22.5703125" style="65" customWidth="1"/>
    <col min="10249" max="10249" width="19.42578125" style="65" customWidth="1"/>
    <col min="10250" max="10253" width="22.5703125" style="65" customWidth="1"/>
    <col min="10254" max="10254" width="19.42578125" style="65" customWidth="1"/>
    <col min="10255" max="10255" width="14" style="65" customWidth="1"/>
    <col min="10256" max="10256" width="21.42578125" style="65" customWidth="1"/>
    <col min="10257" max="10496" width="9.140625" style="65"/>
    <col min="10497" max="10497" width="3.140625" style="65" customWidth="1"/>
    <col min="10498" max="10498" width="19.85546875" style="65" customWidth="1"/>
    <col min="10499" max="10501" width="22.5703125" style="65" customWidth="1"/>
    <col min="10502" max="10502" width="28.140625" style="65" customWidth="1"/>
    <col min="10503" max="10503" width="16.85546875" style="65" customWidth="1"/>
    <col min="10504" max="10504" width="22.5703125" style="65" customWidth="1"/>
    <col min="10505" max="10505" width="19.42578125" style="65" customWidth="1"/>
    <col min="10506" max="10509" width="22.5703125" style="65" customWidth="1"/>
    <col min="10510" max="10510" width="19.42578125" style="65" customWidth="1"/>
    <col min="10511" max="10511" width="14" style="65" customWidth="1"/>
    <col min="10512" max="10512" width="21.42578125" style="65" customWidth="1"/>
    <col min="10513" max="10752" width="9.140625" style="65"/>
    <col min="10753" max="10753" width="3.140625" style="65" customWidth="1"/>
    <col min="10754" max="10754" width="19.85546875" style="65" customWidth="1"/>
    <col min="10755" max="10757" width="22.5703125" style="65" customWidth="1"/>
    <col min="10758" max="10758" width="28.140625" style="65" customWidth="1"/>
    <col min="10759" max="10759" width="16.85546875" style="65" customWidth="1"/>
    <col min="10760" max="10760" width="22.5703125" style="65" customWidth="1"/>
    <col min="10761" max="10761" width="19.42578125" style="65" customWidth="1"/>
    <col min="10762" max="10765" width="22.5703125" style="65" customWidth="1"/>
    <col min="10766" max="10766" width="19.42578125" style="65" customWidth="1"/>
    <col min="10767" max="10767" width="14" style="65" customWidth="1"/>
    <col min="10768" max="10768" width="21.42578125" style="65" customWidth="1"/>
    <col min="10769" max="11008" width="9.140625" style="65"/>
    <col min="11009" max="11009" width="3.140625" style="65" customWidth="1"/>
    <col min="11010" max="11010" width="19.85546875" style="65" customWidth="1"/>
    <col min="11011" max="11013" width="22.5703125" style="65" customWidth="1"/>
    <col min="11014" max="11014" width="28.140625" style="65" customWidth="1"/>
    <col min="11015" max="11015" width="16.85546875" style="65" customWidth="1"/>
    <col min="11016" max="11016" width="22.5703125" style="65" customWidth="1"/>
    <col min="11017" max="11017" width="19.42578125" style="65" customWidth="1"/>
    <col min="11018" max="11021" width="22.5703125" style="65" customWidth="1"/>
    <col min="11022" max="11022" width="19.42578125" style="65" customWidth="1"/>
    <col min="11023" max="11023" width="14" style="65" customWidth="1"/>
    <col min="11024" max="11024" width="21.42578125" style="65" customWidth="1"/>
    <col min="11025" max="11264" width="9.140625" style="65"/>
    <col min="11265" max="11265" width="3.140625" style="65" customWidth="1"/>
    <col min="11266" max="11266" width="19.85546875" style="65" customWidth="1"/>
    <col min="11267" max="11269" width="22.5703125" style="65" customWidth="1"/>
    <col min="11270" max="11270" width="28.140625" style="65" customWidth="1"/>
    <col min="11271" max="11271" width="16.85546875" style="65" customWidth="1"/>
    <col min="11272" max="11272" width="22.5703125" style="65" customWidth="1"/>
    <col min="11273" max="11273" width="19.42578125" style="65" customWidth="1"/>
    <col min="11274" max="11277" width="22.5703125" style="65" customWidth="1"/>
    <col min="11278" max="11278" width="19.42578125" style="65" customWidth="1"/>
    <col min="11279" max="11279" width="14" style="65" customWidth="1"/>
    <col min="11280" max="11280" width="21.42578125" style="65" customWidth="1"/>
    <col min="11281" max="11520" width="9.140625" style="65"/>
    <col min="11521" max="11521" width="3.140625" style="65" customWidth="1"/>
    <col min="11522" max="11522" width="19.85546875" style="65" customWidth="1"/>
    <col min="11523" max="11525" width="22.5703125" style="65" customWidth="1"/>
    <col min="11526" max="11526" width="28.140625" style="65" customWidth="1"/>
    <col min="11527" max="11527" width="16.85546875" style="65" customWidth="1"/>
    <col min="11528" max="11528" width="22.5703125" style="65" customWidth="1"/>
    <col min="11529" max="11529" width="19.42578125" style="65" customWidth="1"/>
    <col min="11530" max="11533" width="22.5703125" style="65" customWidth="1"/>
    <col min="11534" max="11534" width="19.42578125" style="65" customWidth="1"/>
    <col min="11535" max="11535" width="14" style="65" customWidth="1"/>
    <col min="11536" max="11536" width="21.42578125" style="65" customWidth="1"/>
    <col min="11537" max="11776" width="9.140625" style="65"/>
    <col min="11777" max="11777" width="3.140625" style="65" customWidth="1"/>
    <col min="11778" max="11778" width="19.85546875" style="65" customWidth="1"/>
    <col min="11779" max="11781" width="22.5703125" style="65" customWidth="1"/>
    <col min="11782" max="11782" width="28.140625" style="65" customWidth="1"/>
    <col min="11783" max="11783" width="16.85546875" style="65" customWidth="1"/>
    <col min="11784" max="11784" width="22.5703125" style="65" customWidth="1"/>
    <col min="11785" max="11785" width="19.42578125" style="65" customWidth="1"/>
    <col min="11786" max="11789" width="22.5703125" style="65" customWidth="1"/>
    <col min="11790" max="11790" width="19.42578125" style="65" customWidth="1"/>
    <col min="11791" max="11791" width="14" style="65" customWidth="1"/>
    <col min="11792" max="11792" width="21.42578125" style="65" customWidth="1"/>
    <col min="11793" max="12032" width="9.140625" style="65"/>
    <col min="12033" max="12033" width="3.140625" style="65" customWidth="1"/>
    <col min="12034" max="12034" width="19.85546875" style="65" customWidth="1"/>
    <col min="12035" max="12037" width="22.5703125" style="65" customWidth="1"/>
    <col min="12038" max="12038" width="28.140625" style="65" customWidth="1"/>
    <col min="12039" max="12039" width="16.85546875" style="65" customWidth="1"/>
    <col min="12040" max="12040" width="22.5703125" style="65" customWidth="1"/>
    <col min="12041" max="12041" width="19.42578125" style="65" customWidth="1"/>
    <col min="12042" max="12045" width="22.5703125" style="65" customWidth="1"/>
    <col min="12046" max="12046" width="19.42578125" style="65" customWidth="1"/>
    <col min="12047" max="12047" width="14" style="65" customWidth="1"/>
    <col min="12048" max="12048" width="21.42578125" style="65" customWidth="1"/>
    <col min="12049" max="12288" width="9.140625" style="65"/>
    <col min="12289" max="12289" width="3.140625" style="65" customWidth="1"/>
    <col min="12290" max="12290" width="19.85546875" style="65" customWidth="1"/>
    <col min="12291" max="12293" width="22.5703125" style="65" customWidth="1"/>
    <col min="12294" max="12294" width="28.140625" style="65" customWidth="1"/>
    <col min="12295" max="12295" width="16.85546875" style="65" customWidth="1"/>
    <col min="12296" max="12296" width="22.5703125" style="65" customWidth="1"/>
    <col min="12297" max="12297" width="19.42578125" style="65" customWidth="1"/>
    <col min="12298" max="12301" width="22.5703125" style="65" customWidth="1"/>
    <col min="12302" max="12302" width="19.42578125" style="65" customWidth="1"/>
    <col min="12303" max="12303" width="14" style="65" customWidth="1"/>
    <col min="12304" max="12304" width="21.42578125" style="65" customWidth="1"/>
    <col min="12305" max="12544" width="9.140625" style="65"/>
    <col min="12545" max="12545" width="3.140625" style="65" customWidth="1"/>
    <col min="12546" max="12546" width="19.85546875" style="65" customWidth="1"/>
    <col min="12547" max="12549" width="22.5703125" style="65" customWidth="1"/>
    <col min="12550" max="12550" width="28.140625" style="65" customWidth="1"/>
    <col min="12551" max="12551" width="16.85546875" style="65" customWidth="1"/>
    <col min="12552" max="12552" width="22.5703125" style="65" customWidth="1"/>
    <col min="12553" max="12553" width="19.42578125" style="65" customWidth="1"/>
    <col min="12554" max="12557" width="22.5703125" style="65" customWidth="1"/>
    <col min="12558" max="12558" width="19.42578125" style="65" customWidth="1"/>
    <col min="12559" max="12559" width="14" style="65" customWidth="1"/>
    <col min="12560" max="12560" width="21.42578125" style="65" customWidth="1"/>
    <col min="12561" max="12800" width="9.140625" style="65"/>
    <col min="12801" max="12801" width="3.140625" style="65" customWidth="1"/>
    <col min="12802" max="12802" width="19.85546875" style="65" customWidth="1"/>
    <col min="12803" max="12805" width="22.5703125" style="65" customWidth="1"/>
    <col min="12806" max="12806" width="28.140625" style="65" customWidth="1"/>
    <col min="12807" max="12807" width="16.85546875" style="65" customWidth="1"/>
    <col min="12808" max="12808" width="22.5703125" style="65" customWidth="1"/>
    <col min="12809" max="12809" width="19.42578125" style="65" customWidth="1"/>
    <col min="12810" max="12813" width="22.5703125" style="65" customWidth="1"/>
    <col min="12814" max="12814" width="19.42578125" style="65" customWidth="1"/>
    <col min="12815" max="12815" width="14" style="65" customWidth="1"/>
    <col min="12816" max="12816" width="21.42578125" style="65" customWidth="1"/>
    <col min="12817" max="13056" width="9.140625" style="65"/>
    <col min="13057" max="13057" width="3.140625" style="65" customWidth="1"/>
    <col min="13058" max="13058" width="19.85546875" style="65" customWidth="1"/>
    <col min="13059" max="13061" width="22.5703125" style="65" customWidth="1"/>
    <col min="13062" max="13062" width="28.140625" style="65" customWidth="1"/>
    <col min="13063" max="13063" width="16.85546875" style="65" customWidth="1"/>
    <col min="13064" max="13064" width="22.5703125" style="65" customWidth="1"/>
    <col min="13065" max="13065" width="19.42578125" style="65" customWidth="1"/>
    <col min="13066" max="13069" width="22.5703125" style="65" customWidth="1"/>
    <col min="13070" max="13070" width="19.42578125" style="65" customWidth="1"/>
    <col min="13071" max="13071" width="14" style="65" customWidth="1"/>
    <col min="13072" max="13072" width="21.42578125" style="65" customWidth="1"/>
    <col min="13073" max="13312" width="9.140625" style="65"/>
    <col min="13313" max="13313" width="3.140625" style="65" customWidth="1"/>
    <col min="13314" max="13314" width="19.85546875" style="65" customWidth="1"/>
    <col min="13315" max="13317" width="22.5703125" style="65" customWidth="1"/>
    <col min="13318" max="13318" width="28.140625" style="65" customWidth="1"/>
    <col min="13319" max="13319" width="16.85546875" style="65" customWidth="1"/>
    <col min="13320" max="13320" width="22.5703125" style="65" customWidth="1"/>
    <col min="13321" max="13321" width="19.42578125" style="65" customWidth="1"/>
    <col min="13322" max="13325" width="22.5703125" style="65" customWidth="1"/>
    <col min="13326" max="13326" width="19.42578125" style="65" customWidth="1"/>
    <col min="13327" max="13327" width="14" style="65" customWidth="1"/>
    <col min="13328" max="13328" width="21.42578125" style="65" customWidth="1"/>
    <col min="13329" max="13568" width="9.140625" style="65"/>
    <col min="13569" max="13569" width="3.140625" style="65" customWidth="1"/>
    <col min="13570" max="13570" width="19.85546875" style="65" customWidth="1"/>
    <col min="13571" max="13573" width="22.5703125" style="65" customWidth="1"/>
    <col min="13574" max="13574" width="28.140625" style="65" customWidth="1"/>
    <col min="13575" max="13575" width="16.85546875" style="65" customWidth="1"/>
    <col min="13576" max="13576" width="22.5703125" style="65" customWidth="1"/>
    <col min="13577" max="13577" width="19.42578125" style="65" customWidth="1"/>
    <col min="13578" max="13581" width="22.5703125" style="65" customWidth="1"/>
    <col min="13582" max="13582" width="19.42578125" style="65" customWidth="1"/>
    <col min="13583" max="13583" width="14" style="65" customWidth="1"/>
    <col min="13584" max="13584" width="21.42578125" style="65" customWidth="1"/>
    <col min="13585" max="13824" width="9.140625" style="65"/>
    <col min="13825" max="13825" width="3.140625" style="65" customWidth="1"/>
    <col min="13826" max="13826" width="19.85546875" style="65" customWidth="1"/>
    <col min="13827" max="13829" width="22.5703125" style="65" customWidth="1"/>
    <col min="13830" max="13830" width="28.140625" style="65" customWidth="1"/>
    <col min="13831" max="13831" width="16.85546875" style="65" customWidth="1"/>
    <col min="13832" max="13832" width="22.5703125" style="65" customWidth="1"/>
    <col min="13833" max="13833" width="19.42578125" style="65" customWidth="1"/>
    <col min="13834" max="13837" width="22.5703125" style="65" customWidth="1"/>
    <col min="13838" max="13838" width="19.42578125" style="65" customWidth="1"/>
    <col min="13839" max="13839" width="14" style="65" customWidth="1"/>
    <col min="13840" max="13840" width="21.42578125" style="65" customWidth="1"/>
    <col min="13841" max="14080" width="9.140625" style="65"/>
    <col min="14081" max="14081" width="3.140625" style="65" customWidth="1"/>
    <col min="14082" max="14082" width="19.85546875" style="65" customWidth="1"/>
    <col min="14083" max="14085" width="22.5703125" style="65" customWidth="1"/>
    <col min="14086" max="14086" width="28.140625" style="65" customWidth="1"/>
    <col min="14087" max="14087" width="16.85546875" style="65" customWidth="1"/>
    <col min="14088" max="14088" width="22.5703125" style="65" customWidth="1"/>
    <col min="14089" max="14089" width="19.42578125" style="65" customWidth="1"/>
    <col min="14090" max="14093" width="22.5703125" style="65" customWidth="1"/>
    <col min="14094" max="14094" width="19.42578125" style="65" customWidth="1"/>
    <col min="14095" max="14095" width="14" style="65" customWidth="1"/>
    <col min="14096" max="14096" width="21.42578125" style="65" customWidth="1"/>
    <col min="14097" max="14336" width="9.140625" style="65"/>
    <col min="14337" max="14337" width="3.140625" style="65" customWidth="1"/>
    <col min="14338" max="14338" width="19.85546875" style="65" customWidth="1"/>
    <col min="14339" max="14341" width="22.5703125" style="65" customWidth="1"/>
    <col min="14342" max="14342" width="28.140625" style="65" customWidth="1"/>
    <col min="14343" max="14343" width="16.85546875" style="65" customWidth="1"/>
    <col min="14344" max="14344" width="22.5703125" style="65" customWidth="1"/>
    <col min="14345" max="14345" width="19.42578125" style="65" customWidth="1"/>
    <col min="14346" max="14349" width="22.5703125" style="65" customWidth="1"/>
    <col min="14350" max="14350" width="19.42578125" style="65" customWidth="1"/>
    <col min="14351" max="14351" width="14" style="65" customWidth="1"/>
    <col min="14352" max="14352" width="21.42578125" style="65" customWidth="1"/>
    <col min="14353" max="14592" width="9.140625" style="65"/>
    <col min="14593" max="14593" width="3.140625" style="65" customWidth="1"/>
    <col min="14594" max="14594" width="19.85546875" style="65" customWidth="1"/>
    <col min="14595" max="14597" width="22.5703125" style="65" customWidth="1"/>
    <col min="14598" max="14598" width="28.140625" style="65" customWidth="1"/>
    <col min="14599" max="14599" width="16.85546875" style="65" customWidth="1"/>
    <col min="14600" max="14600" width="22.5703125" style="65" customWidth="1"/>
    <col min="14601" max="14601" width="19.42578125" style="65" customWidth="1"/>
    <col min="14602" max="14605" width="22.5703125" style="65" customWidth="1"/>
    <col min="14606" max="14606" width="19.42578125" style="65" customWidth="1"/>
    <col min="14607" max="14607" width="14" style="65" customWidth="1"/>
    <col min="14608" max="14608" width="21.42578125" style="65" customWidth="1"/>
    <col min="14609" max="14848" width="9.140625" style="65"/>
    <col min="14849" max="14849" width="3.140625" style="65" customWidth="1"/>
    <col min="14850" max="14850" width="19.85546875" style="65" customWidth="1"/>
    <col min="14851" max="14853" width="22.5703125" style="65" customWidth="1"/>
    <col min="14854" max="14854" width="28.140625" style="65" customWidth="1"/>
    <col min="14855" max="14855" width="16.85546875" style="65" customWidth="1"/>
    <col min="14856" max="14856" width="22.5703125" style="65" customWidth="1"/>
    <col min="14857" max="14857" width="19.42578125" style="65" customWidth="1"/>
    <col min="14858" max="14861" width="22.5703125" style="65" customWidth="1"/>
    <col min="14862" max="14862" width="19.42578125" style="65" customWidth="1"/>
    <col min="14863" max="14863" width="14" style="65" customWidth="1"/>
    <col min="14864" max="14864" width="21.42578125" style="65" customWidth="1"/>
    <col min="14865" max="15104" width="9.140625" style="65"/>
    <col min="15105" max="15105" width="3.140625" style="65" customWidth="1"/>
    <col min="15106" max="15106" width="19.85546875" style="65" customWidth="1"/>
    <col min="15107" max="15109" width="22.5703125" style="65" customWidth="1"/>
    <col min="15110" max="15110" width="28.140625" style="65" customWidth="1"/>
    <col min="15111" max="15111" width="16.85546875" style="65" customWidth="1"/>
    <col min="15112" max="15112" width="22.5703125" style="65" customWidth="1"/>
    <col min="15113" max="15113" width="19.42578125" style="65" customWidth="1"/>
    <col min="15114" max="15117" width="22.5703125" style="65" customWidth="1"/>
    <col min="15118" max="15118" width="19.42578125" style="65" customWidth="1"/>
    <col min="15119" max="15119" width="14" style="65" customWidth="1"/>
    <col min="15120" max="15120" width="21.42578125" style="65" customWidth="1"/>
    <col min="15121" max="15360" width="9.140625" style="65"/>
    <col min="15361" max="15361" width="3.140625" style="65" customWidth="1"/>
    <col min="15362" max="15362" width="19.85546875" style="65" customWidth="1"/>
    <col min="15363" max="15365" width="22.5703125" style="65" customWidth="1"/>
    <col min="15366" max="15366" width="28.140625" style="65" customWidth="1"/>
    <col min="15367" max="15367" width="16.85546875" style="65" customWidth="1"/>
    <col min="15368" max="15368" width="22.5703125" style="65" customWidth="1"/>
    <col min="15369" max="15369" width="19.42578125" style="65" customWidth="1"/>
    <col min="15370" max="15373" width="22.5703125" style="65" customWidth="1"/>
    <col min="15374" max="15374" width="19.42578125" style="65" customWidth="1"/>
    <col min="15375" max="15375" width="14" style="65" customWidth="1"/>
    <col min="15376" max="15376" width="21.42578125" style="65" customWidth="1"/>
    <col min="15377" max="15616" width="9.140625" style="65"/>
    <col min="15617" max="15617" width="3.140625" style="65" customWidth="1"/>
    <col min="15618" max="15618" width="19.85546875" style="65" customWidth="1"/>
    <col min="15619" max="15621" width="22.5703125" style="65" customWidth="1"/>
    <col min="15622" max="15622" width="28.140625" style="65" customWidth="1"/>
    <col min="15623" max="15623" width="16.85546875" style="65" customWidth="1"/>
    <col min="15624" max="15624" width="22.5703125" style="65" customWidth="1"/>
    <col min="15625" max="15625" width="19.42578125" style="65" customWidth="1"/>
    <col min="15626" max="15629" width="22.5703125" style="65" customWidth="1"/>
    <col min="15630" max="15630" width="19.42578125" style="65" customWidth="1"/>
    <col min="15631" max="15631" width="14" style="65" customWidth="1"/>
    <col min="15632" max="15632" width="21.42578125" style="65" customWidth="1"/>
    <col min="15633" max="15872" width="9.140625" style="65"/>
    <col min="15873" max="15873" width="3.140625" style="65" customWidth="1"/>
    <col min="15874" max="15874" width="19.85546875" style="65" customWidth="1"/>
    <col min="15875" max="15877" width="22.5703125" style="65" customWidth="1"/>
    <col min="15878" max="15878" width="28.140625" style="65" customWidth="1"/>
    <col min="15879" max="15879" width="16.85546875" style="65" customWidth="1"/>
    <col min="15880" max="15880" width="22.5703125" style="65" customWidth="1"/>
    <col min="15881" max="15881" width="19.42578125" style="65" customWidth="1"/>
    <col min="15882" max="15885" width="22.5703125" style="65" customWidth="1"/>
    <col min="15886" max="15886" width="19.42578125" style="65" customWidth="1"/>
    <col min="15887" max="15887" width="14" style="65" customWidth="1"/>
    <col min="15888" max="15888" width="21.42578125" style="65" customWidth="1"/>
    <col min="15889" max="16128" width="9.140625" style="65"/>
    <col min="16129" max="16129" width="3.140625" style="65" customWidth="1"/>
    <col min="16130" max="16130" width="19.85546875" style="65" customWidth="1"/>
    <col min="16131" max="16133" width="22.5703125" style="65" customWidth="1"/>
    <col min="16134" max="16134" width="28.140625" style="65" customWidth="1"/>
    <col min="16135" max="16135" width="16.85546875" style="65" customWidth="1"/>
    <col min="16136" max="16136" width="22.5703125" style="65" customWidth="1"/>
    <col min="16137" max="16137" width="19.42578125" style="65" customWidth="1"/>
    <col min="16138" max="16141" width="22.5703125" style="65" customWidth="1"/>
    <col min="16142" max="16142" width="19.42578125" style="65" customWidth="1"/>
    <col min="16143" max="16143" width="14" style="65" customWidth="1"/>
    <col min="16144" max="16144" width="21.42578125" style="65" customWidth="1"/>
    <col min="16145" max="16384" width="9.140625" style="65"/>
  </cols>
  <sheetData>
    <row r="1" spans="2:16" ht="28.5" x14ac:dyDescent="0.25">
      <c r="B1" s="26" t="s">
        <v>105</v>
      </c>
      <c r="C1" s="66">
        <v>43586</v>
      </c>
      <c r="D1" s="67">
        <v>43830</v>
      </c>
    </row>
    <row r="2" spans="2:16" ht="28.5" x14ac:dyDescent="0.25">
      <c r="B2" s="26" t="s">
        <v>106</v>
      </c>
      <c r="C2" s="67">
        <v>43831</v>
      </c>
      <c r="D2" s="66">
        <v>44196</v>
      </c>
    </row>
    <row r="4" spans="2:16" ht="44.25" x14ac:dyDescent="0.25">
      <c r="B4" s="26" t="s">
        <v>107</v>
      </c>
      <c r="C4" s="26" t="s">
        <v>108</v>
      </c>
      <c r="D4" s="26" t="s">
        <v>109</v>
      </c>
      <c r="E4" s="26" t="s">
        <v>110</v>
      </c>
      <c r="F4" s="26" t="s">
        <v>111</v>
      </c>
      <c r="G4" s="26" t="s">
        <v>112</v>
      </c>
      <c r="H4" s="26" t="s">
        <v>113</v>
      </c>
      <c r="I4" s="26" t="s">
        <v>114</v>
      </c>
      <c r="J4" s="26" t="s">
        <v>115</v>
      </c>
      <c r="K4" s="26" t="s">
        <v>116</v>
      </c>
      <c r="L4" s="26" t="s">
        <v>117</v>
      </c>
      <c r="M4" s="26" t="s">
        <v>118</v>
      </c>
      <c r="N4" s="26" t="s">
        <v>119</v>
      </c>
      <c r="O4" s="26" t="s">
        <v>120</v>
      </c>
      <c r="P4" s="26" t="s">
        <v>121</v>
      </c>
    </row>
    <row r="5" spans="2:16" x14ac:dyDescent="0.25">
      <c r="B5" s="14">
        <v>1</v>
      </c>
      <c r="C5" s="67">
        <v>43565</v>
      </c>
      <c r="D5" s="67">
        <f>IF(C5="","",$C$1)</f>
        <v>43586</v>
      </c>
      <c r="E5" s="14">
        <f>F5-C5+1</f>
        <v>107</v>
      </c>
      <c r="F5" s="67">
        <v>43671</v>
      </c>
      <c r="G5" s="45">
        <f>IF(F5="","",YEAR(F5))</f>
        <v>2019</v>
      </c>
      <c r="H5" s="14">
        <v>2220</v>
      </c>
      <c r="I5" s="14" t="s">
        <v>24</v>
      </c>
      <c r="J5" s="68">
        <f>((((D5-C5)+1)*0.966)+27.785)</f>
        <v>49.036999999999999</v>
      </c>
      <c r="K5" s="212">
        <v>284.71199999999999</v>
      </c>
      <c r="L5" s="68">
        <v>128.249</v>
      </c>
      <c r="M5" s="38">
        <f>IF(J5="","",AVERAGE(J5,L5))</f>
        <v>88.643000000000001</v>
      </c>
      <c r="N5" s="14">
        <f>IF(F5="","",F5-LARGE(C5:D5,1))+1</f>
        <v>86</v>
      </c>
      <c r="O5" s="14">
        <f>IF(N5="","",H5*N5)</f>
        <v>190920</v>
      </c>
      <c r="P5" s="14">
        <f>IF(M5="","",H5*M5)</f>
        <v>196787.46</v>
      </c>
    </row>
    <row r="6" spans="2:16" x14ac:dyDescent="0.25">
      <c r="B6" s="14">
        <v>2</v>
      </c>
      <c r="C6" s="67">
        <v>43684</v>
      </c>
      <c r="D6" s="67">
        <f>IF(C6="","",$C$1)</f>
        <v>43586</v>
      </c>
      <c r="E6" s="14">
        <f>F6-C6+1</f>
        <v>113</v>
      </c>
      <c r="F6" s="67">
        <v>43796</v>
      </c>
      <c r="G6" s="45">
        <f>IF(F6="","",YEAR(F6))</f>
        <v>2019</v>
      </c>
      <c r="H6" s="14">
        <v>2175</v>
      </c>
      <c r="I6" s="14" t="s">
        <v>24</v>
      </c>
      <c r="J6" s="68">
        <v>26.033000000000001</v>
      </c>
      <c r="K6" s="38">
        <v>271.178</v>
      </c>
      <c r="L6" s="68">
        <v>124.68</v>
      </c>
      <c r="M6" s="38">
        <f>IF(J6="","",AVERAGE(J6,L6))</f>
        <v>75.356500000000011</v>
      </c>
      <c r="N6" s="14">
        <f>IF(F6="","",F6-LARGE(C6:D6,1))+1</f>
        <v>113</v>
      </c>
      <c r="O6" s="14">
        <f>IF(N6="","",H6*N6)</f>
        <v>245775</v>
      </c>
      <c r="P6" s="14">
        <f>IF(M6="","",H6*M6)</f>
        <v>163900.38750000001</v>
      </c>
    </row>
    <row r="7" spans="2:16" x14ac:dyDescent="0.25">
      <c r="B7" s="14">
        <v>3</v>
      </c>
      <c r="C7" s="67">
        <v>43809</v>
      </c>
      <c r="D7" s="67">
        <f>IF(C7="","",$C$1)</f>
        <v>43586</v>
      </c>
      <c r="E7" s="14">
        <f>F7-C7+1</f>
        <v>114</v>
      </c>
      <c r="F7" s="67">
        <v>43922</v>
      </c>
      <c r="G7" s="45">
        <f>IF(F7="","",YEAR(F7))</f>
        <v>2020</v>
      </c>
      <c r="H7" s="14">
        <v>2196</v>
      </c>
      <c r="I7" s="14" t="s">
        <v>24</v>
      </c>
      <c r="J7" s="68">
        <v>30.396000000000001</v>
      </c>
      <c r="K7" s="38">
        <v>298.63</v>
      </c>
      <c r="L7" s="68">
        <v>135.988</v>
      </c>
      <c r="M7" s="38">
        <f>IF(J7="","",AVERAGE(J7,L7))</f>
        <v>83.192000000000007</v>
      </c>
      <c r="N7" s="14">
        <f>IF(F7="","",F7-LARGE(C7:D7,1))+1</f>
        <v>114</v>
      </c>
      <c r="O7" s="14">
        <f>IF(N7="","",H7*N7)</f>
        <v>250344</v>
      </c>
      <c r="P7" s="14">
        <f>IF(M7="","",H7*M7)</f>
        <v>182689.63200000001</v>
      </c>
    </row>
    <row r="8" spans="2:16" x14ac:dyDescent="0.25">
      <c r="B8" s="14">
        <v>4</v>
      </c>
      <c r="C8" s="67">
        <v>43929</v>
      </c>
      <c r="D8" s="67">
        <f>IF(C8="","",$C$1)</f>
        <v>43586</v>
      </c>
      <c r="E8" s="14">
        <f>F8-C8+1</f>
        <v>100</v>
      </c>
      <c r="F8" s="67">
        <v>44028</v>
      </c>
      <c r="G8" s="45">
        <f>IF(F8="","",YEAR(F8))</f>
        <v>2020</v>
      </c>
      <c r="H8" s="14">
        <v>2199</v>
      </c>
      <c r="I8" s="14" t="s">
        <v>24</v>
      </c>
      <c r="J8" s="68">
        <v>29.001999999999999</v>
      </c>
      <c r="K8" s="69">
        <v>265.43</v>
      </c>
      <c r="L8" s="68">
        <v>120.705</v>
      </c>
      <c r="M8" s="38">
        <f>IF(J8="","",AVERAGE(J8,L8))</f>
        <v>74.853499999999997</v>
      </c>
      <c r="N8" s="14">
        <f>IF(F8="","",F8-LARGE(C8:D8,1))+1</f>
        <v>100</v>
      </c>
      <c r="O8" s="14">
        <f>IF(N8="","",H8*N8)</f>
        <v>219900</v>
      </c>
      <c r="P8" s="14">
        <f>IF(M8="","",H8*M8)</f>
        <v>164602.84649999999</v>
      </c>
    </row>
    <row r="10" spans="2:16" x14ac:dyDescent="0.25">
      <c r="B10" s="146" t="s">
        <v>66</v>
      </c>
      <c r="C10" s="147"/>
      <c r="D10" s="147"/>
      <c r="E10" s="171"/>
    </row>
    <row r="11" spans="2:16" x14ac:dyDescent="0.25">
      <c r="B11" s="21" t="s">
        <v>15</v>
      </c>
      <c r="C11" s="52" t="s">
        <v>76</v>
      </c>
      <c r="D11" s="21">
        <v>2019</v>
      </c>
      <c r="E11" s="21">
        <v>2020</v>
      </c>
      <c r="F11" s="70"/>
      <c r="G11" s="70"/>
      <c r="I11" s="71"/>
    </row>
    <row r="12" spans="2:16" x14ac:dyDescent="0.25">
      <c r="B12" s="170" t="s">
        <v>86</v>
      </c>
      <c r="C12" s="11" t="s">
        <v>26</v>
      </c>
      <c r="D12" s="72">
        <f t="shared" ref="D12:E18" si="0">SUMIFS($O$5:$O$8,$I$5:$I$8,$C12,$G$5:$G$8,D$11)/(IF(SUMIFS($H$5:$H$8,$I$5:$I$8,$C12,$G$5:$G$8,D$11)=0,1,SUMIFS($H$5:$H$8,$I$5:$I$8,$C12,$G$5:$G$8,D$11)))</f>
        <v>0</v>
      </c>
      <c r="E12" s="45">
        <f t="shared" si="0"/>
        <v>0</v>
      </c>
      <c r="F12" s="70"/>
      <c r="G12" s="70"/>
      <c r="I12" s="73"/>
    </row>
    <row r="13" spans="2:16" x14ac:dyDescent="0.25">
      <c r="B13" s="170"/>
      <c r="C13" s="11" t="s">
        <v>27</v>
      </c>
      <c r="D13" s="72">
        <f t="shared" si="0"/>
        <v>0</v>
      </c>
      <c r="E13" s="45">
        <f t="shared" si="0"/>
        <v>0</v>
      </c>
      <c r="F13" s="70"/>
      <c r="G13" s="70"/>
      <c r="I13" s="73"/>
    </row>
    <row r="14" spans="2:16" x14ac:dyDescent="0.25">
      <c r="B14" s="170"/>
      <c r="C14" s="11" t="s">
        <v>28</v>
      </c>
      <c r="D14" s="72">
        <f t="shared" si="0"/>
        <v>0</v>
      </c>
      <c r="E14" s="45">
        <f t="shared" si="0"/>
        <v>0</v>
      </c>
      <c r="F14" s="70"/>
      <c r="G14" s="70"/>
      <c r="I14" s="73"/>
    </row>
    <row r="15" spans="2:16" x14ac:dyDescent="0.25">
      <c r="B15" s="170"/>
      <c r="C15" s="11" t="s">
        <v>29</v>
      </c>
      <c r="D15" s="72">
        <f t="shared" si="0"/>
        <v>0</v>
      </c>
      <c r="E15" s="45">
        <f t="shared" si="0"/>
        <v>0</v>
      </c>
      <c r="F15" s="70"/>
      <c r="G15" s="70"/>
      <c r="I15" s="73"/>
    </row>
    <row r="16" spans="2:16" x14ac:dyDescent="0.25">
      <c r="B16" s="170"/>
      <c r="C16" s="11" t="s">
        <v>30</v>
      </c>
      <c r="D16" s="72">
        <f t="shared" si="0"/>
        <v>0</v>
      </c>
      <c r="E16" s="45">
        <f t="shared" si="0"/>
        <v>0</v>
      </c>
      <c r="F16" s="70"/>
      <c r="G16" s="70"/>
      <c r="I16" s="73"/>
    </row>
    <row r="17" spans="2:9" x14ac:dyDescent="0.25">
      <c r="B17" s="170"/>
      <c r="C17" s="11" t="s">
        <v>78</v>
      </c>
      <c r="D17" s="72">
        <f t="shared" si="0"/>
        <v>0</v>
      </c>
      <c r="E17" s="45">
        <f t="shared" si="0"/>
        <v>0</v>
      </c>
      <c r="F17" s="70"/>
      <c r="G17" s="70"/>
      <c r="I17" s="73"/>
    </row>
    <row r="18" spans="2:9" x14ac:dyDescent="0.25">
      <c r="B18" s="170"/>
      <c r="C18" s="11" t="s">
        <v>24</v>
      </c>
      <c r="D18" s="72">
        <f t="shared" si="0"/>
        <v>99.361774744027301</v>
      </c>
      <c r="E18" s="45">
        <f t="shared" si="0"/>
        <v>106.99522184300341</v>
      </c>
      <c r="F18" s="70"/>
      <c r="G18" s="70"/>
      <c r="I18" s="73"/>
    </row>
    <row r="19" spans="2:9" x14ac:dyDescent="0.25">
      <c r="B19" s="170" t="s">
        <v>122</v>
      </c>
      <c r="C19" s="11" t="s">
        <v>26</v>
      </c>
      <c r="D19" s="45">
        <f t="shared" ref="D19:E24" si="1">SUMIFS($P$5:$P$8,$I$5:$I$8,$C19,$G$5:$G$8,D$11)/IF(SUMIFS($H$5:$H$8,$I$5:$I$8,$C19,$G$5:$G$8,D$11)=0,1,SUMIFS($H$5:$H$8,$I$5:$I$8,$C19,$G$5:$G$8,D$11))</f>
        <v>0</v>
      </c>
      <c r="E19" s="45">
        <f t="shared" si="1"/>
        <v>0</v>
      </c>
      <c r="F19" s="70"/>
      <c r="G19" s="70"/>
      <c r="I19" s="74"/>
    </row>
    <row r="20" spans="2:9" x14ac:dyDescent="0.25">
      <c r="B20" s="170"/>
      <c r="C20" s="11" t="s">
        <v>27</v>
      </c>
      <c r="D20" s="45">
        <f t="shared" si="1"/>
        <v>0</v>
      </c>
      <c r="E20" s="45">
        <f t="shared" si="1"/>
        <v>0</v>
      </c>
      <c r="F20" s="70"/>
      <c r="H20" s="71"/>
    </row>
    <row r="21" spans="2:9" x14ac:dyDescent="0.25">
      <c r="B21" s="170"/>
      <c r="C21" s="11" t="s">
        <v>28</v>
      </c>
      <c r="D21" s="45">
        <f t="shared" si="1"/>
        <v>0</v>
      </c>
      <c r="E21" s="45">
        <f t="shared" si="1"/>
        <v>0</v>
      </c>
      <c r="F21" s="70"/>
    </row>
    <row r="22" spans="2:9" x14ac:dyDescent="0.25">
      <c r="B22" s="170"/>
      <c r="C22" s="11" t="s">
        <v>29</v>
      </c>
      <c r="D22" s="45">
        <f t="shared" si="1"/>
        <v>0</v>
      </c>
      <c r="E22" s="45">
        <f t="shared" si="1"/>
        <v>0</v>
      </c>
      <c r="F22" s="70"/>
    </row>
    <row r="23" spans="2:9" x14ac:dyDescent="0.25">
      <c r="B23" s="170"/>
      <c r="C23" s="11" t="s">
        <v>30</v>
      </c>
      <c r="D23" s="45">
        <f t="shared" si="1"/>
        <v>0</v>
      </c>
      <c r="E23" s="45">
        <f t="shared" si="1"/>
        <v>0</v>
      </c>
      <c r="F23" s="70"/>
    </row>
    <row r="24" spans="2:9" x14ac:dyDescent="0.25">
      <c r="B24" s="170"/>
      <c r="C24" s="11" t="s">
        <v>78</v>
      </c>
      <c r="D24" s="45">
        <f t="shared" si="1"/>
        <v>0</v>
      </c>
      <c r="E24" s="45">
        <f t="shared" si="1"/>
        <v>0</v>
      </c>
    </row>
    <row r="25" spans="2:9" x14ac:dyDescent="0.25">
      <c r="B25" s="170"/>
      <c r="C25" s="11" t="s">
        <v>24</v>
      </c>
      <c r="D25" s="45">
        <f>SUMIFS($P$5:$P$8,$I$5:$I$8,$C25,$G$5:$G$8,D$11)/IF(SUMIFS($H$5:$H$8,$I$5:$I$8,$C25,$G$5:$G$8,D$11)=0,1,SUMIFS($H$5:$H$8,$I$5:$I$8,$C25,$G$5:$G$8,D$11))</f>
        <v>82.067769624573387</v>
      </c>
      <c r="E25" s="45">
        <f>SUMIFS($P$5:$P$8,$I$5:$I$8,$C25,$G$5:$G$8,E$11)/IF(SUMIFS($H$5:$H$8,$I$5:$I$8,$C25,$G$5:$G$8,E$11)=0,1,SUMIFS($H$5:$H$8,$I$5:$I$8,$C25,$G$5:$G$8,E$11))</f>
        <v>79.019904095563135</v>
      </c>
    </row>
  </sheetData>
  <mergeCells count="3">
    <mergeCell ref="B10:E10"/>
    <mergeCell ref="B12:B18"/>
    <mergeCell ref="B19:B25"/>
  </mergeCells>
  <conditionalFormatting sqref="C5:C8">
    <cfRule type="duplicateValues" dxfId="1" priority="1" stopIfTrue="1"/>
  </conditionalFormatting>
  <dataValidations disablePrompts="1" count="1">
    <dataValidation type="list" allowBlank="1" showInputMessage="1" showErrorMessage="1" sqref="I65534:I65537 WVQ983038:WVQ983041 WLU983038:WLU983041 WBY983038:WBY983041 VSC983038:VSC983041 VIG983038:VIG983041 UYK983038:UYK983041 UOO983038:UOO983041 UES983038:UES983041 TUW983038:TUW983041 TLA983038:TLA983041 TBE983038:TBE983041 SRI983038:SRI983041 SHM983038:SHM983041 RXQ983038:RXQ983041 RNU983038:RNU983041 RDY983038:RDY983041 QUC983038:QUC983041 QKG983038:QKG983041 QAK983038:QAK983041 PQO983038:PQO983041 PGS983038:PGS983041 OWW983038:OWW983041 ONA983038:ONA983041 ODE983038:ODE983041 NTI983038:NTI983041 NJM983038:NJM983041 MZQ983038:MZQ983041 MPU983038:MPU983041 MFY983038:MFY983041 LWC983038:LWC983041 LMG983038:LMG983041 LCK983038:LCK983041 KSO983038:KSO983041 KIS983038:KIS983041 JYW983038:JYW983041 JPA983038:JPA983041 JFE983038:JFE983041 IVI983038:IVI983041 ILM983038:ILM983041 IBQ983038:IBQ983041 HRU983038:HRU983041 HHY983038:HHY983041 GYC983038:GYC983041 GOG983038:GOG983041 GEK983038:GEK983041 FUO983038:FUO983041 FKS983038:FKS983041 FAW983038:FAW983041 ERA983038:ERA983041 EHE983038:EHE983041 DXI983038:DXI983041 DNM983038:DNM983041 DDQ983038:DDQ983041 CTU983038:CTU983041 CJY983038:CJY983041 CAC983038:CAC983041 BQG983038:BQG983041 BGK983038:BGK983041 AWO983038:AWO983041 AMS983038:AMS983041 ACW983038:ACW983041 TA983038:TA983041 JE983038:JE983041 I983038:I983041 WVQ917502:WVQ917505 WLU917502:WLU917505 WBY917502:WBY917505 VSC917502:VSC917505 VIG917502:VIG917505 UYK917502:UYK917505 UOO917502:UOO917505 UES917502:UES917505 TUW917502:TUW917505 TLA917502:TLA917505 TBE917502:TBE917505 SRI917502:SRI917505 SHM917502:SHM917505 RXQ917502:RXQ917505 RNU917502:RNU917505 RDY917502:RDY917505 QUC917502:QUC917505 QKG917502:QKG917505 QAK917502:QAK917505 PQO917502:PQO917505 PGS917502:PGS917505 OWW917502:OWW917505 ONA917502:ONA917505 ODE917502:ODE917505 NTI917502:NTI917505 NJM917502:NJM917505 MZQ917502:MZQ917505 MPU917502:MPU917505 MFY917502:MFY917505 LWC917502:LWC917505 LMG917502:LMG917505 LCK917502:LCK917505 KSO917502:KSO917505 KIS917502:KIS917505 JYW917502:JYW917505 JPA917502:JPA917505 JFE917502:JFE917505 IVI917502:IVI917505 ILM917502:ILM917505 IBQ917502:IBQ917505 HRU917502:HRU917505 HHY917502:HHY917505 GYC917502:GYC917505 GOG917502:GOG917505 GEK917502:GEK917505 FUO917502:FUO917505 FKS917502:FKS917505 FAW917502:FAW917505 ERA917502:ERA917505 EHE917502:EHE917505 DXI917502:DXI917505 DNM917502:DNM917505 DDQ917502:DDQ917505 CTU917502:CTU917505 CJY917502:CJY917505 CAC917502:CAC917505 BQG917502:BQG917505 BGK917502:BGK917505 AWO917502:AWO917505 AMS917502:AMS917505 ACW917502:ACW917505 TA917502:TA917505 JE917502:JE917505 I917502:I917505 WVQ851966:WVQ851969 WLU851966:WLU851969 WBY851966:WBY851969 VSC851966:VSC851969 VIG851966:VIG851969 UYK851966:UYK851969 UOO851966:UOO851969 UES851966:UES851969 TUW851966:TUW851969 TLA851966:TLA851969 TBE851966:TBE851969 SRI851966:SRI851969 SHM851966:SHM851969 RXQ851966:RXQ851969 RNU851966:RNU851969 RDY851966:RDY851969 QUC851966:QUC851969 QKG851966:QKG851969 QAK851966:QAK851969 PQO851966:PQO851969 PGS851966:PGS851969 OWW851966:OWW851969 ONA851966:ONA851969 ODE851966:ODE851969 NTI851966:NTI851969 NJM851966:NJM851969 MZQ851966:MZQ851969 MPU851966:MPU851969 MFY851966:MFY851969 LWC851966:LWC851969 LMG851966:LMG851969 LCK851966:LCK851969 KSO851966:KSO851969 KIS851966:KIS851969 JYW851966:JYW851969 JPA851966:JPA851969 JFE851966:JFE851969 IVI851966:IVI851969 ILM851966:ILM851969 IBQ851966:IBQ851969 HRU851966:HRU851969 HHY851966:HHY851969 GYC851966:GYC851969 GOG851966:GOG851969 GEK851966:GEK851969 FUO851966:FUO851969 FKS851966:FKS851969 FAW851966:FAW851969 ERA851966:ERA851969 EHE851966:EHE851969 DXI851966:DXI851969 DNM851966:DNM851969 DDQ851966:DDQ851969 CTU851966:CTU851969 CJY851966:CJY851969 CAC851966:CAC851969 BQG851966:BQG851969 BGK851966:BGK851969 AWO851966:AWO851969 AMS851966:AMS851969 ACW851966:ACW851969 TA851966:TA851969 JE851966:JE851969 I851966:I851969 WVQ786430:WVQ786433 WLU786430:WLU786433 WBY786430:WBY786433 VSC786430:VSC786433 VIG786430:VIG786433 UYK786430:UYK786433 UOO786430:UOO786433 UES786430:UES786433 TUW786430:TUW786433 TLA786430:TLA786433 TBE786430:TBE786433 SRI786430:SRI786433 SHM786430:SHM786433 RXQ786430:RXQ786433 RNU786430:RNU786433 RDY786430:RDY786433 QUC786430:QUC786433 QKG786430:QKG786433 QAK786430:QAK786433 PQO786430:PQO786433 PGS786430:PGS786433 OWW786430:OWW786433 ONA786430:ONA786433 ODE786430:ODE786433 NTI786430:NTI786433 NJM786430:NJM786433 MZQ786430:MZQ786433 MPU786430:MPU786433 MFY786430:MFY786433 LWC786430:LWC786433 LMG786430:LMG786433 LCK786430:LCK786433 KSO786430:KSO786433 KIS786430:KIS786433 JYW786430:JYW786433 JPA786430:JPA786433 JFE786430:JFE786433 IVI786430:IVI786433 ILM786430:ILM786433 IBQ786430:IBQ786433 HRU786430:HRU786433 HHY786430:HHY786433 GYC786430:GYC786433 GOG786430:GOG786433 GEK786430:GEK786433 FUO786430:FUO786433 FKS786430:FKS786433 FAW786430:FAW786433 ERA786430:ERA786433 EHE786430:EHE786433 DXI786430:DXI786433 DNM786430:DNM786433 DDQ786430:DDQ786433 CTU786430:CTU786433 CJY786430:CJY786433 CAC786430:CAC786433 BQG786430:BQG786433 BGK786430:BGK786433 AWO786430:AWO786433 AMS786430:AMS786433 ACW786430:ACW786433 TA786430:TA786433 JE786430:JE786433 I786430:I786433 WVQ720894:WVQ720897 WLU720894:WLU720897 WBY720894:WBY720897 VSC720894:VSC720897 VIG720894:VIG720897 UYK720894:UYK720897 UOO720894:UOO720897 UES720894:UES720897 TUW720894:TUW720897 TLA720894:TLA720897 TBE720894:TBE720897 SRI720894:SRI720897 SHM720894:SHM720897 RXQ720894:RXQ720897 RNU720894:RNU720897 RDY720894:RDY720897 QUC720894:QUC720897 QKG720894:QKG720897 QAK720894:QAK720897 PQO720894:PQO720897 PGS720894:PGS720897 OWW720894:OWW720897 ONA720894:ONA720897 ODE720894:ODE720897 NTI720894:NTI720897 NJM720894:NJM720897 MZQ720894:MZQ720897 MPU720894:MPU720897 MFY720894:MFY720897 LWC720894:LWC720897 LMG720894:LMG720897 LCK720894:LCK720897 KSO720894:KSO720897 KIS720894:KIS720897 JYW720894:JYW720897 JPA720894:JPA720897 JFE720894:JFE720897 IVI720894:IVI720897 ILM720894:ILM720897 IBQ720894:IBQ720897 HRU720894:HRU720897 HHY720894:HHY720897 GYC720894:GYC720897 GOG720894:GOG720897 GEK720894:GEK720897 FUO720894:FUO720897 FKS720894:FKS720897 FAW720894:FAW720897 ERA720894:ERA720897 EHE720894:EHE720897 DXI720894:DXI720897 DNM720894:DNM720897 DDQ720894:DDQ720897 CTU720894:CTU720897 CJY720894:CJY720897 CAC720894:CAC720897 BQG720894:BQG720897 BGK720894:BGK720897 AWO720894:AWO720897 AMS720894:AMS720897 ACW720894:ACW720897 TA720894:TA720897 JE720894:JE720897 I720894:I720897 WVQ655358:WVQ655361 WLU655358:WLU655361 WBY655358:WBY655361 VSC655358:VSC655361 VIG655358:VIG655361 UYK655358:UYK655361 UOO655358:UOO655361 UES655358:UES655361 TUW655358:TUW655361 TLA655358:TLA655361 TBE655358:TBE655361 SRI655358:SRI655361 SHM655358:SHM655361 RXQ655358:RXQ655361 RNU655358:RNU655361 RDY655358:RDY655361 QUC655358:QUC655361 QKG655358:QKG655361 QAK655358:QAK655361 PQO655358:PQO655361 PGS655358:PGS655361 OWW655358:OWW655361 ONA655358:ONA655361 ODE655358:ODE655361 NTI655358:NTI655361 NJM655358:NJM655361 MZQ655358:MZQ655361 MPU655358:MPU655361 MFY655358:MFY655361 LWC655358:LWC655361 LMG655358:LMG655361 LCK655358:LCK655361 KSO655358:KSO655361 KIS655358:KIS655361 JYW655358:JYW655361 JPA655358:JPA655361 JFE655358:JFE655361 IVI655358:IVI655361 ILM655358:ILM655361 IBQ655358:IBQ655361 HRU655358:HRU655361 HHY655358:HHY655361 GYC655358:GYC655361 GOG655358:GOG655361 GEK655358:GEK655361 FUO655358:FUO655361 FKS655358:FKS655361 FAW655358:FAW655361 ERA655358:ERA655361 EHE655358:EHE655361 DXI655358:DXI655361 DNM655358:DNM655361 DDQ655358:DDQ655361 CTU655358:CTU655361 CJY655358:CJY655361 CAC655358:CAC655361 BQG655358:BQG655361 BGK655358:BGK655361 AWO655358:AWO655361 AMS655358:AMS655361 ACW655358:ACW655361 TA655358:TA655361 JE655358:JE655361 I655358:I655361 WVQ589822:WVQ589825 WLU589822:WLU589825 WBY589822:WBY589825 VSC589822:VSC589825 VIG589822:VIG589825 UYK589822:UYK589825 UOO589822:UOO589825 UES589822:UES589825 TUW589822:TUW589825 TLA589822:TLA589825 TBE589822:TBE589825 SRI589822:SRI589825 SHM589822:SHM589825 RXQ589822:RXQ589825 RNU589822:RNU589825 RDY589822:RDY589825 QUC589822:QUC589825 QKG589822:QKG589825 QAK589822:QAK589825 PQO589822:PQO589825 PGS589822:PGS589825 OWW589822:OWW589825 ONA589822:ONA589825 ODE589822:ODE589825 NTI589822:NTI589825 NJM589822:NJM589825 MZQ589822:MZQ589825 MPU589822:MPU589825 MFY589822:MFY589825 LWC589822:LWC589825 LMG589822:LMG589825 LCK589822:LCK589825 KSO589822:KSO589825 KIS589822:KIS589825 JYW589822:JYW589825 JPA589822:JPA589825 JFE589822:JFE589825 IVI589822:IVI589825 ILM589822:ILM589825 IBQ589822:IBQ589825 HRU589822:HRU589825 HHY589822:HHY589825 GYC589822:GYC589825 GOG589822:GOG589825 GEK589822:GEK589825 FUO589822:FUO589825 FKS589822:FKS589825 FAW589822:FAW589825 ERA589822:ERA589825 EHE589822:EHE589825 DXI589822:DXI589825 DNM589822:DNM589825 DDQ589822:DDQ589825 CTU589822:CTU589825 CJY589822:CJY589825 CAC589822:CAC589825 BQG589822:BQG589825 BGK589822:BGK589825 AWO589822:AWO589825 AMS589822:AMS589825 ACW589822:ACW589825 TA589822:TA589825 JE589822:JE589825 I589822:I589825 WVQ524286:WVQ524289 WLU524286:WLU524289 WBY524286:WBY524289 VSC524286:VSC524289 VIG524286:VIG524289 UYK524286:UYK524289 UOO524286:UOO524289 UES524286:UES524289 TUW524286:TUW524289 TLA524286:TLA524289 TBE524286:TBE524289 SRI524286:SRI524289 SHM524286:SHM524289 RXQ524286:RXQ524289 RNU524286:RNU524289 RDY524286:RDY524289 QUC524286:QUC524289 QKG524286:QKG524289 QAK524286:QAK524289 PQO524286:PQO524289 PGS524286:PGS524289 OWW524286:OWW524289 ONA524286:ONA524289 ODE524286:ODE524289 NTI524286:NTI524289 NJM524286:NJM524289 MZQ524286:MZQ524289 MPU524286:MPU524289 MFY524286:MFY524289 LWC524286:LWC524289 LMG524286:LMG524289 LCK524286:LCK524289 KSO524286:KSO524289 KIS524286:KIS524289 JYW524286:JYW524289 JPA524286:JPA524289 JFE524286:JFE524289 IVI524286:IVI524289 ILM524286:ILM524289 IBQ524286:IBQ524289 HRU524286:HRU524289 HHY524286:HHY524289 GYC524286:GYC524289 GOG524286:GOG524289 GEK524286:GEK524289 FUO524286:FUO524289 FKS524286:FKS524289 FAW524286:FAW524289 ERA524286:ERA524289 EHE524286:EHE524289 DXI524286:DXI524289 DNM524286:DNM524289 DDQ524286:DDQ524289 CTU524286:CTU524289 CJY524286:CJY524289 CAC524286:CAC524289 BQG524286:BQG524289 BGK524286:BGK524289 AWO524286:AWO524289 AMS524286:AMS524289 ACW524286:ACW524289 TA524286:TA524289 JE524286:JE524289 I524286:I524289 WVQ458750:WVQ458753 WLU458750:WLU458753 WBY458750:WBY458753 VSC458750:VSC458753 VIG458750:VIG458753 UYK458750:UYK458753 UOO458750:UOO458753 UES458750:UES458753 TUW458750:TUW458753 TLA458750:TLA458753 TBE458750:TBE458753 SRI458750:SRI458753 SHM458750:SHM458753 RXQ458750:RXQ458753 RNU458750:RNU458753 RDY458750:RDY458753 QUC458750:QUC458753 QKG458750:QKG458753 QAK458750:QAK458753 PQO458750:PQO458753 PGS458750:PGS458753 OWW458750:OWW458753 ONA458750:ONA458753 ODE458750:ODE458753 NTI458750:NTI458753 NJM458750:NJM458753 MZQ458750:MZQ458753 MPU458750:MPU458753 MFY458750:MFY458753 LWC458750:LWC458753 LMG458750:LMG458753 LCK458750:LCK458753 KSO458750:KSO458753 KIS458750:KIS458753 JYW458750:JYW458753 JPA458750:JPA458753 JFE458750:JFE458753 IVI458750:IVI458753 ILM458750:ILM458753 IBQ458750:IBQ458753 HRU458750:HRU458753 HHY458750:HHY458753 GYC458750:GYC458753 GOG458750:GOG458753 GEK458750:GEK458753 FUO458750:FUO458753 FKS458750:FKS458753 FAW458750:FAW458753 ERA458750:ERA458753 EHE458750:EHE458753 DXI458750:DXI458753 DNM458750:DNM458753 DDQ458750:DDQ458753 CTU458750:CTU458753 CJY458750:CJY458753 CAC458750:CAC458753 BQG458750:BQG458753 BGK458750:BGK458753 AWO458750:AWO458753 AMS458750:AMS458753 ACW458750:ACW458753 TA458750:TA458753 JE458750:JE458753 I458750:I458753 WVQ393214:WVQ393217 WLU393214:WLU393217 WBY393214:WBY393217 VSC393214:VSC393217 VIG393214:VIG393217 UYK393214:UYK393217 UOO393214:UOO393217 UES393214:UES393217 TUW393214:TUW393217 TLA393214:TLA393217 TBE393214:TBE393217 SRI393214:SRI393217 SHM393214:SHM393217 RXQ393214:RXQ393217 RNU393214:RNU393217 RDY393214:RDY393217 QUC393214:QUC393217 QKG393214:QKG393217 QAK393214:QAK393217 PQO393214:PQO393217 PGS393214:PGS393217 OWW393214:OWW393217 ONA393214:ONA393217 ODE393214:ODE393217 NTI393214:NTI393217 NJM393214:NJM393217 MZQ393214:MZQ393217 MPU393214:MPU393217 MFY393214:MFY393217 LWC393214:LWC393217 LMG393214:LMG393217 LCK393214:LCK393217 KSO393214:KSO393217 KIS393214:KIS393217 JYW393214:JYW393217 JPA393214:JPA393217 JFE393214:JFE393217 IVI393214:IVI393217 ILM393214:ILM393217 IBQ393214:IBQ393217 HRU393214:HRU393217 HHY393214:HHY393217 GYC393214:GYC393217 GOG393214:GOG393217 GEK393214:GEK393217 FUO393214:FUO393217 FKS393214:FKS393217 FAW393214:FAW393217 ERA393214:ERA393217 EHE393214:EHE393217 DXI393214:DXI393217 DNM393214:DNM393217 DDQ393214:DDQ393217 CTU393214:CTU393217 CJY393214:CJY393217 CAC393214:CAC393217 BQG393214:BQG393217 BGK393214:BGK393217 AWO393214:AWO393217 AMS393214:AMS393217 ACW393214:ACW393217 TA393214:TA393217 JE393214:JE393217 I393214:I393217 WVQ327678:WVQ327681 WLU327678:WLU327681 WBY327678:WBY327681 VSC327678:VSC327681 VIG327678:VIG327681 UYK327678:UYK327681 UOO327678:UOO327681 UES327678:UES327681 TUW327678:TUW327681 TLA327678:TLA327681 TBE327678:TBE327681 SRI327678:SRI327681 SHM327678:SHM327681 RXQ327678:RXQ327681 RNU327678:RNU327681 RDY327678:RDY327681 QUC327678:QUC327681 QKG327678:QKG327681 QAK327678:QAK327681 PQO327678:PQO327681 PGS327678:PGS327681 OWW327678:OWW327681 ONA327678:ONA327681 ODE327678:ODE327681 NTI327678:NTI327681 NJM327678:NJM327681 MZQ327678:MZQ327681 MPU327678:MPU327681 MFY327678:MFY327681 LWC327678:LWC327681 LMG327678:LMG327681 LCK327678:LCK327681 KSO327678:KSO327681 KIS327678:KIS327681 JYW327678:JYW327681 JPA327678:JPA327681 JFE327678:JFE327681 IVI327678:IVI327681 ILM327678:ILM327681 IBQ327678:IBQ327681 HRU327678:HRU327681 HHY327678:HHY327681 GYC327678:GYC327681 GOG327678:GOG327681 GEK327678:GEK327681 FUO327678:FUO327681 FKS327678:FKS327681 FAW327678:FAW327681 ERA327678:ERA327681 EHE327678:EHE327681 DXI327678:DXI327681 DNM327678:DNM327681 DDQ327678:DDQ327681 CTU327678:CTU327681 CJY327678:CJY327681 CAC327678:CAC327681 BQG327678:BQG327681 BGK327678:BGK327681 AWO327678:AWO327681 AMS327678:AMS327681 ACW327678:ACW327681 TA327678:TA327681 JE327678:JE327681 I327678:I327681 WVQ262142:WVQ262145 WLU262142:WLU262145 WBY262142:WBY262145 VSC262142:VSC262145 VIG262142:VIG262145 UYK262142:UYK262145 UOO262142:UOO262145 UES262142:UES262145 TUW262142:TUW262145 TLA262142:TLA262145 TBE262142:TBE262145 SRI262142:SRI262145 SHM262142:SHM262145 RXQ262142:RXQ262145 RNU262142:RNU262145 RDY262142:RDY262145 QUC262142:QUC262145 QKG262142:QKG262145 QAK262142:QAK262145 PQO262142:PQO262145 PGS262142:PGS262145 OWW262142:OWW262145 ONA262142:ONA262145 ODE262142:ODE262145 NTI262142:NTI262145 NJM262142:NJM262145 MZQ262142:MZQ262145 MPU262142:MPU262145 MFY262142:MFY262145 LWC262142:LWC262145 LMG262142:LMG262145 LCK262142:LCK262145 KSO262142:KSO262145 KIS262142:KIS262145 JYW262142:JYW262145 JPA262142:JPA262145 JFE262142:JFE262145 IVI262142:IVI262145 ILM262142:ILM262145 IBQ262142:IBQ262145 HRU262142:HRU262145 HHY262142:HHY262145 GYC262142:GYC262145 GOG262142:GOG262145 GEK262142:GEK262145 FUO262142:FUO262145 FKS262142:FKS262145 FAW262142:FAW262145 ERA262142:ERA262145 EHE262142:EHE262145 DXI262142:DXI262145 DNM262142:DNM262145 DDQ262142:DDQ262145 CTU262142:CTU262145 CJY262142:CJY262145 CAC262142:CAC262145 BQG262142:BQG262145 BGK262142:BGK262145 AWO262142:AWO262145 AMS262142:AMS262145 ACW262142:ACW262145 TA262142:TA262145 JE262142:JE262145 I262142:I262145 WVQ196606:WVQ196609 WLU196606:WLU196609 WBY196606:WBY196609 VSC196606:VSC196609 VIG196606:VIG196609 UYK196606:UYK196609 UOO196606:UOO196609 UES196606:UES196609 TUW196606:TUW196609 TLA196606:TLA196609 TBE196606:TBE196609 SRI196606:SRI196609 SHM196606:SHM196609 RXQ196606:RXQ196609 RNU196606:RNU196609 RDY196606:RDY196609 QUC196606:QUC196609 QKG196606:QKG196609 QAK196606:QAK196609 PQO196606:PQO196609 PGS196606:PGS196609 OWW196606:OWW196609 ONA196606:ONA196609 ODE196606:ODE196609 NTI196606:NTI196609 NJM196606:NJM196609 MZQ196606:MZQ196609 MPU196606:MPU196609 MFY196606:MFY196609 LWC196606:LWC196609 LMG196606:LMG196609 LCK196606:LCK196609 KSO196606:KSO196609 KIS196606:KIS196609 JYW196606:JYW196609 JPA196606:JPA196609 JFE196606:JFE196609 IVI196606:IVI196609 ILM196606:ILM196609 IBQ196606:IBQ196609 HRU196606:HRU196609 HHY196606:HHY196609 GYC196606:GYC196609 GOG196606:GOG196609 GEK196606:GEK196609 FUO196606:FUO196609 FKS196606:FKS196609 FAW196606:FAW196609 ERA196606:ERA196609 EHE196606:EHE196609 DXI196606:DXI196609 DNM196606:DNM196609 DDQ196606:DDQ196609 CTU196606:CTU196609 CJY196606:CJY196609 CAC196606:CAC196609 BQG196606:BQG196609 BGK196606:BGK196609 AWO196606:AWO196609 AMS196606:AMS196609 ACW196606:ACW196609 TA196606:TA196609 JE196606:JE196609 I196606:I196609 WVQ131070:WVQ131073 WLU131070:WLU131073 WBY131070:WBY131073 VSC131070:VSC131073 VIG131070:VIG131073 UYK131070:UYK131073 UOO131070:UOO131073 UES131070:UES131073 TUW131070:TUW131073 TLA131070:TLA131073 TBE131070:TBE131073 SRI131070:SRI131073 SHM131070:SHM131073 RXQ131070:RXQ131073 RNU131070:RNU131073 RDY131070:RDY131073 QUC131070:QUC131073 QKG131070:QKG131073 QAK131070:QAK131073 PQO131070:PQO131073 PGS131070:PGS131073 OWW131070:OWW131073 ONA131070:ONA131073 ODE131070:ODE131073 NTI131070:NTI131073 NJM131070:NJM131073 MZQ131070:MZQ131073 MPU131070:MPU131073 MFY131070:MFY131073 LWC131070:LWC131073 LMG131070:LMG131073 LCK131070:LCK131073 KSO131070:KSO131073 KIS131070:KIS131073 JYW131070:JYW131073 JPA131070:JPA131073 JFE131070:JFE131073 IVI131070:IVI131073 ILM131070:ILM131073 IBQ131070:IBQ131073 HRU131070:HRU131073 HHY131070:HHY131073 GYC131070:GYC131073 GOG131070:GOG131073 GEK131070:GEK131073 FUO131070:FUO131073 FKS131070:FKS131073 FAW131070:FAW131073 ERA131070:ERA131073 EHE131070:EHE131073 DXI131070:DXI131073 DNM131070:DNM131073 DDQ131070:DDQ131073 CTU131070:CTU131073 CJY131070:CJY131073 CAC131070:CAC131073 BQG131070:BQG131073 BGK131070:BGK131073 AWO131070:AWO131073 AMS131070:AMS131073 ACW131070:ACW131073 TA131070:TA131073 JE131070:JE131073 I131070:I131073 WVQ65534:WVQ65537 WLU65534:WLU65537 WBY65534:WBY65537 VSC65534:VSC65537 VIG65534:VIG65537 UYK65534:UYK65537 UOO65534:UOO65537 UES65534:UES65537 TUW65534:TUW65537 TLA65534:TLA65537 TBE65534:TBE65537 SRI65534:SRI65537 SHM65534:SHM65537 RXQ65534:RXQ65537 RNU65534:RNU65537 RDY65534:RDY65537 QUC65534:QUC65537 QKG65534:QKG65537 QAK65534:QAK65537 PQO65534:PQO65537 PGS65534:PGS65537 OWW65534:OWW65537 ONA65534:ONA65537 ODE65534:ODE65537 NTI65534:NTI65537 NJM65534:NJM65537 MZQ65534:MZQ65537 MPU65534:MPU65537 MFY65534:MFY65537 LWC65534:LWC65537 LMG65534:LMG65537 LCK65534:LCK65537 KSO65534:KSO65537 KIS65534:KIS65537 JYW65534:JYW65537 JPA65534:JPA65537 JFE65534:JFE65537 IVI65534:IVI65537 ILM65534:ILM65537 IBQ65534:IBQ65537 HRU65534:HRU65537 HHY65534:HHY65537 GYC65534:GYC65537 GOG65534:GOG65537 GEK65534:GEK65537 FUO65534:FUO65537 FKS65534:FKS65537 FAW65534:FAW65537 ERA65534:ERA65537 EHE65534:EHE65537 DXI65534:DXI65537 DNM65534:DNM65537 DDQ65534:DDQ65537 CTU65534:CTU65537 CJY65534:CJY65537 CAC65534:CAC65537 BQG65534:BQG65537 BGK65534:BGK65537 AWO65534:AWO65537 AMS65534:AMS65537 ACW65534:ACW65537 TA65534:TA65537 JE65534:JE65537 WVQ5:WVQ8 WLU5:WLU8 WBY5:WBY8 VSC5:VSC8 VIG5:VIG8 UYK5:UYK8 UOO5:UOO8 UES5:UES8 TUW5:TUW8 TLA5:TLA8 TBE5:TBE8 SRI5:SRI8 SHM5:SHM8 RXQ5:RXQ8 RNU5:RNU8 RDY5:RDY8 QUC5:QUC8 QKG5:QKG8 QAK5:QAK8 PQO5:PQO8 PGS5:PGS8 OWW5:OWW8 ONA5:ONA8 ODE5:ODE8 NTI5:NTI8 NJM5:NJM8 MZQ5:MZQ8 MPU5:MPU8 MFY5:MFY8 LWC5:LWC8 LMG5:LMG8 LCK5:LCK8 KSO5:KSO8 KIS5:KIS8 JYW5:JYW8 JPA5:JPA8 JFE5:JFE8 IVI5:IVI8 ILM5:ILM8 IBQ5:IBQ8 HRU5:HRU8 HHY5:HHY8 GYC5:GYC8 GOG5:GOG8 GEK5:GEK8 FUO5:FUO8 FKS5:FKS8 FAW5:FAW8 ERA5:ERA8 EHE5:EHE8 DXI5:DXI8 DNM5:DNM8 DDQ5:DDQ8 CTU5:CTU8 CJY5:CJY8 CAC5:CAC8 BQG5:BQG8 BGK5:BGK8 AWO5:AWO8 AMS5:AMS8 ACW5:ACW8 TA5:TA8 JE5:JE8 I5:I8" xr:uid="{33693C96-75D1-49A0-96BA-0A78B463ABD9}">
      <formula1>#REF!</formula1>
    </dataValidation>
  </dataValidation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003E3-67E5-4758-9548-E8F8880468A8}">
  <sheetPr>
    <tabColor rgb="FFC2D7E0"/>
  </sheetPr>
  <dimension ref="A2:X35"/>
  <sheetViews>
    <sheetView showGridLines="0" zoomScale="80" zoomScaleNormal="80" workbookViewId="0">
      <selection activeCell="O3" sqref="O3:S3"/>
    </sheetView>
  </sheetViews>
  <sheetFormatPr defaultRowHeight="14.25" x14ac:dyDescent="0.25"/>
  <cols>
    <col min="1" max="1" width="2.85546875" style="65" customWidth="1"/>
    <col min="2" max="8" width="11.28515625" style="65" customWidth="1"/>
    <col min="9" max="9" width="10" style="65" customWidth="1"/>
    <col min="10" max="10" width="43.85546875" style="65" customWidth="1"/>
    <col min="11" max="11" width="17.42578125" style="65" customWidth="1"/>
    <col min="12" max="13" width="15.7109375" style="65" customWidth="1"/>
    <col min="14" max="14" width="9.5703125" style="65" customWidth="1"/>
    <col min="15" max="15" width="21.140625" style="65" customWidth="1"/>
    <col min="16" max="16" width="40.140625" style="65" customWidth="1"/>
    <col min="17" max="17" width="9" style="65" customWidth="1"/>
    <col min="18" max="18" width="10" style="65" customWidth="1"/>
    <col min="19" max="19" width="24.42578125" style="65" customWidth="1"/>
    <col min="20" max="20" width="9.140625" style="65"/>
    <col min="21" max="21" width="12.7109375" style="65" bestFit="1" customWidth="1"/>
    <col min="22" max="22" width="64" style="65" bestFit="1" customWidth="1"/>
    <col min="23" max="23" width="7" style="65" bestFit="1" customWidth="1"/>
    <col min="24" max="24" width="11.28515625" style="65" bestFit="1" customWidth="1"/>
    <col min="25" max="256" width="9.140625" style="65"/>
    <col min="257" max="257" width="2.85546875" style="65" customWidth="1"/>
    <col min="258" max="264" width="11.28515625" style="65" customWidth="1"/>
    <col min="265" max="265" width="10" style="65" customWidth="1"/>
    <col min="266" max="266" width="43.85546875" style="65" customWidth="1"/>
    <col min="267" max="267" width="17.42578125" style="65" customWidth="1"/>
    <col min="268" max="269" width="15.7109375" style="65" customWidth="1"/>
    <col min="270" max="270" width="9.5703125" style="65" customWidth="1"/>
    <col min="271" max="271" width="21.140625" style="65" customWidth="1"/>
    <col min="272" max="272" width="40.140625" style="65" customWidth="1"/>
    <col min="273" max="273" width="9" style="65" customWidth="1"/>
    <col min="274" max="274" width="10" style="65" customWidth="1"/>
    <col min="275" max="275" width="24.42578125" style="65" customWidth="1"/>
    <col min="276" max="276" width="9.140625" style="65"/>
    <col min="277" max="277" width="12.7109375" style="65" bestFit="1" customWidth="1"/>
    <col min="278" max="278" width="64" style="65" bestFit="1" customWidth="1"/>
    <col min="279" max="279" width="7" style="65" bestFit="1" customWidth="1"/>
    <col min="280" max="280" width="11.28515625" style="65" bestFit="1" customWidth="1"/>
    <col min="281" max="512" width="9.140625" style="65"/>
    <col min="513" max="513" width="2.85546875" style="65" customWidth="1"/>
    <col min="514" max="520" width="11.28515625" style="65" customWidth="1"/>
    <col min="521" max="521" width="10" style="65" customWidth="1"/>
    <col min="522" max="522" width="43.85546875" style="65" customWidth="1"/>
    <col min="523" max="523" width="17.42578125" style="65" customWidth="1"/>
    <col min="524" max="525" width="15.7109375" style="65" customWidth="1"/>
    <col min="526" max="526" width="9.5703125" style="65" customWidth="1"/>
    <col min="527" max="527" width="21.140625" style="65" customWidth="1"/>
    <col min="528" max="528" width="40.140625" style="65" customWidth="1"/>
    <col min="529" max="529" width="9" style="65" customWidth="1"/>
    <col min="530" max="530" width="10" style="65" customWidth="1"/>
    <col min="531" max="531" width="24.42578125" style="65" customWidth="1"/>
    <col min="532" max="532" width="9.140625" style="65"/>
    <col min="533" max="533" width="12.7109375" style="65" bestFit="1" customWidth="1"/>
    <col min="534" max="534" width="64" style="65" bestFit="1" customWidth="1"/>
    <col min="535" max="535" width="7" style="65" bestFit="1" customWidth="1"/>
    <col min="536" max="536" width="11.28515625" style="65" bestFit="1" customWidth="1"/>
    <col min="537" max="768" width="9.140625" style="65"/>
    <col min="769" max="769" width="2.85546875" style="65" customWidth="1"/>
    <col min="770" max="776" width="11.28515625" style="65" customWidth="1"/>
    <col min="777" max="777" width="10" style="65" customWidth="1"/>
    <col min="778" max="778" width="43.85546875" style="65" customWidth="1"/>
    <col min="779" max="779" width="17.42578125" style="65" customWidth="1"/>
    <col min="780" max="781" width="15.7109375" style="65" customWidth="1"/>
    <col min="782" max="782" width="9.5703125" style="65" customWidth="1"/>
    <col min="783" max="783" width="21.140625" style="65" customWidth="1"/>
    <col min="784" max="784" width="40.140625" style="65" customWidth="1"/>
    <col min="785" max="785" width="9" style="65" customWidth="1"/>
    <col min="786" max="786" width="10" style="65" customWidth="1"/>
    <col min="787" max="787" width="24.42578125" style="65" customWidth="1"/>
    <col min="788" max="788" width="9.140625" style="65"/>
    <col min="789" max="789" width="12.7109375" style="65" bestFit="1" customWidth="1"/>
    <col min="790" max="790" width="64" style="65" bestFit="1" customWidth="1"/>
    <col min="791" max="791" width="7" style="65" bestFit="1" customWidth="1"/>
    <col min="792" max="792" width="11.28515625" style="65" bestFit="1" customWidth="1"/>
    <col min="793" max="1024" width="9.140625" style="65"/>
    <col min="1025" max="1025" width="2.85546875" style="65" customWidth="1"/>
    <col min="1026" max="1032" width="11.28515625" style="65" customWidth="1"/>
    <col min="1033" max="1033" width="10" style="65" customWidth="1"/>
    <col min="1034" max="1034" width="43.85546875" style="65" customWidth="1"/>
    <col min="1035" max="1035" width="17.42578125" style="65" customWidth="1"/>
    <col min="1036" max="1037" width="15.7109375" style="65" customWidth="1"/>
    <col min="1038" max="1038" width="9.5703125" style="65" customWidth="1"/>
    <col min="1039" max="1039" width="21.140625" style="65" customWidth="1"/>
    <col min="1040" max="1040" width="40.140625" style="65" customWidth="1"/>
    <col min="1041" max="1041" width="9" style="65" customWidth="1"/>
    <col min="1042" max="1042" width="10" style="65" customWidth="1"/>
    <col min="1043" max="1043" width="24.42578125" style="65" customWidth="1"/>
    <col min="1044" max="1044" width="9.140625" style="65"/>
    <col min="1045" max="1045" width="12.7109375" style="65" bestFit="1" customWidth="1"/>
    <col min="1046" max="1046" width="64" style="65" bestFit="1" customWidth="1"/>
    <col min="1047" max="1047" width="7" style="65" bestFit="1" customWidth="1"/>
    <col min="1048" max="1048" width="11.28515625" style="65" bestFit="1" customWidth="1"/>
    <col min="1049" max="1280" width="9.140625" style="65"/>
    <col min="1281" max="1281" width="2.85546875" style="65" customWidth="1"/>
    <col min="1282" max="1288" width="11.28515625" style="65" customWidth="1"/>
    <col min="1289" max="1289" width="10" style="65" customWidth="1"/>
    <col min="1290" max="1290" width="43.85546875" style="65" customWidth="1"/>
    <col min="1291" max="1291" width="17.42578125" style="65" customWidth="1"/>
    <col min="1292" max="1293" width="15.7109375" style="65" customWidth="1"/>
    <col min="1294" max="1294" width="9.5703125" style="65" customWidth="1"/>
    <col min="1295" max="1295" width="21.140625" style="65" customWidth="1"/>
    <col min="1296" max="1296" width="40.140625" style="65" customWidth="1"/>
    <col min="1297" max="1297" width="9" style="65" customWidth="1"/>
    <col min="1298" max="1298" width="10" style="65" customWidth="1"/>
    <col min="1299" max="1299" width="24.42578125" style="65" customWidth="1"/>
    <col min="1300" max="1300" width="9.140625" style="65"/>
    <col min="1301" max="1301" width="12.7109375" style="65" bestFit="1" customWidth="1"/>
    <col min="1302" max="1302" width="64" style="65" bestFit="1" customWidth="1"/>
    <col min="1303" max="1303" width="7" style="65" bestFit="1" customWidth="1"/>
    <col min="1304" max="1304" width="11.28515625" style="65" bestFit="1" customWidth="1"/>
    <col min="1305" max="1536" width="9.140625" style="65"/>
    <col min="1537" max="1537" width="2.85546875" style="65" customWidth="1"/>
    <col min="1538" max="1544" width="11.28515625" style="65" customWidth="1"/>
    <col min="1545" max="1545" width="10" style="65" customWidth="1"/>
    <col min="1546" max="1546" width="43.85546875" style="65" customWidth="1"/>
    <col min="1547" max="1547" width="17.42578125" style="65" customWidth="1"/>
    <col min="1548" max="1549" width="15.7109375" style="65" customWidth="1"/>
    <col min="1550" max="1550" width="9.5703125" style="65" customWidth="1"/>
    <col min="1551" max="1551" width="21.140625" style="65" customWidth="1"/>
    <col min="1552" max="1552" width="40.140625" style="65" customWidth="1"/>
    <col min="1553" max="1553" width="9" style="65" customWidth="1"/>
    <col min="1554" max="1554" width="10" style="65" customWidth="1"/>
    <col min="1555" max="1555" width="24.42578125" style="65" customWidth="1"/>
    <col min="1556" max="1556" width="9.140625" style="65"/>
    <col min="1557" max="1557" width="12.7109375" style="65" bestFit="1" customWidth="1"/>
    <col min="1558" max="1558" width="64" style="65" bestFit="1" customWidth="1"/>
    <col min="1559" max="1559" width="7" style="65" bestFit="1" customWidth="1"/>
    <col min="1560" max="1560" width="11.28515625" style="65" bestFit="1" customWidth="1"/>
    <col min="1561" max="1792" width="9.140625" style="65"/>
    <col min="1793" max="1793" width="2.85546875" style="65" customWidth="1"/>
    <col min="1794" max="1800" width="11.28515625" style="65" customWidth="1"/>
    <col min="1801" max="1801" width="10" style="65" customWidth="1"/>
    <col min="1802" max="1802" width="43.85546875" style="65" customWidth="1"/>
    <col min="1803" max="1803" width="17.42578125" style="65" customWidth="1"/>
    <col min="1804" max="1805" width="15.7109375" style="65" customWidth="1"/>
    <col min="1806" max="1806" width="9.5703125" style="65" customWidth="1"/>
    <col min="1807" max="1807" width="21.140625" style="65" customWidth="1"/>
    <col min="1808" max="1808" width="40.140625" style="65" customWidth="1"/>
    <col min="1809" max="1809" width="9" style="65" customWidth="1"/>
    <col min="1810" max="1810" width="10" style="65" customWidth="1"/>
    <col min="1811" max="1811" width="24.42578125" style="65" customWidth="1"/>
    <col min="1812" max="1812" width="9.140625" style="65"/>
    <col min="1813" max="1813" width="12.7109375" style="65" bestFit="1" customWidth="1"/>
    <col min="1814" max="1814" width="64" style="65" bestFit="1" customWidth="1"/>
    <col min="1815" max="1815" width="7" style="65" bestFit="1" customWidth="1"/>
    <col min="1816" max="1816" width="11.28515625" style="65" bestFit="1" customWidth="1"/>
    <col min="1817" max="2048" width="9.140625" style="65"/>
    <col min="2049" max="2049" width="2.85546875" style="65" customWidth="1"/>
    <col min="2050" max="2056" width="11.28515625" style="65" customWidth="1"/>
    <col min="2057" max="2057" width="10" style="65" customWidth="1"/>
    <col min="2058" max="2058" width="43.85546875" style="65" customWidth="1"/>
    <col min="2059" max="2059" width="17.42578125" style="65" customWidth="1"/>
    <col min="2060" max="2061" width="15.7109375" style="65" customWidth="1"/>
    <col min="2062" max="2062" width="9.5703125" style="65" customWidth="1"/>
    <col min="2063" max="2063" width="21.140625" style="65" customWidth="1"/>
    <col min="2064" max="2064" width="40.140625" style="65" customWidth="1"/>
    <col min="2065" max="2065" width="9" style="65" customWidth="1"/>
    <col min="2066" max="2066" width="10" style="65" customWidth="1"/>
    <col min="2067" max="2067" width="24.42578125" style="65" customWidth="1"/>
    <col min="2068" max="2068" width="9.140625" style="65"/>
    <col min="2069" max="2069" width="12.7109375" style="65" bestFit="1" customWidth="1"/>
    <col min="2070" max="2070" width="64" style="65" bestFit="1" customWidth="1"/>
    <col min="2071" max="2071" width="7" style="65" bestFit="1" customWidth="1"/>
    <col min="2072" max="2072" width="11.28515625" style="65" bestFit="1" customWidth="1"/>
    <col min="2073" max="2304" width="9.140625" style="65"/>
    <col min="2305" max="2305" width="2.85546875" style="65" customWidth="1"/>
    <col min="2306" max="2312" width="11.28515625" style="65" customWidth="1"/>
    <col min="2313" max="2313" width="10" style="65" customWidth="1"/>
    <col min="2314" max="2314" width="43.85546875" style="65" customWidth="1"/>
    <col min="2315" max="2315" width="17.42578125" style="65" customWidth="1"/>
    <col min="2316" max="2317" width="15.7109375" style="65" customWidth="1"/>
    <col min="2318" max="2318" width="9.5703125" style="65" customWidth="1"/>
    <col min="2319" max="2319" width="21.140625" style="65" customWidth="1"/>
    <col min="2320" max="2320" width="40.140625" style="65" customWidth="1"/>
    <col min="2321" max="2321" width="9" style="65" customWidth="1"/>
    <col min="2322" max="2322" width="10" style="65" customWidth="1"/>
    <col min="2323" max="2323" width="24.42578125" style="65" customWidth="1"/>
    <col min="2324" max="2324" width="9.140625" style="65"/>
    <col min="2325" max="2325" width="12.7109375" style="65" bestFit="1" customWidth="1"/>
    <col min="2326" max="2326" width="64" style="65" bestFit="1" customWidth="1"/>
    <col min="2327" max="2327" width="7" style="65" bestFit="1" customWidth="1"/>
    <col min="2328" max="2328" width="11.28515625" style="65" bestFit="1" customWidth="1"/>
    <col min="2329" max="2560" width="9.140625" style="65"/>
    <col min="2561" max="2561" width="2.85546875" style="65" customWidth="1"/>
    <col min="2562" max="2568" width="11.28515625" style="65" customWidth="1"/>
    <col min="2569" max="2569" width="10" style="65" customWidth="1"/>
    <col min="2570" max="2570" width="43.85546875" style="65" customWidth="1"/>
    <col min="2571" max="2571" width="17.42578125" style="65" customWidth="1"/>
    <col min="2572" max="2573" width="15.7109375" style="65" customWidth="1"/>
    <col min="2574" max="2574" width="9.5703125" style="65" customWidth="1"/>
    <col min="2575" max="2575" width="21.140625" style="65" customWidth="1"/>
    <col min="2576" max="2576" width="40.140625" style="65" customWidth="1"/>
    <col min="2577" max="2577" width="9" style="65" customWidth="1"/>
    <col min="2578" max="2578" width="10" style="65" customWidth="1"/>
    <col min="2579" max="2579" width="24.42578125" style="65" customWidth="1"/>
    <col min="2580" max="2580" width="9.140625" style="65"/>
    <col min="2581" max="2581" width="12.7109375" style="65" bestFit="1" customWidth="1"/>
    <col min="2582" max="2582" width="64" style="65" bestFit="1" customWidth="1"/>
    <col min="2583" max="2583" width="7" style="65" bestFit="1" customWidth="1"/>
    <col min="2584" max="2584" width="11.28515625" style="65" bestFit="1" customWidth="1"/>
    <col min="2585" max="2816" width="9.140625" style="65"/>
    <col min="2817" max="2817" width="2.85546875" style="65" customWidth="1"/>
    <col min="2818" max="2824" width="11.28515625" style="65" customWidth="1"/>
    <col min="2825" max="2825" width="10" style="65" customWidth="1"/>
    <col min="2826" max="2826" width="43.85546875" style="65" customWidth="1"/>
    <col min="2827" max="2827" width="17.42578125" style="65" customWidth="1"/>
    <col min="2828" max="2829" width="15.7109375" style="65" customWidth="1"/>
    <col min="2830" max="2830" width="9.5703125" style="65" customWidth="1"/>
    <col min="2831" max="2831" width="21.140625" style="65" customWidth="1"/>
    <col min="2832" max="2832" width="40.140625" style="65" customWidth="1"/>
    <col min="2833" max="2833" width="9" style="65" customWidth="1"/>
    <col min="2834" max="2834" width="10" style="65" customWidth="1"/>
    <col min="2835" max="2835" width="24.42578125" style="65" customWidth="1"/>
    <col min="2836" max="2836" width="9.140625" style="65"/>
    <col min="2837" max="2837" width="12.7109375" style="65" bestFit="1" customWidth="1"/>
    <col min="2838" max="2838" width="64" style="65" bestFit="1" customWidth="1"/>
    <col min="2839" max="2839" width="7" style="65" bestFit="1" customWidth="1"/>
    <col min="2840" max="2840" width="11.28515625" style="65" bestFit="1" customWidth="1"/>
    <col min="2841" max="3072" width="9.140625" style="65"/>
    <col min="3073" max="3073" width="2.85546875" style="65" customWidth="1"/>
    <col min="3074" max="3080" width="11.28515625" style="65" customWidth="1"/>
    <col min="3081" max="3081" width="10" style="65" customWidth="1"/>
    <col min="3082" max="3082" width="43.85546875" style="65" customWidth="1"/>
    <col min="3083" max="3083" width="17.42578125" style="65" customWidth="1"/>
    <col min="3084" max="3085" width="15.7109375" style="65" customWidth="1"/>
    <col min="3086" max="3086" width="9.5703125" style="65" customWidth="1"/>
    <col min="3087" max="3087" width="21.140625" style="65" customWidth="1"/>
    <col min="3088" max="3088" width="40.140625" style="65" customWidth="1"/>
    <col min="3089" max="3089" width="9" style="65" customWidth="1"/>
    <col min="3090" max="3090" width="10" style="65" customWidth="1"/>
    <col min="3091" max="3091" width="24.42578125" style="65" customWidth="1"/>
    <col min="3092" max="3092" width="9.140625" style="65"/>
    <col min="3093" max="3093" width="12.7109375" style="65" bestFit="1" customWidth="1"/>
    <col min="3094" max="3094" width="64" style="65" bestFit="1" customWidth="1"/>
    <col min="3095" max="3095" width="7" style="65" bestFit="1" customWidth="1"/>
    <col min="3096" max="3096" width="11.28515625" style="65" bestFit="1" customWidth="1"/>
    <col min="3097" max="3328" width="9.140625" style="65"/>
    <col min="3329" max="3329" width="2.85546875" style="65" customWidth="1"/>
    <col min="3330" max="3336" width="11.28515625" style="65" customWidth="1"/>
    <col min="3337" max="3337" width="10" style="65" customWidth="1"/>
    <col min="3338" max="3338" width="43.85546875" style="65" customWidth="1"/>
    <col min="3339" max="3339" width="17.42578125" style="65" customWidth="1"/>
    <col min="3340" max="3341" width="15.7109375" style="65" customWidth="1"/>
    <col min="3342" max="3342" width="9.5703125" style="65" customWidth="1"/>
    <col min="3343" max="3343" width="21.140625" style="65" customWidth="1"/>
    <col min="3344" max="3344" width="40.140625" style="65" customWidth="1"/>
    <col min="3345" max="3345" width="9" style="65" customWidth="1"/>
    <col min="3346" max="3346" width="10" style="65" customWidth="1"/>
    <col min="3347" max="3347" width="24.42578125" style="65" customWidth="1"/>
    <col min="3348" max="3348" width="9.140625" style="65"/>
    <col min="3349" max="3349" width="12.7109375" style="65" bestFit="1" customWidth="1"/>
    <col min="3350" max="3350" width="64" style="65" bestFit="1" customWidth="1"/>
    <col min="3351" max="3351" width="7" style="65" bestFit="1" customWidth="1"/>
    <col min="3352" max="3352" width="11.28515625" style="65" bestFit="1" customWidth="1"/>
    <col min="3353" max="3584" width="9.140625" style="65"/>
    <col min="3585" max="3585" width="2.85546875" style="65" customWidth="1"/>
    <col min="3586" max="3592" width="11.28515625" style="65" customWidth="1"/>
    <col min="3593" max="3593" width="10" style="65" customWidth="1"/>
    <col min="3594" max="3594" width="43.85546875" style="65" customWidth="1"/>
    <col min="3595" max="3595" width="17.42578125" style="65" customWidth="1"/>
    <col min="3596" max="3597" width="15.7109375" style="65" customWidth="1"/>
    <col min="3598" max="3598" width="9.5703125" style="65" customWidth="1"/>
    <col min="3599" max="3599" width="21.140625" style="65" customWidth="1"/>
    <col min="3600" max="3600" width="40.140625" style="65" customWidth="1"/>
    <col min="3601" max="3601" width="9" style="65" customWidth="1"/>
    <col min="3602" max="3602" width="10" style="65" customWidth="1"/>
    <col min="3603" max="3603" width="24.42578125" style="65" customWidth="1"/>
    <col min="3604" max="3604" width="9.140625" style="65"/>
    <col min="3605" max="3605" width="12.7109375" style="65" bestFit="1" customWidth="1"/>
    <col min="3606" max="3606" width="64" style="65" bestFit="1" customWidth="1"/>
    <col min="3607" max="3607" width="7" style="65" bestFit="1" customWidth="1"/>
    <col min="3608" max="3608" width="11.28515625" style="65" bestFit="1" customWidth="1"/>
    <col min="3609" max="3840" width="9.140625" style="65"/>
    <col min="3841" max="3841" width="2.85546875" style="65" customWidth="1"/>
    <col min="3842" max="3848" width="11.28515625" style="65" customWidth="1"/>
    <col min="3849" max="3849" width="10" style="65" customWidth="1"/>
    <col min="3850" max="3850" width="43.85546875" style="65" customWidth="1"/>
    <col min="3851" max="3851" width="17.42578125" style="65" customWidth="1"/>
    <col min="3852" max="3853" width="15.7109375" style="65" customWidth="1"/>
    <col min="3854" max="3854" width="9.5703125" style="65" customWidth="1"/>
    <col min="3855" max="3855" width="21.140625" style="65" customWidth="1"/>
    <col min="3856" max="3856" width="40.140625" style="65" customWidth="1"/>
    <col min="3857" max="3857" width="9" style="65" customWidth="1"/>
    <col min="3858" max="3858" width="10" style="65" customWidth="1"/>
    <col min="3859" max="3859" width="24.42578125" style="65" customWidth="1"/>
    <col min="3860" max="3860" width="9.140625" style="65"/>
    <col min="3861" max="3861" width="12.7109375" style="65" bestFit="1" customWidth="1"/>
    <col min="3862" max="3862" width="64" style="65" bestFit="1" customWidth="1"/>
    <col min="3863" max="3863" width="7" style="65" bestFit="1" customWidth="1"/>
    <col min="3864" max="3864" width="11.28515625" style="65" bestFit="1" customWidth="1"/>
    <col min="3865" max="4096" width="9.140625" style="65"/>
    <col min="4097" max="4097" width="2.85546875" style="65" customWidth="1"/>
    <col min="4098" max="4104" width="11.28515625" style="65" customWidth="1"/>
    <col min="4105" max="4105" width="10" style="65" customWidth="1"/>
    <col min="4106" max="4106" width="43.85546875" style="65" customWidth="1"/>
    <col min="4107" max="4107" width="17.42578125" style="65" customWidth="1"/>
    <col min="4108" max="4109" width="15.7109375" style="65" customWidth="1"/>
    <col min="4110" max="4110" width="9.5703125" style="65" customWidth="1"/>
    <col min="4111" max="4111" width="21.140625" style="65" customWidth="1"/>
    <col min="4112" max="4112" width="40.140625" style="65" customWidth="1"/>
    <col min="4113" max="4113" width="9" style="65" customWidth="1"/>
    <col min="4114" max="4114" width="10" style="65" customWidth="1"/>
    <col min="4115" max="4115" width="24.42578125" style="65" customWidth="1"/>
    <col min="4116" max="4116" width="9.140625" style="65"/>
    <col min="4117" max="4117" width="12.7109375" style="65" bestFit="1" customWidth="1"/>
    <col min="4118" max="4118" width="64" style="65" bestFit="1" customWidth="1"/>
    <col min="4119" max="4119" width="7" style="65" bestFit="1" customWidth="1"/>
    <col min="4120" max="4120" width="11.28515625" style="65" bestFit="1" customWidth="1"/>
    <col min="4121" max="4352" width="9.140625" style="65"/>
    <col min="4353" max="4353" width="2.85546875" style="65" customWidth="1"/>
    <col min="4354" max="4360" width="11.28515625" style="65" customWidth="1"/>
    <col min="4361" max="4361" width="10" style="65" customWidth="1"/>
    <col min="4362" max="4362" width="43.85546875" style="65" customWidth="1"/>
    <col min="4363" max="4363" width="17.42578125" style="65" customWidth="1"/>
    <col min="4364" max="4365" width="15.7109375" style="65" customWidth="1"/>
    <col min="4366" max="4366" width="9.5703125" style="65" customWidth="1"/>
    <col min="4367" max="4367" width="21.140625" style="65" customWidth="1"/>
    <col min="4368" max="4368" width="40.140625" style="65" customWidth="1"/>
    <col min="4369" max="4369" width="9" style="65" customWidth="1"/>
    <col min="4370" max="4370" width="10" style="65" customWidth="1"/>
    <col min="4371" max="4371" width="24.42578125" style="65" customWidth="1"/>
    <col min="4372" max="4372" width="9.140625" style="65"/>
    <col min="4373" max="4373" width="12.7109375" style="65" bestFit="1" customWidth="1"/>
    <col min="4374" max="4374" width="64" style="65" bestFit="1" customWidth="1"/>
    <col min="4375" max="4375" width="7" style="65" bestFit="1" customWidth="1"/>
    <col min="4376" max="4376" width="11.28515625" style="65" bestFit="1" customWidth="1"/>
    <col min="4377" max="4608" width="9.140625" style="65"/>
    <col min="4609" max="4609" width="2.85546875" style="65" customWidth="1"/>
    <col min="4610" max="4616" width="11.28515625" style="65" customWidth="1"/>
    <col min="4617" max="4617" width="10" style="65" customWidth="1"/>
    <col min="4618" max="4618" width="43.85546875" style="65" customWidth="1"/>
    <col min="4619" max="4619" width="17.42578125" style="65" customWidth="1"/>
    <col min="4620" max="4621" width="15.7109375" style="65" customWidth="1"/>
    <col min="4622" max="4622" width="9.5703125" style="65" customWidth="1"/>
    <col min="4623" max="4623" width="21.140625" style="65" customWidth="1"/>
    <col min="4624" max="4624" width="40.140625" style="65" customWidth="1"/>
    <col min="4625" max="4625" width="9" style="65" customWidth="1"/>
    <col min="4626" max="4626" width="10" style="65" customWidth="1"/>
    <col min="4627" max="4627" width="24.42578125" style="65" customWidth="1"/>
    <col min="4628" max="4628" width="9.140625" style="65"/>
    <col min="4629" max="4629" width="12.7109375" style="65" bestFit="1" customWidth="1"/>
    <col min="4630" max="4630" width="64" style="65" bestFit="1" customWidth="1"/>
    <col min="4631" max="4631" width="7" style="65" bestFit="1" customWidth="1"/>
    <col min="4632" max="4632" width="11.28515625" style="65" bestFit="1" customWidth="1"/>
    <col min="4633" max="4864" width="9.140625" style="65"/>
    <col min="4865" max="4865" width="2.85546875" style="65" customWidth="1"/>
    <col min="4866" max="4872" width="11.28515625" style="65" customWidth="1"/>
    <col min="4873" max="4873" width="10" style="65" customWidth="1"/>
    <col min="4874" max="4874" width="43.85546875" style="65" customWidth="1"/>
    <col min="4875" max="4875" width="17.42578125" style="65" customWidth="1"/>
    <col min="4876" max="4877" width="15.7109375" style="65" customWidth="1"/>
    <col min="4878" max="4878" width="9.5703125" style="65" customWidth="1"/>
    <col min="4879" max="4879" width="21.140625" style="65" customWidth="1"/>
    <col min="4880" max="4880" width="40.140625" style="65" customWidth="1"/>
    <col min="4881" max="4881" width="9" style="65" customWidth="1"/>
    <col min="4882" max="4882" width="10" style="65" customWidth="1"/>
    <col min="4883" max="4883" width="24.42578125" style="65" customWidth="1"/>
    <col min="4884" max="4884" width="9.140625" style="65"/>
    <col min="4885" max="4885" width="12.7109375" style="65" bestFit="1" customWidth="1"/>
    <col min="4886" max="4886" width="64" style="65" bestFit="1" customWidth="1"/>
    <col min="4887" max="4887" width="7" style="65" bestFit="1" customWidth="1"/>
    <col min="4888" max="4888" width="11.28515625" style="65" bestFit="1" customWidth="1"/>
    <col min="4889" max="5120" width="9.140625" style="65"/>
    <col min="5121" max="5121" width="2.85546875" style="65" customWidth="1"/>
    <col min="5122" max="5128" width="11.28515625" style="65" customWidth="1"/>
    <col min="5129" max="5129" width="10" style="65" customWidth="1"/>
    <col min="5130" max="5130" width="43.85546875" style="65" customWidth="1"/>
    <col min="5131" max="5131" width="17.42578125" style="65" customWidth="1"/>
    <col min="5132" max="5133" width="15.7109375" style="65" customWidth="1"/>
    <col min="5134" max="5134" width="9.5703125" style="65" customWidth="1"/>
    <col min="5135" max="5135" width="21.140625" style="65" customWidth="1"/>
    <col min="5136" max="5136" width="40.140625" style="65" customWidth="1"/>
    <col min="5137" max="5137" width="9" style="65" customWidth="1"/>
    <col min="5138" max="5138" width="10" style="65" customWidth="1"/>
    <col min="5139" max="5139" width="24.42578125" style="65" customWidth="1"/>
    <col min="5140" max="5140" width="9.140625" style="65"/>
    <col min="5141" max="5141" width="12.7109375" style="65" bestFit="1" customWidth="1"/>
    <col min="5142" max="5142" width="64" style="65" bestFit="1" customWidth="1"/>
    <col min="5143" max="5143" width="7" style="65" bestFit="1" customWidth="1"/>
    <col min="5144" max="5144" width="11.28515625" style="65" bestFit="1" customWidth="1"/>
    <col min="5145" max="5376" width="9.140625" style="65"/>
    <col min="5377" max="5377" width="2.85546875" style="65" customWidth="1"/>
    <col min="5378" max="5384" width="11.28515625" style="65" customWidth="1"/>
    <col min="5385" max="5385" width="10" style="65" customWidth="1"/>
    <col min="5386" max="5386" width="43.85546875" style="65" customWidth="1"/>
    <col min="5387" max="5387" width="17.42578125" style="65" customWidth="1"/>
    <col min="5388" max="5389" width="15.7109375" style="65" customWidth="1"/>
    <col min="5390" max="5390" width="9.5703125" style="65" customWidth="1"/>
    <col min="5391" max="5391" width="21.140625" style="65" customWidth="1"/>
    <col min="5392" max="5392" width="40.140625" style="65" customWidth="1"/>
    <col min="5393" max="5393" width="9" style="65" customWidth="1"/>
    <col min="5394" max="5394" width="10" style="65" customWidth="1"/>
    <col min="5395" max="5395" width="24.42578125" style="65" customWidth="1"/>
    <col min="5396" max="5396" width="9.140625" style="65"/>
    <col min="5397" max="5397" width="12.7109375" style="65" bestFit="1" customWidth="1"/>
    <col min="5398" max="5398" width="64" style="65" bestFit="1" customWidth="1"/>
    <col min="5399" max="5399" width="7" style="65" bestFit="1" customWidth="1"/>
    <col min="5400" max="5400" width="11.28515625" style="65" bestFit="1" customWidth="1"/>
    <col min="5401" max="5632" width="9.140625" style="65"/>
    <col min="5633" max="5633" width="2.85546875" style="65" customWidth="1"/>
    <col min="5634" max="5640" width="11.28515625" style="65" customWidth="1"/>
    <col min="5641" max="5641" width="10" style="65" customWidth="1"/>
    <col min="5642" max="5642" width="43.85546875" style="65" customWidth="1"/>
    <col min="5643" max="5643" width="17.42578125" style="65" customWidth="1"/>
    <col min="5644" max="5645" width="15.7109375" style="65" customWidth="1"/>
    <col min="5646" max="5646" width="9.5703125" style="65" customWidth="1"/>
    <col min="5647" max="5647" width="21.140625" style="65" customWidth="1"/>
    <col min="5648" max="5648" width="40.140625" style="65" customWidth="1"/>
    <col min="5649" max="5649" width="9" style="65" customWidth="1"/>
    <col min="5650" max="5650" width="10" style="65" customWidth="1"/>
    <col min="5651" max="5651" width="24.42578125" style="65" customWidth="1"/>
    <col min="5652" max="5652" width="9.140625" style="65"/>
    <col min="5653" max="5653" width="12.7109375" style="65" bestFit="1" customWidth="1"/>
    <col min="5654" max="5654" width="64" style="65" bestFit="1" customWidth="1"/>
    <col min="5655" max="5655" width="7" style="65" bestFit="1" customWidth="1"/>
    <col min="5656" max="5656" width="11.28515625" style="65" bestFit="1" customWidth="1"/>
    <col min="5657" max="5888" width="9.140625" style="65"/>
    <col min="5889" max="5889" width="2.85546875" style="65" customWidth="1"/>
    <col min="5890" max="5896" width="11.28515625" style="65" customWidth="1"/>
    <col min="5897" max="5897" width="10" style="65" customWidth="1"/>
    <col min="5898" max="5898" width="43.85546875" style="65" customWidth="1"/>
    <col min="5899" max="5899" width="17.42578125" style="65" customWidth="1"/>
    <col min="5900" max="5901" width="15.7109375" style="65" customWidth="1"/>
    <col min="5902" max="5902" width="9.5703125" style="65" customWidth="1"/>
    <col min="5903" max="5903" width="21.140625" style="65" customWidth="1"/>
    <col min="5904" max="5904" width="40.140625" style="65" customWidth="1"/>
    <col min="5905" max="5905" width="9" style="65" customWidth="1"/>
    <col min="5906" max="5906" width="10" style="65" customWidth="1"/>
    <col min="5907" max="5907" width="24.42578125" style="65" customWidth="1"/>
    <col min="5908" max="5908" width="9.140625" style="65"/>
    <col min="5909" max="5909" width="12.7109375" style="65" bestFit="1" customWidth="1"/>
    <col min="5910" max="5910" width="64" style="65" bestFit="1" customWidth="1"/>
    <col min="5911" max="5911" width="7" style="65" bestFit="1" customWidth="1"/>
    <col min="5912" max="5912" width="11.28515625" style="65" bestFit="1" customWidth="1"/>
    <col min="5913" max="6144" width="9.140625" style="65"/>
    <col min="6145" max="6145" width="2.85546875" style="65" customWidth="1"/>
    <col min="6146" max="6152" width="11.28515625" style="65" customWidth="1"/>
    <col min="6153" max="6153" width="10" style="65" customWidth="1"/>
    <col min="6154" max="6154" width="43.85546875" style="65" customWidth="1"/>
    <col min="6155" max="6155" width="17.42578125" style="65" customWidth="1"/>
    <col min="6156" max="6157" width="15.7109375" style="65" customWidth="1"/>
    <col min="6158" max="6158" width="9.5703125" style="65" customWidth="1"/>
    <col min="6159" max="6159" width="21.140625" style="65" customWidth="1"/>
    <col min="6160" max="6160" width="40.140625" style="65" customWidth="1"/>
    <col min="6161" max="6161" width="9" style="65" customWidth="1"/>
    <col min="6162" max="6162" width="10" style="65" customWidth="1"/>
    <col min="6163" max="6163" width="24.42578125" style="65" customWidth="1"/>
    <col min="6164" max="6164" width="9.140625" style="65"/>
    <col min="6165" max="6165" width="12.7109375" style="65" bestFit="1" customWidth="1"/>
    <col min="6166" max="6166" width="64" style="65" bestFit="1" customWidth="1"/>
    <col min="6167" max="6167" width="7" style="65" bestFit="1" customWidth="1"/>
    <col min="6168" max="6168" width="11.28515625" style="65" bestFit="1" customWidth="1"/>
    <col min="6169" max="6400" width="9.140625" style="65"/>
    <col min="6401" max="6401" width="2.85546875" style="65" customWidth="1"/>
    <col min="6402" max="6408" width="11.28515625" style="65" customWidth="1"/>
    <col min="6409" max="6409" width="10" style="65" customWidth="1"/>
    <col min="6410" max="6410" width="43.85546875" style="65" customWidth="1"/>
    <col min="6411" max="6411" width="17.42578125" style="65" customWidth="1"/>
    <col min="6412" max="6413" width="15.7109375" style="65" customWidth="1"/>
    <col min="6414" max="6414" width="9.5703125" style="65" customWidth="1"/>
    <col min="6415" max="6415" width="21.140625" style="65" customWidth="1"/>
    <col min="6416" max="6416" width="40.140625" style="65" customWidth="1"/>
    <col min="6417" max="6417" width="9" style="65" customWidth="1"/>
    <col min="6418" max="6418" width="10" style="65" customWidth="1"/>
    <col min="6419" max="6419" width="24.42578125" style="65" customWidth="1"/>
    <col min="6420" max="6420" width="9.140625" style="65"/>
    <col min="6421" max="6421" width="12.7109375" style="65" bestFit="1" customWidth="1"/>
    <col min="6422" max="6422" width="64" style="65" bestFit="1" customWidth="1"/>
    <col min="6423" max="6423" width="7" style="65" bestFit="1" customWidth="1"/>
    <col min="6424" max="6424" width="11.28515625" style="65" bestFit="1" customWidth="1"/>
    <col min="6425" max="6656" width="9.140625" style="65"/>
    <col min="6657" max="6657" width="2.85546875" style="65" customWidth="1"/>
    <col min="6658" max="6664" width="11.28515625" style="65" customWidth="1"/>
    <col min="6665" max="6665" width="10" style="65" customWidth="1"/>
    <col min="6666" max="6666" width="43.85546875" style="65" customWidth="1"/>
    <col min="6667" max="6667" width="17.42578125" style="65" customWidth="1"/>
    <col min="6668" max="6669" width="15.7109375" style="65" customWidth="1"/>
    <col min="6670" max="6670" width="9.5703125" style="65" customWidth="1"/>
    <col min="6671" max="6671" width="21.140625" style="65" customWidth="1"/>
    <col min="6672" max="6672" width="40.140625" style="65" customWidth="1"/>
    <col min="6673" max="6673" width="9" style="65" customWidth="1"/>
    <col min="6674" max="6674" width="10" style="65" customWidth="1"/>
    <col min="6675" max="6675" width="24.42578125" style="65" customWidth="1"/>
    <col min="6676" max="6676" width="9.140625" style="65"/>
    <col min="6677" max="6677" width="12.7109375" style="65" bestFit="1" customWidth="1"/>
    <col min="6678" max="6678" width="64" style="65" bestFit="1" customWidth="1"/>
    <col min="6679" max="6679" width="7" style="65" bestFit="1" customWidth="1"/>
    <col min="6680" max="6680" width="11.28515625" style="65" bestFit="1" customWidth="1"/>
    <col min="6681" max="6912" width="9.140625" style="65"/>
    <col min="6913" max="6913" width="2.85546875" style="65" customWidth="1"/>
    <col min="6914" max="6920" width="11.28515625" style="65" customWidth="1"/>
    <col min="6921" max="6921" width="10" style="65" customWidth="1"/>
    <col min="6922" max="6922" width="43.85546875" style="65" customWidth="1"/>
    <col min="6923" max="6923" width="17.42578125" style="65" customWidth="1"/>
    <col min="6924" max="6925" width="15.7109375" style="65" customWidth="1"/>
    <col min="6926" max="6926" width="9.5703125" style="65" customWidth="1"/>
    <col min="6927" max="6927" width="21.140625" style="65" customWidth="1"/>
    <col min="6928" max="6928" width="40.140625" style="65" customWidth="1"/>
    <col min="6929" max="6929" width="9" style="65" customWidth="1"/>
    <col min="6930" max="6930" width="10" style="65" customWidth="1"/>
    <col min="6931" max="6931" width="24.42578125" style="65" customWidth="1"/>
    <col min="6932" max="6932" width="9.140625" style="65"/>
    <col min="6933" max="6933" width="12.7109375" style="65" bestFit="1" customWidth="1"/>
    <col min="6934" max="6934" width="64" style="65" bestFit="1" customWidth="1"/>
    <col min="6935" max="6935" width="7" style="65" bestFit="1" customWidth="1"/>
    <col min="6936" max="6936" width="11.28515625" style="65" bestFit="1" customWidth="1"/>
    <col min="6937" max="7168" width="9.140625" style="65"/>
    <col min="7169" max="7169" width="2.85546875" style="65" customWidth="1"/>
    <col min="7170" max="7176" width="11.28515625" style="65" customWidth="1"/>
    <col min="7177" max="7177" width="10" style="65" customWidth="1"/>
    <col min="7178" max="7178" width="43.85546875" style="65" customWidth="1"/>
    <col min="7179" max="7179" width="17.42578125" style="65" customWidth="1"/>
    <col min="7180" max="7181" width="15.7109375" style="65" customWidth="1"/>
    <col min="7182" max="7182" width="9.5703125" style="65" customWidth="1"/>
    <col min="7183" max="7183" width="21.140625" style="65" customWidth="1"/>
    <col min="7184" max="7184" width="40.140625" style="65" customWidth="1"/>
    <col min="7185" max="7185" width="9" style="65" customWidth="1"/>
    <col min="7186" max="7186" width="10" style="65" customWidth="1"/>
    <col min="7187" max="7187" width="24.42578125" style="65" customWidth="1"/>
    <col min="7188" max="7188" width="9.140625" style="65"/>
    <col min="7189" max="7189" width="12.7109375" style="65" bestFit="1" customWidth="1"/>
    <col min="7190" max="7190" width="64" style="65" bestFit="1" customWidth="1"/>
    <col min="7191" max="7191" width="7" style="65" bestFit="1" customWidth="1"/>
    <col min="7192" max="7192" width="11.28515625" style="65" bestFit="1" customWidth="1"/>
    <col min="7193" max="7424" width="9.140625" style="65"/>
    <col min="7425" max="7425" width="2.85546875" style="65" customWidth="1"/>
    <col min="7426" max="7432" width="11.28515625" style="65" customWidth="1"/>
    <col min="7433" max="7433" width="10" style="65" customWidth="1"/>
    <col min="7434" max="7434" width="43.85546875" style="65" customWidth="1"/>
    <col min="7435" max="7435" width="17.42578125" style="65" customWidth="1"/>
    <col min="7436" max="7437" width="15.7109375" style="65" customWidth="1"/>
    <col min="7438" max="7438" width="9.5703125" style="65" customWidth="1"/>
    <col min="7439" max="7439" width="21.140625" style="65" customWidth="1"/>
    <col min="7440" max="7440" width="40.140625" style="65" customWidth="1"/>
    <col min="7441" max="7441" width="9" style="65" customWidth="1"/>
    <col min="7442" max="7442" width="10" style="65" customWidth="1"/>
    <col min="7443" max="7443" width="24.42578125" style="65" customWidth="1"/>
    <col min="7444" max="7444" width="9.140625" style="65"/>
    <col min="7445" max="7445" width="12.7109375" style="65" bestFit="1" customWidth="1"/>
    <col min="7446" max="7446" width="64" style="65" bestFit="1" customWidth="1"/>
    <col min="7447" max="7447" width="7" style="65" bestFit="1" customWidth="1"/>
    <col min="7448" max="7448" width="11.28515625" style="65" bestFit="1" customWidth="1"/>
    <col min="7449" max="7680" width="9.140625" style="65"/>
    <col min="7681" max="7681" width="2.85546875" style="65" customWidth="1"/>
    <col min="7682" max="7688" width="11.28515625" style="65" customWidth="1"/>
    <col min="7689" max="7689" width="10" style="65" customWidth="1"/>
    <col min="7690" max="7690" width="43.85546875" style="65" customWidth="1"/>
    <col min="7691" max="7691" width="17.42578125" style="65" customWidth="1"/>
    <col min="7692" max="7693" width="15.7109375" style="65" customWidth="1"/>
    <col min="7694" max="7694" width="9.5703125" style="65" customWidth="1"/>
    <col min="7695" max="7695" width="21.140625" style="65" customWidth="1"/>
    <col min="7696" max="7696" width="40.140625" style="65" customWidth="1"/>
    <col min="7697" max="7697" width="9" style="65" customWidth="1"/>
    <col min="7698" max="7698" width="10" style="65" customWidth="1"/>
    <col min="7699" max="7699" width="24.42578125" style="65" customWidth="1"/>
    <col min="7700" max="7700" width="9.140625" style="65"/>
    <col min="7701" max="7701" width="12.7109375" style="65" bestFit="1" customWidth="1"/>
    <col min="7702" max="7702" width="64" style="65" bestFit="1" customWidth="1"/>
    <col min="7703" max="7703" width="7" style="65" bestFit="1" customWidth="1"/>
    <col min="7704" max="7704" width="11.28515625" style="65" bestFit="1" customWidth="1"/>
    <col min="7705" max="7936" width="9.140625" style="65"/>
    <col min="7937" max="7937" width="2.85546875" style="65" customWidth="1"/>
    <col min="7938" max="7944" width="11.28515625" style="65" customWidth="1"/>
    <col min="7945" max="7945" width="10" style="65" customWidth="1"/>
    <col min="7946" max="7946" width="43.85546875" style="65" customWidth="1"/>
    <col min="7947" max="7947" width="17.42578125" style="65" customWidth="1"/>
    <col min="7948" max="7949" width="15.7109375" style="65" customWidth="1"/>
    <col min="7950" max="7950" width="9.5703125" style="65" customWidth="1"/>
    <col min="7951" max="7951" width="21.140625" style="65" customWidth="1"/>
    <col min="7952" max="7952" width="40.140625" style="65" customWidth="1"/>
    <col min="7953" max="7953" width="9" style="65" customWidth="1"/>
    <col min="7954" max="7954" width="10" style="65" customWidth="1"/>
    <col min="7955" max="7955" width="24.42578125" style="65" customWidth="1"/>
    <col min="7956" max="7956" width="9.140625" style="65"/>
    <col min="7957" max="7957" width="12.7109375" style="65" bestFit="1" customWidth="1"/>
    <col min="7958" max="7958" width="64" style="65" bestFit="1" customWidth="1"/>
    <col min="7959" max="7959" width="7" style="65" bestFit="1" customWidth="1"/>
    <col min="7960" max="7960" width="11.28515625" style="65" bestFit="1" customWidth="1"/>
    <col min="7961" max="8192" width="9.140625" style="65"/>
    <col min="8193" max="8193" width="2.85546875" style="65" customWidth="1"/>
    <col min="8194" max="8200" width="11.28515625" style="65" customWidth="1"/>
    <col min="8201" max="8201" width="10" style="65" customWidth="1"/>
    <col min="8202" max="8202" width="43.85546875" style="65" customWidth="1"/>
    <col min="8203" max="8203" width="17.42578125" style="65" customWidth="1"/>
    <col min="8204" max="8205" width="15.7109375" style="65" customWidth="1"/>
    <col min="8206" max="8206" width="9.5703125" style="65" customWidth="1"/>
    <col min="8207" max="8207" width="21.140625" style="65" customWidth="1"/>
    <col min="8208" max="8208" width="40.140625" style="65" customWidth="1"/>
    <col min="8209" max="8209" width="9" style="65" customWidth="1"/>
    <col min="8210" max="8210" width="10" style="65" customWidth="1"/>
    <col min="8211" max="8211" width="24.42578125" style="65" customWidth="1"/>
    <col min="8212" max="8212" width="9.140625" style="65"/>
    <col min="8213" max="8213" width="12.7109375" style="65" bestFit="1" customWidth="1"/>
    <col min="8214" max="8214" width="64" style="65" bestFit="1" customWidth="1"/>
    <col min="8215" max="8215" width="7" style="65" bestFit="1" customWidth="1"/>
    <col min="8216" max="8216" width="11.28515625" style="65" bestFit="1" customWidth="1"/>
    <col min="8217" max="8448" width="9.140625" style="65"/>
    <col min="8449" max="8449" width="2.85546875" style="65" customWidth="1"/>
    <col min="8450" max="8456" width="11.28515625" style="65" customWidth="1"/>
    <col min="8457" max="8457" width="10" style="65" customWidth="1"/>
    <col min="8458" max="8458" width="43.85546875" style="65" customWidth="1"/>
    <col min="8459" max="8459" width="17.42578125" style="65" customWidth="1"/>
    <col min="8460" max="8461" width="15.7109375" style="65" customWidth="1"/>
    <col min="8462" max="8462" width="9.5703125" style="65" customWidth="1"/>
    <col min="8463" max="8463" width="21.140625" style="65" customWidth="1"/>
    <col min="8464" max="8464" width="40.140625" style="65" customWidth="1"/>
    <col min="8465" max="8465" width="9" style="65" customWidth="1"/>
    <col min="8466" max="8466" width="10" style="65" customWidth="1"/>
    <col min="8467" max="8467" width="24.42578125" style="65" customWidth="1"/>
    <col min="8468" max="8468" width="9.140625" style="65"/>
    <col min="8469" max="8469" width="12.7109375" style="65" bestFit="1" customWidth="1"/>
    <col min="8470" max="8470" width="64" style="65" bestFit="1" customWidth="1"/>
    <col min="8471" max="8471" width="7" style="65" bestFit="1" customWidth="1"/>
    <col min="8472" max="8472" width="11.28515625" style="65" bestFit="1" customWidth="1"/>
    <col min="8473" max="8704" width="9.140625" style="65"/>
    <col min="8705" max="8705" width="2.85546875" style="65" customWidth="1"/>
    <col min="8706" max="8712" width="11.28515625" style="65" customWidth="1"/>
    <col min="8713" max="8713" width="10" style="65" customWidth="1"/>
    <col min="8714" max="8714" width="43.85546875" style="65" customWidth="1"/>
    <col min="8715" max="8715" width="17.42578125" style="65" customWidth="1"/>
    <col min="8716" max="8717" width="15.7109375" style="65" customWidth="1"/>
    <col min="8718" max="8718" width="9.5703125" style="65" customWidth="1"/>
    <col min="8719" max="8719" width="21.140625" style="65" customWidth="1"/>
    <col min="8720" max="8720" width="40.140625" style="65" customWidth="1"/>
    <col min="8721" max="8721" width="9" style="65" customWidth="1"/>
    <col min="8722" max="8722" width="10" style="65" customWidth="1"/>
    <col min="8723" max="8723" width="24.42578125" style="65" customWidth="1"/>
    <col min="8724" max="8724" width="9.140625" style="65"/>
    <col min="8725" max="8725" width="12.7109375" style="65" bestFit="1" customWidth="1"/>
    <col min="8726" max="8726" width="64" style="65" bestFit="1" customWidth="1"/>
    <col min="8727" max="8727" width="7" style="65" bestFit="1" customWidth="1"/>
    <col min="8728" max="8728" width="11.28515625" style="65" bestFit="1" customWidth="1"/>
    <col min="8729" max="8960" width="9.140625" style="65"/>
    <col min="8961" max="8961" width="2.85546875" style="65" customWidth="1"/>
    <col min="8962" max="8968" width="11.28515625" style="65" customWidth="1"/>
    <col min="8969" max="8969" width="10" style="65" customWidth="1"/>
    <col min="8970" max="8970" width="43.85546875" style="65" customWidth="1"/>
    <col min="8971" max="8971" width="17.42578125" style="65" customWidth="1"/>
    <col min="8972" max="8973" width="15.7109375" style="65" customWidth="1"/>
    <col min="8974" max="8974" width="9.5703125" style="65" customWidth="1"/>
    <col min="8975" max="8975" width="21.140625" style="65" customWidth="1"/>
    <col min="8976" max="8976" width="40.140625" style="65" customWidth="1"/>
    <col min="8977" max="8977" width="9" style="65" customWidth="1"/>
    <col min="8978" max="8978" width="10" style="65" customWidth="1"/>
    <col min="8979" max="8979" width="24.42578125" style="65" customWidth="1"/>
    <col min="8980" max="8980" width="9.140625" style="65"/>
    <col min="8981" max="8981" width="12.7109375" style="65" bestFit="1" customWidth="1"/>
    <col min="8982" max="8982" width="64" style="65" bestFit="1" customWidth="1"/>
    <col min="8983" max="8983" width="7" style="65" bestFit="1" customWidth="1"/>
    <col min="8984" max="8984" width="11.28515625" style="65" bestFit="1" customWidth="1"/>
    <col min="8985" max="9216" width="9.140625" style="65"/>
    <col min="9217" max="9217" width="2.85546875" style="65" customWidth="1"/>
    <col min="9218" max="9224" width="11.28515625" style="65" customWidth="1"/>
    <col min="9225" max="9225" width="10" style="65" customWidth="1"/>
    <col min="9226" max="9226" width="43.85546875" style="65" customWidth="1"/>
    <col min="9227" max="9227" width="17.42578125" style="65" customWidth="1"/>
    <col min="9228" max="9229" width="15.7109375" style="65" customWidth="1"/>
    <col min="9230" max="9230" width="9.5703125" style="65" customWidth="1"/>
    <col min="9231" max="9231" width="21.140625" style="65" customWidth="1"/>
    <col min="9232" max="9232" width="40.140625" style="65" customWidth="1"/>
    <col min="9233" max="9233" width="9" style="65" customWidth="1"/>
    <col min="9234" max="9234" width="10" style="65" customWidth="1"/>
    <col min="9235" max="9235" width="24.42578125" style="65" customWidth="1"/>
    <col min="9236" max="9236" width="9.140625" style="65"/>
    <col min="9237" max="9237" width="12.7109375" style="65" bestFit="1" customWidth="1"/>
    <col min="9238" max="9238" width="64" style="65" bestFit="1" customWidth="1"/>
    <col min="9239" max="9239" width="7" style="65" bestFit="1" customWidth="1"/>
    <col min="9240" max="9240" width="11.28515625" style="65" bestFit="1" customWidth="1"/>
    <col min="9241" max="9472" width="9.140625" style="65"/>
    <col min="9473" max="9473" width="2.85546875" style="65" customWidth="1"/>
    <col min="9474" max="9480" width="11.28515625" style="65" customWidth="1"/>
    <col min="9481" max="9481" width="10" style="65" customWidth="1"/>
    <col min="9482" max="9482" width="43.85546875" style="65" customWidth="1"/>
    <col min="9483" max="9483" width="17.42578125" style="65" customWidth="1"/>
    <col min="9484" max="9485" width="15.7109375" style="65" customWidth="1"/>
    <col min="9486" max="9486" width="9.5703125" style="65" customWidth="1"/>
    <col min="9487" max="9487" width="21.140625" style="65" customWidth="1"/>
    <col min="9488" max="9488" width="40.140625" style="65" customWidth="1"/>
    <col min="9489" max="9489" width="9" style="65" customWidth="1"/>
    <col min="9490" max="9490" width="10" style="65" customWidth="1"/>
    <col min="9491" max="9491" width="24.42578125" style="65" customWidth="1"/>
    <col min="9492" max="9492" width="9.140625" style="65"/>
    <col min="9493" max="9493" width="12.7109375" style="65" bestFit="1" customWidth="1"/>
    <col min="9494" max="9494" width="64" style="65" bestFit="1" customWidth="1"/>
    <col min="9495" max="9495" width="7" style="65" bestFit="1" customWidth="1"/>
    <col min="9496" max="9496" width="11.28515625" style="65" bestFit="1" customWidth="1"/>
    <col min="9497" max="9728" width="9.140625" style="65"/>
    <col min="9729" max="9729" width="2.85546875" style="65" customWidth="1"/>
    <col min="9730" max="9736" width="11.28515625" style="65" customWidth="1"/>
    <col min="9737" max="9737" width="10" style="65" customWidth="1"/>
    <col min="9738" max="9738" width="43.85546875" style="65" customWidth="1"/>
    <col min="9739" max="9739" width="17.42578125" style="65" customWidth="1"/>
    <col min="9740" max="9741" width="15.7109375" style="65" customWidth="1"/>
    <col min="9742" max="9742" width="9.5703125" style="65" customWidth="1"/>
    <col min="9743" max="9743" width="21.140625" style="65" customWidth="1"/>
    <col min="9744" max="9744" width="40.140625" style="65" customWidth="1"/>
    <col min="9745" max="9745" width="9" style="65" customWidth="1"/>
    <col min="9746" max="9746" width="10" style="65" customWidth="1"/>
    <col min="9747" max="9747" width="24.42578125" style="65" customWidth="1"/>
    <col min="9748" max="9748" width="9.140625" style="65"/>
    <col min="9749" max="9749" width="12.7109375" style="65" bestFit="1" customWidth="1"/>
    <col min="9750" max="9750" width="64" style="65" bestFit="1" customWidth="1"/>
    <col min="9751" max="9751" width="7" style="65" bestFit="1" customWidth="1"/>
    <col min="9752" max="9752" width="11.28515625" style="65" bestFit="1" customWidth="1"/>
    <col min="9753" max="9984" width="9.140625" style="65"/>
    <col min="9985" max="9985" width="2.85546875" style="65" customWidth="1"/>
    <col min="9986" max="9992" width="11.28515625" style="65" customWidth="1"/>
    <col min="9993" max="9993" width="10" style="65" customWidth="1"/>
    <col min="9994" max="9994" width="43.85546875" style="65" customWidth="1"/>
    <col min="9995" max="9995" width="17.42578125" style="65" customWidth="1"/>
    <col min="9996" max="9997" width="15.7109375" style="65" customWidth="1"/>
    <col min="9998" max="9998" width="9.5703125" style="65" customWidth="1"/>
    <col min="9999" max="9999" width="21.140625" style="65" customWidth="1"/>
    <col min="10000" max="10000" width="40.140625" style="65" customWidth="1"/>
    <col min="10001" max="10001" width="9" style="65" customWidth="1"/>
    <col min="10002" max="10002" width="10" style="65" customWidth="1"/>
    <col min="10003" max="10003" width="24.42578125" style="65" customWidth="1"/>
    <col min="10004" max="10004" width="9.140625" style="65"/>
    <col min="10005" max="10005" width="12.7109375" style="65" bestFit="1" customWidth="1"/>
    <col min="10006" max="10006" width="64" style="65" bestFit="1" customWidth="1"/>
    <col min="10007" max="10007" width="7" style="65" bestFit="1" customWidth="1"/>
    <col min="10008" max="10008" width="11.28515625" style="65" bestFit="1" customWidth="1"/>
    <col min="10009" max="10240" width="9.140625" style="65"/>
    <col min="10241" max="10241" width="2.85546875" style="65" customWidth="1"/>
    <col min="10242" max="10248" width="11.28515625" style="65" customWidth="1"/>
    <col min="10249" max="10249" width="10" style="65" customWidth="1"/>
    <col min="10250" max="10250" width="43.85546875" style="65" customWidth="1"/>
    <col min="10251" max="10251" width="17.42578125" style="65" customWidth="1"/>
    <col min="10252" max="10253" width="15.7109375" style="65" customWidth="1"/>
    <col min="10254" max="10254" width="9.5703125" style="65" customWidth="1"/>
    <col min="10255" max="10255" width="21.140625" style="65" customWidth="1"/>
    <col min="10256" max="10256" width="40.140625" style="65" customWidth="1"/>
    <col min="10257" max="10257" width="9" style="65" customWidth="1"/>
    <col min="10258" max="10258" width="10" style="65" customWidth="1"/>
    <col min="10259" max="10259" width="24.42578125" style="65" customWidth="1"/>
    <col min="10260" max="10260" width="9.140625" style="65"/>
    <col min="10261" max="10261" width="12.7109375" style="65" bestFit="1" customWidth="1"/>
    <col min="10262" max="10262" width="64" style="65" bestFit="1" customWidth="1"/>
    <col min="10263" max="10263" width="7" style="65" bestFit="1" customWidth="1"/>
    <col min="10264" max="10264" width="11.28515625" style="65" bestFit="1" customWidth="1"/>
    <col min="10265" max="10496" width="9.140625" style="65"/>
    <col min="10497" max="10497" width="2.85546875" style="65" customWidth="1"/>
    <col min="10498" max="10504" width="11.28515625" style="65" customWidth="1"/>
    <col min="10505" max="10505" width="10" style="65" customWidth="1"/>
    <col min="10506" max="10506" width="43.85546875" style="65" customWidth="1"/>
    <col min="10507" max="10507" width="17.42578125" style="65" customWidth="1"/>
    <col min="10508" max="10509" width="15.7109375" style="65" customWidth="1"/>
    <col min="10510" max="10510" width="9.5703125" style="65" customWidth="1"/>
    <col min="10511" max="10511" width="21.140625" style="65" customWidth="1"/>
    <col min="10512" max="10512" width="40.140625" style="65" customWidth="1"/>
    <col min="10513" max="10513" width="9" style="65" customWidth="1"/>
    <col min="10514" max="10514" width="10" style="65" customWidth="1"/>
    <col min="10515" max="10515" width="24.42578125" style="65" customWidth="1"/>
    <col min="10516" max="10516" width="9.140625" style="65"/>
    <col min="10517" max="10517" width="12.7109375" style="65" bestFit="1" customWidth="1"/>
    <col min="10518" max="10518" width="64" style="65" bestFit="1" customWidth="1"/>
    <col min="10519" max="10519" width="7" style="65" bestFit="1" customWidth="1"/>
    <col min="10520" max="10520" width="11.28515625" style="65" bestFit="1" customWidth="1"/>
    <col min="10521" max="10752" width="9.140625" style="65"/>
    <col min="10753" max="10753" width="2.85546875" style="65" customWidth="1"/>
    <col min="10754" max="10760" width="11.28515625" style="65" customWidth="1"/>
    <col min="10761" max="10761" width="10" style="65" customWidth="1"/>
    <col min="10762" max="10762" width="43.85546875" style="65" customWidth="1"/>
    <col min="10763" max="10763" width="17.42578125" style="65" customWidth="1"/>
    <col min="10764" max="10765" width="15.7109375" style="65" customWidth="1"/>
    <col min="10766" max="10766" width="9.5703125" style="65" customWidth="1"/>
    <col min="10767" max="10767" width="21.140625" style="65" customWidth="1"/>
    <col min="10768" max="10768" width="40.140625" style="65" customWidth="1"/>
    <col min="10769" max="10769" width="9" style="65" customWidth="1"/>
    <col min="10770" max="10770" width="10" style="65" customWidth="1"/>
    <col min="10771" max="10771" width="24.42578125" style="65" customWidth="1"/>
    <col min="10772" max="10772" width="9.140625" style="65"/>
    <col min="10773" max="10773" width="12.7109375" style="65" bestFit="1" customWidth="1"/>
    <col min="10774" max="10774" width="64" style="65" bestFit="1" customWidth="1"/>
    <col min="10775" max="10775" width="7" style="65" bestFit="1" customWidth="1"/>
    <col min="10776" max="10776" width="11.28515625" style="65" bestFit="1" customWidth="1"/>
    <col min="10777" max="11008" width="9.140625" style="65"/>
    <col min="11009" max="11009" width="2.85546875" style="65" customWidth="1"/>
    <col min="11010" max="11016" width="11.28515625" style="65" customWidth="1"/>
    <col min="11017" max="11017" width="10" style="65" customWidth="1"/>
    <col min="11018" max="11018" width="43.85546875" style="65" customWidth="1"/>
    <col min="11019" max="11019" width="17.42578125" style="65" customWidth="1"/>
    <col min="11020" max="11021" width="15.7109375" style="65" customWidth="1"/>
    <col min="11022" max="11022" width="9.5703125" style="65" customWidth="1"/>
    <col min="11023" max="11023" width="21.140625" style="65" customWidth="1"/>
    <col min="11024" max="11024" width="40.140625" style="65" customWidth="1"/>
    <col min="11025" max="11025" width="9" style="65" customWidth="1"/>
    <col min="11026" max="11026" width="10" style="65" customWidth="1"/>
    <col min="11027" max="11027" width="24.42578125" style="65" customWidth="1"/>
    <col min="11028" max="11028" width="9.140625" style="65"/>
    <col min="11029" max="11029" width="12.7109375" style="65" bestFit="1" customWidth="1"/>
    <col min="11030" max="11030" width="64" style="65" bestFit="1" customWidth="1"/>
    <col min="11031" max="11031" width="7" style="65" bestFit="1" customWidth="1"/>
    <col min="11032" max="11032" width="11.28515625" style="65" bestFit="1" customWidth="1"/>
    <col min="11033" max="11264" width="9.140625" style="65"/>
    <col min="11265" max="11265" width="2.85546875" style="65" customWidth="1"/>
    <col min="11266" max="11272" width="11.28515625" style="65" customWidth="1"/>
    <col min="11273" max="11273" width="10" style="65" customWidth="1"/>
    <col min="11274" max="11274" width="43.85546875" style="65" customWidth="1"/>
    <col min="11275" max="11275" width="17.42578125" style="65" customWidth="1"/>
    <col min="11276" max="11277" width="15.7109375" style="65" customWidth="1"/>
    <col min="11278" max="11278" width="9.5703125" style="65" customWidth="1"/>
    <col min="11279" max="11279" width="21.140625" style="65" customWidth="1"/>
    <col min="11280" max="11280" width="40.140625" style="65" customWidth="1"/>
    <col min="11281" max="11281" width="9" style="65" customWidth="1"/>
    <col min="11282" max="11282" width="10" style="65" customWidth="1"/>
    <col min="11283" max="11283" width="24.42578125" style="65" customWidth="1"/>
    <col min="11284" max="11284" width="9.140625" style="65"/>
    <col min="11285" max="11285" width="12.7109375" style="65" bestFit="1" customWidth="1"/>
    <col min="11286" max="11286" width="64" style="65" bestFit="1" customWidth="1"/>
    <col min="11287" max="11287" width="7" style="65" bestFit="1" customWidth="1"/>
    <col min="11288" max="11288" width="11.28515625" style="65" bestFit="1" customWidth="1"/>
    <col min="11289" max="11520" width="9.140625" style="65"/>
    <col min="11521" max="11521" width="2.85546875" style="65" customWidth="1"/>
    <col min="11522" max="11528" width="11.28515625" style="65" customWidth="1"/>
    <col min="11529" max="11529" width="10" style="65" customWidth="1"/>
    <col min="11530" max="11530" width="43.85546875" style="65" customWidth="1"/>
    <col min="11531" max="11531" width="17.42578125" style="65" customWidth="1"/>
    <col min="11532" max="11533" width="15.7109375" style="65" customWidth="1"/>
    <col min="11534" max="11534" width="9.5703125" style="65" customWidth="1"/>
    <col min="11535" max="11535" width="21.140625" style="65" customWidth="1"/>
    <col min="11536" max="11536" width="40.140625" style="65" customWidth="1"/>
    <col min="11537" max="11537" width="9" style="65" customWidth="1"/>
    <col min="11538" max="11538" width="10" style="65" customWidth="1"/>
    <col min="11539" max="11539" width="24.42578125" style="65" customWidth="1"/>
    <col min="11540" max="11540" width="9.140625" style="65"/>
    <col min="11541" max="11541" width="12.7109375" style="65" bestFit="1" customWidth="1"/>
    <col min="11542" max="11542" width="64" style="65" bestFit="1" customWidth="1"/>
    <col min="11543" max="11543" width="7" style="65" bestFit="1" customWidth="1"/>
    <col min="11544" max="11544" width="11.28515625" style="65" bestFit="1" customWidth="1"/>
    <col min="11545" max="11776" width="9.140625" style="65"/>
    <col min="11777" max="11777" width="2.85546875" style="65" customWidth="1"/>
    <col min="11778" max="11784" width="11.28515625" style="65" customWidth="1"/>
    <col min="11785" max="11785" width="10" style="65" customWidth="1"/>
    <col min="11786" max="11786" width="43.85546875" style="65" customWidth="1"/>
    <col min="11787" max="11787" width="17.42578125" style="65" customWidth="1"/>
    <col min="11788" max="11789" width="15.7109375" style="65" customWidth="1"/>
    <col min="11790" max="11790" width="9.5703125" style="65" customWidth="1"/>
    <col min="11791" max="11791" width="21.140625" style="65" customWidth="1"/>
    <col min="11792" max="11792" width="40.140625" style="65" customWidth="1"/>
    <col min="11793" max="11793" width="9" style="65" customWidth="1"/>
    <col min="11794" max="11794" width="10" style="65" customWidth="1"/>
    <col min="11795" max="11795" width="24.42578125" style="65" customWidth="1"/>
    <col min="11796" max="11796" width="9.140625" style="65"/>
    <col min="11797" max="11797" width="12.7109375" style="65" bestFit="1" customWidth="1"/>
    <col min="11798" max="11798" width="64" style="65" bestFit="1" customWidth="1"/>
    <col min="11799" max="11799" width="7" style="65" bestFit="1" customWidth="1"/>
    <col min="11800" max="11800" width="11.28515625" style="65" bestFit="1" customWidth="1"/>
    <col min="11801" max="12032" width="9.140625" style="65"/>
    <col min="12033" max="12033" width="2.85546875" style="65" customWidth="1"/>
    <col min="12034" max="12040" width="11.28515625" style="65" customWidth="1"/>
    <col min="12041" max="12041" width="10" style="65" customWidth="1"/>
    <col min="12042" max="12042" width="43.85546875" style="65" customWidth="1"/>
    <col min="12043" max="12043" width="17.42578125" style="65" customWidth="1"/>
    <col min="12044" max="12045" width="15.7109375" style="65" customWidth="1"/>
    <col min="12046" max="12046" width="9.5703125" style="65" customWidth="1"/>
    <col min="12047" max="12047" width="21.140625" style="65" customWidth="1"/>
    <col min="12048" max="12048" width="40.140625" style="65" customWidth="1"/>
    <col min="12049" max="12049" width="9" style="65" customWidth="1"/>
    <col min="12050" max="12050" width="10" style="65" customWidth="1"/>
    <col min="12051" max="12051" width="24.42578125" style="65" customWidth="1"/>
    <col min="12052" max="12052" width="9.140625" style="65"/>
    <col min="12053" max="12053" width="12.7109375" style="65" bestFit="1" customWidth="1"/>
    <col min="12054" max="12054" width="64" style="65" bestFit="1" customWidth="1"/>
    <col min="12055" max="12055" width="7" style="65" bestFit="1" customWidth="1"/>
    <col min="12056" max="12056" width="11.28515625" style="65" bestFit="1" customWidth="1"/>
    <col min="12057" max="12288" width="9.140625" style="65"/>
    <col min="12289" max="12289" width="2.85546875" style="65" customWidth="1"/>
    <col min="12290" max="12296" width="11.28515625" style="65" customWidth="1"/>
    <col min="12297" max="12297" width="10" style="65" customWidth="1"/>
    <col min="12298" max="12298" width="43.85546875" style="65" customWidth="1"/>
    <col min="12299" max="12299" width="17.42578125" style="65" customWidth="1"/>
    <col min="12300" max="12301" width="15.7109375" style="65" customWidth="1"/>
    <col min="12302" max="12302" width="9.5703125" style="65" customWidth="1"/>
    <col min="12303" max="12303" width="21.140625" style="65" customWidth="1"/>
    <col min="12304" max="12304" width="40.140625" style="65" customWidth="1"/>
    <col min="12305" max="12305" width="9" style="65" customWidth="1"/>
    <col min="12306" max="12306" width="10" style="65" customWidth="1"/>
    <col min="12307" max="12307" width="24.42578125" style="65" customWidth="1"/>
    <col min="12308" max="12308" width="9.140625" style="65"/>
    <col min="12309" max="12309" width="12.7109375" style="65" bestFit="1" customWidth="1"/>
    <col min="12310" max="12310" width="64" style="65" bestFit="1" customWidth="1"/>
    <col min="12311" max="12311" width="7" style="65" bestFit="1" customWidth="1"/>
    <col min="12312" max="12312" width="11.28515625" style="65" bestFit="1" customWidth="1"/>
    <col min="12313" max="12544" width="9.140625" style="65"/>
    <col min="12545" max="12545" width="2.85546875" style="65" customWidth="1"/>
    <col min="12546" max="12552" width="11.28515625" style="65" customWidth="1"/>
    <col min="12553" max="12553" width="10" style="65" customWidth="1"/>
    <col min="12554" max="12554" width="43.85546875" style="65" customWidth="1"/>
    <col min="12555" max="12555" width="17.42578125" style="65" customWidth="1"/>
    <col min="12556" max="12557" width="15.7109375" style="65" customWidth="1"/>
    <col min="12558" max="12558" width="9.5703125" style="65" customWidth="1"/>
    <col min="12559" max="12559" width="21.140625" style="65" customWidth="1"/>
    <col min="12560" max="12560" width="40.140625" style="65" customWidth="1"/>
    <col min="12561" max="12561" width="9" style="65" customWidth="1"/>
    <col min="12562" max="12562" width="10" style="65" customWidth="1"/>
    <col min="12563" max="12563" width="24.42578125" style="65" customWidth="1"/>
    <col min="12564" max="12564" width="9.140625" style="65"/>
    <col min="12565" max="12565" width="12.7109375" style="65" bestFit="1" customWidth="1"/>
    <col min="12566" max="12566" width="64" style="65" bestFit="1" customWidth="1"/>
    <col min="12567" max="12567" width="7" style="65" bestFit="1" customWidth="1"/>
    <col min="12568" max="12568" width="11.28515625" style="65" bestFit="1" customWidth="1"/>
    <col min="12569" max="12800" width="9.140625" style="65"/>
    <col min="12801" max="12801" width="2.85546875" style="65" customWidth="1"/>
    <col min="12802" max="12808" width="11.28515625" style="65" customWidth="1"/>
    <col min="12809" max="12809" width="10" style="65" customWidth="1"/>
    <col min="12810" max="12810" width="43.85546875" style="65" customWidth="1"/>
    <col min="12811" max="12811" width="17.42578125" style="65" customWidth="1"/>
    <col min="12812" max="12813" width="15.7109375" style="65" customWidth="1"/>
    <col min="12814" max="12814" width="9.5703125" style="65" customWidth="1"/>
    <col min="12815" max="12815" width="21.140625" style="65" customWidth="1"/>
    <col min="12816" max="12816" width="40.140625" style="65" customWidth="1"/>
    <col min="12817" max="12817" width="9" style="65" customWidth="1"/>
    <col min="12818" max="12818" width="10" style="65" customWidth="1"/>
    <col min="12819" max="12819" width="24.42578125" style="65" customWidth="1"/>
    <col min="12820" max="12820" width="9.140625" style="65"/>
    <col min="12821" max="12821" width="12.7109375" style="65" bestFit="1" customWidth="1"/>
    <col min="12822" max="12822" width="64" style="65" bestFit="1" customWidth="1"/>
    <col min="12823" max="12823" width="7" style="65" bestFit="1" customWidth="1"/>
    <col min="12824" max="12824" width="11.28515625" style="65" bestFit="1" customWidth="1"/>
    <col min="12825" max="13056" width="9.140625" style="65"/>
    <col min="13057" max="13057" width="2.85546875" style="65" customWidth="1"/>
    <col min="13058" max="13064" width="11.28515625" style="65" customWidth="1"/>
    <col min="13065" max="13065" width="10" style="65" customWidth="1"/>
    <col min="13066" max="13066" width="43.85546875" style="65" customWidth="1"/>
    <col min="13067" max="13067" width="17.42578125" style="65" customWidth="1"/>
    <col min="13068" max="13069" width="15.7109375" style="65" customWidth="1"/>
    <col min="13070" max="13070" width="9.5703125" style="65" customWidth="1"/>
    <col min="13071" max="13071" width="21.140625" style="65" customWidth="1"/>
    <col min="13072" max="13072" width="40.140625" style="65" customWidth="1"/>
    <col min="13073" max="13073" width="9" style="65" customWidth="1"/>
    <col min="13074" max="13074" width="10" style="65" customWidth="1"/>
    <col min="13075" max="13075" width="24.42578125" style="65" customWidth="1"/>
    <col min="13076" max="13076" width="9.140625" style="65"/>
    <col min="13077" max="13077" width="12.7109375" style="65" bestFit="1" customWidth="1"/>
    <col min="13078" max="13078" width="64" style="65" bestFit="1" customWidth="1"/>
    <col min="13079" max="13079" width="7" style="65" bestFit="1" customWidth="1"/>
    <col min="13080" max="13080" width="11.28515625" style="65" bestFit="1" customWidth="1"/>
    <col min="13081" max="13312" width="9.140625" style="65"/>
    <col min="13313" max="13313" width="2.85546875" style="65" customWidth="1"/>
    <col min="13314" max="13320" width="11.28515625" style="65" customWidth="1"/>
    <col min="13321" max="13321" width="10" style="65" customWidth="1"/>
    <col min="13322" max="13322" width="43.85546875" style="65" customWidth="1"/>
    <col min="13323" max="13323" width="17.42578125" style="65" customWidth="1"/>
    <col min="13324" max="13325" width="15.7109375" style="65" customWidth="1"/>
    <col min="13326" max="13326" width="9.5703125" style="65" customWidth="1"/>
    <col min="13327" max="13327" width="21.140625" style="65" customWidth="1"/>
    <col min="13328" max="13328" width="40.140625" style="65" customWidth="1"/>
    <col min="13329" max="13329" width="9" style="65" customWidth="1"/>
    <col min="13330" max="13330" width="10" style="65" customWidth="1"/>
    <col min="13331" max="13331" width="24.42578125" style="65" customWidth="1"/>
    <col min="13332" max="13332" width="9.140625" style="65"/>
    <col min="13333" max="13333" width="12.7109375" style="65" bestFit="1" customWidth="1"/>
    <col min="13334" max="13334" width="64" style="65" bestFit="1" customWidth="1"/>
    <col min="13335" max="13335" width="7" style="65" bestFit="1" customWidth="1"/>
    <col min="13336" max="13336" width="11.28515625" style="65" bestFit="1" customWidth="1"/>
    <col min="13337" max="13568" width="9.140625" style="65"/>
    <col min="13569" max="13569" width="2.85546875" style="65" customWidth="1"/>
    <col min="13570" max="13576" width="11.28515625" style="65" customWidth="1"/>
    <col min="13577" max="13577" width="10" style="65" customWidth="1"/>
    <col min="13578" max="13578" width="43.85546875" style="65" customWidth="1"/>
    <col min="13579" max="13579" width="17.42578125" style="65" customWidth="1"/>
    <col min="13580" max="13581" width="15.7109375" style="65" customWidth="1"/>
    <col min="13582" max="13582" width="9.5703125" style="65" customWidth="1"/>
    <col min="13583" max="13583" width="21.140625" style="65" customWidth="1"/>
    <col min="13584" max="13584" width="40.140625" style="65" customWidth="1"/>
    <col min="13585" max="13585" width="9" style="65" customWidth="1"/>
    <col min="13586" max="13586" width="10" style="65" customWidth="1"/>
    <col min="13587" max="13587" width="24.42578125" style="65" customWidth="1"/>
    <col min="13588" max="13588" width="9.140625" style="65"/>
    <col min="13589" max="13589" width="12.7109375" style="65" bestFit="1" customWidth="1"/>
    <col min="13590" max="13590" width="64" style="65" bestFit="1" customWidth="1"/>
    <col min="13591" max="13591" width="7" style="65" bestFit="1" customWidth="1"/>
    <col min="13592" max="13592" width="11.28515625" style="65" bestFit="1" customWidth="1"/>
    <col min="13593" max="13824" width="9.140625" style="65"/>
    <col min="13825" max="13825" width="2.85546875" style="65" customWidth="1"/>
    <col min="13826" max="13832" width="11.28515625" style="65" customWidth="1"/>
    <col min="13833" max="13833" width="10" style="65" customWidth="1"/>
    <col min="13834" max="13834" width="43.85546875" style="65" customWidth="1"/>
    <col min="13835" max="13835" width="17.42578125" style="65" customWidth="1"/>
    <col min="13836" max="13837" width="15.7109375" style="65" customWidth="1"/>
    <col min="13838" max="13838" width="9.5703125" style="65" customWidth="1"/>
    <col min="13839" max="13839" width="21.140625" style="65" customWidth="1"/>
    <col min="13840" max="13840" width="40.140625" style="65" customWidth="1"/>
    <col min="13841" max="13841" width="9" style="65" customWidth="1"/>
    <col min="13842" max="13842" width="10" style="65" customWidth="1"/>
    <col min="13843" max="13843" width="24.42578125" style="65" customWidth="1"/>
    <col min="13844" max="13844" width="9.140625" style="65"/>
    <col min="13845" max="13845" width="12.7109375" style="65" bestFit="1" customWidth="1"/>
    <col min="13846" max="13846" width="64" style="65" bestFit="1" customWidth="1"/>
    <col min="13847" max="13847" width="7" style="65" bestFit="1" customWidth="1"/>
    <col min="13848" max="13848" width="11.28515625" style="65" bestFit="1" customWidth="1"/>
    <col min="13849" max="14080" width="9.140625" style="65"/>
    <col min="14081" max="14081" width="2.85546875" style="65" customWidth="1"/>
    <col min="14082" max="14088" width="11.28515625" style="65" customWidth="1"/>
    <col min="14089" max="14089" width="10" style="65" customWidth="1"/>
    <col min="14090" max="14090" width="43.85546875" style="65" customWidth="1"/>
    <col min="14091" max="14091" width="17.42578125" style="65" customWidth="1"/>
    <col min="14092" max="14093" width="15.7109375" style="65" customWidth="1"/>
    <col min="14094" max="14094" width="9.5703125" style="65" customWidth="1"/>
    <col min="14095" max="14095" width="21.140625" style="65" customWidth="1"/>
    <col min="14096" max="14096" width="40.140625" style="65" customWidth="1"/>
    <col min="14097" max="14097" width="9" style="65" customWidth="1"/>
    <col min="14098" max="14098" width="10" style="65" customWidth="1"/>
    <col min="14099" max="14099" width="24.42578125" style="65" customWidth="1"/>
    <col min="14100" max="14100" width="9.140625" style="65"/>
    <col min="14101" max="14101" width="12.7109375" style="65" bestFit="1" customWidth="1"/>
    <col min="14102" max="14102" width="64" style="65" bestFit="1" customWidth="1"/>
    <col min="14103" max="14103" width="7" style="65" bestFit="1" customWidth="1"/>
    <col min="14104" max="14104" width="11.28515625" style="65" bestFit="1" customWidth="1"/>
    <col min="14105" max="14336" width="9.140625" style="65"/>
    <col min="14337" max="14337" width="2.85546875" style="65" customWidth="1"/>
    <col min="14338" max="14344" width="11.28515625" style="65" customWidth="1"/>
    <col min="14345" max="14345" width="10" style="65" customWidth="1"/>
    <col min="14346" max="14346" width="43.85546875" style="65" customWidth="1"/>
    <col min="14347" max="14347" width="17.42578125" style="65" customWidth="1"/>
    <col min="14348" max="14349" width="15.7109375" style="65" customWidth="1"/>
    <col min="14350" max="14350" width="9.5703125" style="65" customWidth="1"/>
    <col min="14351" max="14351" width="21.140625" style="65" customWidth="1"/>
    <col min="14352" max="14352" width="40.140625" style="65" customWidth="1"/>
    <col min="14353" max="14353" width="9" style="65" customWidth="1"/>
    <col min="14354" max="14354" width="10" style="65" customWidth="1"/>
    <col min="14355" max="14355" width="24.42578125" style="65" customWidth="1"/>
    <col min="14356" max="14356" width="9.140625" style="65"/>
    <col min="14357" max="14357" width="12.7109375" style="65" bestFit="1" customWidth="1"/>
    <col min="14358" max="14358" width="64" style="65" bestFit="1" customWidth="1"/>
    <col min="14359" max="14359" width="7" style="65" bestFit="1" customWidth="1"/>
    <col min="14360" max="14360" width="11.28515625" style="65" bestFit="1" customWidth="1"/>
    <col min="14361" max="14592" width="9.140625" style="65"/>
    <col min="14593" max="14593" width="2.85546875" style="65" customWidth="1"/>
    <col min="14594" max="14600" width="11.28515625" style="65" customWidth="1"/>
    <col min="14601" max="14601" width="10" style="65" customWidth="1"/>
    <col min="14602" max="14602" width="43.85546875" style="65" customWidth="1"/>
    <col min="14603" max="14603" width="17.42578125" style="65" customWidth="1"/>
    <col min="14604" max="14605" width="15.7109375" style="65" customWidth="1"/>
    <col min="14606" max="14606" width="9.5703125" style="65" customWidth="1"/>
    <col min="14607" max="14607" width="21.140625" style="65" customWidth="1"/>
    <col min="14608" max="14608" width="40.140625" style="65" customWidth="1"/>
    <col min="14609" max="14609" width="9" style="65" customWidth="1"/>
    <col min="14610" max="14610" width="10" style="65" customWidth="1"/>
    <col min="14611" max="14611" width="24.42578125" style="65" customWidth="1"/>
    <col min="14612" max="14612" width="9.140625" style="65"/>
    <col min="14613" max="14613" width="12.7109375" style="65" bestFit="1" customWidth="1"/>
    <col min="14614" max="14614" width="64" style="65" bestFit="1" customWidth="1"/>
    <col min="14615" max="14615" width="7" style="65" bestFit="1" customWidth="1"/>
    <col min="14616" max="14616" width="11.28515625" style="65" bestFit="1" customWidth="1"/>
    <col min="14617" max="14848" width="9.140625" style="65"/>
    <col min="14849" max="14849" width="2.85546875" style="65" customWidth="1"/>
    <col min="14850" max="14856" width="11.28515625" style="65" customWidth="1"/>
    <col min="14857" max="14857" width="10" style="65" customWidth="1"/>
    <col min="14858" max="14858" width="43.85546875" style="65" customWidth="1"/>
    <col min="14859" max="14859" width="17.42578125" style="65" customWidth="1"/>
    <col min="14860" max="14861" width="15.7109375" style="65" customWidth="1"/>
    <col min="14862" max="14862" width="9.5703125" style="65" customWidth="1"/>
    <col min="14863" max="14863" width="21.140625" style="65" customWidth="1"/>
    <col min="14864" max="14864" width="40.140625" style="65" customWidth="1"/>
    <col min="14865" max="14865" width="9" style="65" customWidth="1"/>
    <col min="14866" max="14866" width="10" style="65" customWidth="1"/>
    <col min="14867" max="14867" width="24.42578125" style="65" customWidth="1"/>
    <col min="14868" max="14868" width="9.140625" style="65"/>
    <col min="14869" max="14869" width="12.7109375" style="65" bestFit="1" customWidth="1"/>
    <col min="14870" max="14870" width="64" style="65" bestFit="1" customWidth="1"/>
    <col min="14871" max="14871" width="7" style="65" bestFit="1" customWidth="1"/>
    <col min="14872" max="14872" width="11.28515625" style="65" bestFit="1" customWidth="1"/>
    <col min="14873" max="15104" width="9.140625" style="65"/>
    <col min="15105" max="15105" width="2.85546875" style="65" customWidth="1"/>
    <col min="15106" max="15112" width="11.28515625" style="65" customWidth="1"/>
    <col min="15113" max="15113" width="10" style="65" customWidth="1"/>
    <col min="15114" max="15114" width="43.85546875" style="65" customWidth="1"/>
    <col min="15115" max="15115" width="17.42578125" style="65" customWidth="1"/>
    <col min="15116" max="15117" width="15.7109375" style="65" customWidth="1"/>
    <col min="15118" max="15118" width="9.5703125" style="65" customWidth="1"/>
    <col min="15119" max="15119" width="21.140625" style="65" customWidth="1"/>
    <col min="15120" max="15120" width="40.140625" style="65" customWidth="1"/>
    <col min="15121" max="15121" width="9" style="65" customWidth="1"/>
    <col min="15122" max="15122" width="10" style="65" customWidth="1"/>
    <col min="15123" max="15123" width="24.42578125" style="65" customWidth="1"/>
    <col min="15124" max="15124" width="9.140625" style="65"/>
    <col min="15125" max="15125" width="12.7109375" style="65" bestFit="1" customWidth="1"/>
    <col min="15126" max="15126" width="64" style="65" bestFit="1" customWidth="1"/>
    <col min="15127" max="15127" width="7" style="65" bestFit="1" customWidth="1"/>
    <col min="15128" max="15128" width="11.28515625" style="65" bestFit="1" customWidth="1"/>
    <col min="15129" max="15360" width="9.140625" style="65"/>
    <col min="15361" max="15361" width="2.85546875" style="65" customWidth="1"/>
    <col min="15362" max="15368" width="11.28515625" style="65" customWidth="1"/>
    <col min="15369" max="15369" width="10" style="65" customWidth="1"/>
    <col min="15370" max="15370" width="43.85546875" style="65" customWidth="1"/>
    <col min="15371" max="15371" width="17.42578125" style="65" customWidth="1"/>
    <col min="15372" max="15373" width="15.7109375" style="65" customWidth="1"/>
    <col min="15374" max="15374" width="9.5703125" style="65" customWidth="1"/>
    <col min="15375" max="15375" width="21.140625" style="65" customWidth="1"/>
    <col min="15376" max="15376" width="40.140625" style="65" customWidth="1"/>
    <col min="15377" max="15377" width="9" style="65" customWidth="1"/>
    <col min="15378" max="15378" width="10" style="65" customWidth="1"/>
    <col min="15379" max="15379" width="24.42578125" style="65" customWidth="1"/>
    <col min="15380" max="15380" width="9.140625" style="65"/>
    <col min="15381" max="15381" width="12.7109375" style="65" bestFit="1" customWidth="1"/>
    <col min="15382" max="15382" width="64" style="65" bestFit="1" customWidth="1"/>
    <col min="15383" max="15383" width="7" style="65" bestFit="1" customWidth="1"/>
    <col min="15384" max="15384" width="11.28515625" style="65" bestFit="1" customWidth="1"/>
    <col min="15385" max="15616" width="9.140625" style="65"/>
    <col min="15617" max="15617" width="2.85546875" style="65" customWidth="1"/>
    <col min="15618" max="15624" width="11.28515625" style="65" customWidth="1"/>
    <col min="15625" max="15625" width="10" style="65" customWidth="1"/>
    <col min="15626" max="15626" width="43.85546875" style="65" customWidth="1"/>
    <col min="15627" max="15627" width="17.42578125" style="65" customWidth="1"/>
    <col min="15628" max="15629" width="15.7109375" style="65" customWidth="1"/>
    <col min="15630" max="15630" width="9.5703125" style="65" customWidth="1"/>
    <col min="15631" max="15631" width="21.140625" style="65" customWidth="1"/>
    <col min="15632" max="15632" width="40.140625" style="65" customWidth="1"/>
    <col min="15633" max="15633" width="9" style="65" customWidth="1"/>
    <col min="15634" max="15634" width="10" style="65" customWidth="1"/>
    <col min="15635" max="15635" width="24.42578125" style="65" customWidth="1"/>
    <col min="15636" max="15636" width="9.140625" style="65"/>
    <col min="15637" max="15637" width="12.7109375" style="65" bestFit="1" customWidth="1"/>
    <col min="15638" max="15638" width="64" style="65" bestFit="1" customWidth="1"/>
    <col min="15639" max="15639" width="7" style="65" bestFit="1" customWidth="1"/>
    <col min="15640" max="15640" width="11.28515625" style="65" bestFit="1" customWidth="1"/>
    <col min="15641" max="15872" width="9.140625" style="65"/>
    <col min="15873" max="15873" width="2.85546875" style="65" customWidth="1"/>
    <col min="15874" max="15880" width="11.28515625" style="65" customWidth="1"/>
    <col min="15881" max="15881" width="10" style="65" customWidth="1"/>
    <col min="15882" max="15882" width="43.85546875" style="65" customWidth="1"/>
    <col min="15883" max="15883" width="17.42578125" style="65" customWidth="1"/>
    <col min="15884" max="15885" width="15.7109375" style="65" customWidth="1"/>
    <col min="15886" max="15886" width="9.5703125" style="65" customWidth="1"/>
    <col min="15887" max="15887" width="21.140625" style="65" customWidth="1"/>
    <col min="15888" max="15888" width="40.140625" style="65" customWidth="1"/>
    <col min="15889" max="15889" width="9" style="65" customWidth="1"/>
    <col min="15890" max="15890" width="10" style="65" customWidth="1"/>
    <col min="15891" max="15891" width="24.42578125" style="65" customWidth="1"/>
    <col min="15892" max="15892" width="9.140625" style="65"/>
    <col min="15893" max="15893" width="12.7109375" style="65" bestFit="1" customWidth="1"/>
    <col min="15894" max="15894" width="64" style="65" bestFit="1" customWidth="1"/>
    <col min="15895" max="15895" width="7" style="65" bestFit="1" customWidth="1"/>
    <col min="15896" max="15896" width="11.28515625" style="65" bestFit="1" customWidth="1"/>
    <col min="15897" max="16128" width="9.140625" style="65"/>
    <col min="16129" max="16129" width="2.85546875" style="65" customWidth="1"/>
    <col min="16130" max="16136" width="11.28515625" style="65" customWidth="1"/>
    <col min="16137" max="16137" width="10" style="65" customWidth="1"/>
    <col min="16138" max="16138" width="43.85546875" style="65" customWidth="1"/>
    <col min="16139" max="16139" width="17.42578125" style="65" customWidth="1"/>
    <col min="16140" max="16141" width="15.7109375" style="65" customWidth="1"/>
    <col min="16142" max="16142" width="9.5703125" style="65" customWidth="1"/>
    <col min="16143" max="16143" width="21.140625" style="65" customWidth="1"/>
    <col min="16144" max="16144" width="40.140625" style="65" customWidth="1"/>
    <col min="16145" max="16145" width="9" style="65" customWidth="1"/>
    <col min="16146" max="16146" width="10" style="65" customWidth="1"/>
    <col min="16147" max="16147" width="24.42578125" style="65" customWidth="1"/>
    <col min="16148" max="16148" width="9.140625" style="65"/>
    <col min="16149" max="16149" width="12.7109375" style="65" bestFit="1" customWidth="1"/>
    <col min="16150" max="16150" width="64" style="65" bestFit="1" customWidth="1"/>
    <col min="16151" max="16151" width="7" style="65" bestFit="1" customWidth="1"/>
    <col min="16152" max="16152" width="11.28515625" style="65" bestFit="1" customWidth="1"/>
    <col min="16153" max="16384" width="9.140625" style="65"/>
  </cols>
  <sheetData>
    <row r="2" spans="1:24" ht="30.75" customHeight="1" x14ac:dyDescent="0.25">
      <c r="B2" s="170" t="s">
        <v>123</v>
      </c>
      <c r="C2" s="170"/>
      <c r="D2" s="170"/>
      <c r="E2" s="170"/>
      <c r="F2" s="170"/>
      <c r="G2" s="170"/>
      <c r="H2" s="170"/>
      <c r="J2" s="156" t="s">
        <v>124</v>
      </c>
      <c r="K2" s="156"/>
      <c r="L2" s="156"/>
      <c r="M2" s="156"/>
      <c r="O2" s="170" t="s">
        <v>125</v>
      </c>
      <c r="P2" s="170"/>
      <c r="Q2" s="170"/>
      <c r="R2" s="170"/>
      <c r="S2" s="170"/>
      <c r="U2" s="170" t="s">
        <v>126</v>
      </c>
      <c r="V2" s="170"/>
      <c r="W2" s="170"/>
      <c r="X2" s="170"/>
    </row>
    <row r="3" spans="1:24" ht="26.25" customHeight="1" x14ac:dyDescent="0.25">
      <c r="B3" s="172"/>
      <c r="C3" s="172"/>
      <c r="D3" s="172"/>
      <c r="E3" s="172"/>
      <c r="F3" s="172"/>
      <c r="G3" s="172"/>
      <c r="H3" s="172"/>
      <c r="J3" s="170" t="s">
        <v>127</v>
      </c>
      <c r="K3" s="170" t="s">
        <v>128</v>
      </c>
      <c r="L3" s="170" t="s">
        <v>129</v>
      </c>
      <c r="M3" s="170"/>
      <c r="O3" s="148" t="s">
        <v>130</v>
      </c>
      <c r="P3" s="148"/>
      <c r="Q3" s="148"/>
      <c r="R3" s="148"/>
      <c r="S3" s="148"/>
      <c r="U3" s="148" t="s">
        <v>131</v>
      </c>
      <c r="V3" s="148"/>
      <c r="W3" s="21" t="s">
        <v>68</v>
      </c>
      <c r="X3" s="21" t="s">
        <v>69</v>
      </c>
    </row>
    <row r="4" spans="1:24" ht="28.5" x14ac:dyDescent="0.25">
      <c r="B4" s="51"/>
      <c r="C4" s="51"/>
      <c r="D4" s="51"/>
      <c r="E4" s="51"/>
      <c r="F4" s="51"/>
      <c r="G4" s="51"/>
      <c r="H4" s="51"/>
      <c r="J4" s="170"/>
      <c r="K4" s="170"/>
      <c r="L4" s="26" t="s">
        <v>15</v>
      </c>
      <c r="M4" s="26" t="s">
        <v>68</v>
      </c>
      <c r="O4" s="173" t="s">
        <v>132</v>
      </c>
      <c r="P4" s="173"/>
      <c r="Q4" s="173"/>
      <c r="R4" s="19" t="s">
        <v>133</v>
      </c>
      <c r="S4" s="19" t="s">
        <v>81</v>
      </c>
      <c r="U4" s="19" t="s">
        <v>134</v>
      </c>
      <c r="V4" s="29" t="s">
        <v>135</v>
      </c>
      <c r="W4" s="19">
        <v>0</v>
      </c>
      <c r="X4" s="19" t="s">
        <v>60</v>
      </c>
    </row>
    <row r="5" spans="1:24" ht="28.5" x14ac:dyDescent="0.25">
      <c r="B5" s="148" t="s">
        <v>136</v>
      </c>
      <c r="C5" s="148"/>
      <c r="D5" s="148"/>
      <c r="E5" s="148"/>
      <c r="F5" s="148"/>
      <c r="G5" s="148"/>
      <c r="H5" s="148"/>
      <c r="J5" s="154" t="s">
        <v>137</v>
      </c>
      <c r="K5" s="154">
        <v>10.297000000000001</v>
      </c>
      <c r="L5" s="45">
        <v>2019</v>
      </c>
      <c r="M5" s="37">
        <f>'OT pump_UMAC - Altenor'!I644*'BE - Altenor'!Q51</f>
        <v>966.875</v>
      </c>
      <c r="N5" s="75"/>
      <c r="O5" s="148" t="s">
        <v>131</v>
      </c>
      <c r="P5" s="148"/>
      <c r="Q5" s="21" t="s">
        <v>15</v>
      </c>
      <c r="R5" s="21" t="s">
        <v>68</v>
      </c>
      <c r="S5" s="21" t="s">
        <v>69</v>
      </c>
      <c r="U5" s="19" t="s">
        <v>138</v>
      </c>
      <c r="V5" s="29" t="s">
        <v>139</v>
      </c>
      <c r="W5" s="19">
        <v>0</v>
      </c>
      <c r="X5" s="19" t="s">
        <v>60</v>
      </c>
    </row>
    <row r="6" spans="1:24" ht="15.75" x14ac:dyDescent="0.25">
      <c r="B6" s="21" t="s">
        <v>15</v>
      </c>
      <c r="C6" s="21" t="s">
        <v>140</v>
      </c>
      <c r="D6" s="21" t="s">
        <v>141</v>
      </c>
      <c r="E6" s="21" t="s">
        <v>142</v>
      </c>
      <c r="F6" s="21" t="s">
        <v>143</v>
      </c>
      <c r="G6" s="21" t="s">
        <v>144</v>
      </c>
      <c r="H6" s="21" t="s">
        <v>145</v>
      </c>
      <c r="J6" s="155"/>
      <c r="K6" s="155"/>
      <c r="L6" s="76">
        <v>2020</v>
      </c>
      <c r="M6" s="37">
        <f>'OT pump_UMAC - Altenor'!I644*'BE - Altenor'!R51</f>
        <v>840</v>
      </c>
      <c r="N6" s="75"/>
      <c r="O6" s="19" t="s">
        <v>146</v>
      </c>
      <c r="P6" s="29" t="s">
        <v>147</v>
      </c>
      <c r="Q6" s="29">
        <v>2019</v>
      </c>
      <c r="R6" s="14">
        <f>'OT pump_UMAC - Altenor'!L644*'BE - Altenor'!Q51</f>
        <v>1433.3862911475512</v>
      </c>
      <c r="S6" s="19" t="s">
        <v>148</v>
      </c>
      <c r="U6" s="19" t="s">
        <v>149</v>
      </c>
      <c r="V6" s="29" t="s">
        <v>150</v>
      </c>
      <c r="W6" s="19">
        <v>0</v>
      </c>
      <c r="X6" s="19" t="s">
        <v>60</v>
      </c>
    </row>
    <row r="7" spans="1:24" ht="15.75" x14ac:dyDescent="0.25">
      <c r="B7" s="19">
        <v>2019</v>
      </c>
      <c r="C7" s="38">
        <f>K22</f>
        <v>3.6726363837531428</v>
      </c>
      <c r="D7" s="38">
        <f>R13</f>
        <v>160.53926460852574</v>
      </c>
      <c r="E7" s="38">
        <f>W6</f>
        <v>0</v>
      </c>
      <c r="F7" s="38">
        <f>W4</f>
        <v>0</v>
      </c>
      <c r="G7" s="38">
        <f>W5</f>
        <v>0</v>
      </c>
      <c r="H7" s="77">
        <f>SUM(C7:G7)</f>
        <v>164.21190099227888</v>
      </c>
      <c r="J7" s="154" t="s">
        <v>151</v>
      </c>
      <c r="K7" s="154">
        <v>5.516</v>
      </c>
      <c r="L7" s="19">
        <v>2019</v>
      </c>
      <c r="M7" s="37">
        <f>'OT pump_UMAC - Altenor'!F644*'BE - Altenor'!Q51</f>
        <v>147.33333333333331</v>
      </c>
      <c r="N7" s="78"/>
      <c r="O7" s="19" t="s">
        <v>152</v>
      </c>
      <c r="P7" s="29" t="s">
        <v>147</v>
      </c>
      <c r="Q7" s="29">
        <v>2020</v>
      </c>
      <c r="R7" s="14">
        <f>'OT pump_UMAC - Altenor'!L644*'BE - Altenor'!R51</f>
        <v>1245.2948773770581</v>
      </c>
      <c r="S7" s="19" t="s">
        <v>148</v>
      </c>
    </row>
    <row r="8" spans="1:24" ht="30" x14ac:dyDescent="0.25">
      <c r="A8" s="70"/>
      <c r="B8" s="19">
        <v>2020</v>
      </c>
      <c r="C8" s="38">
        <f>K23</f>
        <v>2.8393091927200005</v>
      </c>
      <c r="D8" s="38">
        <f>R14</f>
        <v>139.47302626623053</v>
      </c>
      <c r="E8" s="38">
        <f>SUM(E7:E7)</f>
        <v>0</v>
      </c>
      <c r="F8" s="38">
        <f>SUM(F7:F7)</f>
        <v>0</v>
      </c>
      <c r="G8" s="38">
        <f>SUM(G7:G7)</f>
        <v>0</v>
      </c>
      <c r="H8" s="77">
        <f>SUM(C8:G8)</f>
        <v>142.31233545895054</v>
      </c>
      <c r="J8" s="155"/>
      <c r="K8" s="155"/>
      <c r="L8" s="19">
        <v>2020</v>
      </c>
      <c r="M8" s="37">
        <f>'OT pump_UMAC - Altenor'!F644*'BE - Altenor'!R51</f>
        <v>128</v>
      </c>
      <c r="N8" s="78"/>
      <c r="O8" s="19" t="s">
        <v>153</v>
      </c>
      <c r="P8" s="29" t="s">
        <v>154</v>
      </c>
      <c r="Q8" s="19" t="s">
        <v>155</v>
      </c>
      <c r="R8" s="19">
        <f>IF('PE - Altenor'!R4="wet",4/1000,10/1000)</f>
        <v>4.0000000000000001E-3</v>
      </c>
      <c r="S8" s="29" t="s">
        <v>156</v>
      </c>
      <c r="U8" s="70"/>
      <c r="V8" s="70"/>
    </row>
    <row r="9" spans="1:24" ht="15.75" x14ac:dyDescent="0.25">
      <c r="A9" s="70"/>
      <c r="B9" s="43" t="s">
        <v>16</v>
      </c>
      <c r="C9" s="77">
        <f t="shared" ref="C9:H9" si="0">SUM(C7:C8)</f>
        <v>6.5119455764731438</v>
      </c>
      <c r="D9" s="77">
        <f t="shared" si="0"/>
        <v>300.01229087475627</v>
      </c>
      <c r="E9" s="77">
        <f t="shared" si="0"/>
        <v>0</v>
      </c>
      <c r="F9" s="77">
        <f t="shared" si="0"/>
        <v>0</v>
      </c>
      <c r="G9" s="77">
        <f t="shared" si="0"/>
        <v>0</v>
      </c>
      <c r="H9" s="77">
        <f t="shared" si="0"/>
        <v>306.5242364512294</v>
      </c>
      <c r="N9" s="78"/>
      <c r="O9" s="19" t="s">
        <v>80</v>
      </c>
      <c r="P9" s="29" t="s">
        <v>157</v>
      </c>
      <c r="Q9" s="19" t="s">
        <v>155</v>
      </c>
      <c r="R9" s="19">
        <v>28</v>
      </c>
      <c r="S9" s="19" t="s">
        <v>158</v>
      </c>
      <c r="U9" s="70"/>
      <c r="V9" s="70"/>
    </row>
    <row r="10" spans="1:24" x14ac:dyDescent="0.25">
      <c r="A10" s="70"/>
      <c r="B10" s="79"/>
      <c r="C10" s="80"/>
      <c r="D10" s="80"/>
      <c r="E10" s="80"/>
      <c r="F10" s="80"/>
      <c r="G10" s="80"/>
      <c r="H10" s="80"/>
      <c r="J10" s="148" t="s">
        <v>159</v>
      </c>
      <c r="K10" s="148"/>
      <c r="L10" s="148"/>
      <c r="M10" s="70"/>
      <c r="O10" s="19"/>
      <c r="P10" s="19"/>
      <c r="Q10" s="19"/>
      <c r="R10" s="19"/>
      <c r="S10" s="19"/>
      <c r="U10" s="70"/>
      <c r="V10" s="70"/>
    </row>
    <row r="11" spans="1:24" x14ac:dyDescent="0.25">
      <c r="B11" s="79"/>
      <c r="C11" s="80"/>
      <c r="D11" s="80"/>
      <c r="E11" s="80"/>
      <c r="F11" s="80"/>
      <c r="G11" s="80"/>
      <c r="H11" s="80"/>
      <c r="J11" s="52" t="s">
        <v>67</v>
      </c>
      <c r="K11" s="26" t="s">
        <v>68</v>
      </c>
      <c r="L11" s="26" t="s">
        <v>69</v>
      </c>
      <c r="M11" s="81"/>
      <c r="O11" s="19"/>
      <c r="P11" s="19"/>
      <c r="Q11" s="19"/>
      <c r="R11" s="19"/>
      <c r="S11" s="19"/>
    </row>
    <row r="12" spans="1:24" x14ac:dyDescent="0.25">
      <c r="B12" s="79"/>
      <c r="C12" s="80"/>
      <c r="D12" s="80"/>
      <c r="E12" s="80"/>
      <c r="F12" s="80"/>
      <c r="G12" s="80"/>
      <c r="H12" s="80"/>
      <c r="J12" s="174" t="s">
        <v>160</v>
      </c>
      <c r="K12" s="68">
        <f>($K$5*$M$5)+($K$7*$M$7)</f>
        <v>10768.602541666667</v>
      </c>
      <c r="L12" s="9" t="s">
        <v>161</v>
      </c>
      <c r="M12" s="78"/>
      <c r="O12" s="19"/>
      <c r="P12" s="19"/>
      <c r="Q12" s="19"/>
      <c r="R12" s="19"/>
      <c r="S12" s="19"/>
    </row>
    <row r="13" spans="1:24" ht="15.75" x14ac:dyDescent="0.25">
      <c r="J13" s="174"/>
      <c r="K13" s="68">
        <f>K12/1000</f>
        <v>10.768602541666667</v>
      </c>
      <c r="L13" s="9" t="s">
        <v>162</v>
      </c>
      <c r="M13" s="78"/>
      <c r="O13" s="19" t="s">
        <v>163</v>
      </c>
      <c r="P13" s="29" t="s">
        <v>164</v>
      </c>
      <c r="Q13" s="29">
        <v>2019</v>
      </c>
      <c r="R13" s="38">
        <f>R6*$R$8*$R$9</f>
        <v>160.53926460852574</v>
      </c>
      <c r="S13" s="19" t="s">
        <v>60</v>
      </c>
    </row>
    <row r="14" spans="1:24" ht="15.75" x14ac:dyDescent="0.25">
      <c r="J14" s="174" t="s">
        <v>165</v>
      </c>
      <c r="K14" s="68">
        <f>($K$5*$M$6)+($K$7*$M$8)</f>
        <v>9355.5280000000021</v>
      </c>
      <c r="L14" s="9" t="s">
        <v>161</v>
      </c>
      <c r="M14" s="78"/>
      <c r="O14" s="19" t="s">
        <v>166</v>
      </c>
      <c r="P14" s="29" t="s">
        <v>164</v>
      </c>
      <c r="Q14" s="19">
        <v>2020</v>
      </c>
      <c r="R14" s="38">
        <f>R7*$R$8*$R$9</f>
        <v>139.47302626623053</v>
      </c>
      <c r="S14" s="19" t="s">
        <v>60</v>
      </c>
    </row>
    <row r="15" spans="1:24" ht="15.75" x14ac:dyDescent="0.25">
      <c r="J15" s="174"/>
      <c r="K15" s="68">
        <f>K14/1000</f>
        <v>9.3555280000000014</v>
      </c>
      <c r="L15" s="9" t="s">
        <v>162</v>
      </c>
      <c r="M15" s="78"/>
      <c r="O15" s="43" t="s">
        <v>167</v>
      </c>
      <c r="P15" s="43" t="s">
        <v>168</v>
      </c>
      <c r="Q15" s="43" t="s">
        <v>155</v>
      </c>
      <c r="R15" s="77">
        <f>SUM(R13:R14)</f>
        <v>300.01229087475627</v>
      </c>
      <c r="S15" s="43" t="s">
        <v>61</v>
      </c>
    </row>
    <row r="16" spans="1:24" ht="30" x14ac:dyDescent="0.25">
      <c r="J16" s="29" t="s">
        <v>169</v>
      </c>
      <c r="K16" s="82">
        <f>'EF - Altenor'!L17</f>
        <v>0.31004583333333335</v>
      </c>
      <c r="L16" s="19" t="s">
        <v>170</v>
      </c>
      <c r="M16" s="78"/>
    </row>
    <row r="17" spans="10:13" ht="30" x14ac:dyDescent="0.25">
      <c r="J17" s="29" t="s">
        <v>171</v>
      </c>
      <c r="K17" s="82">
        <f>'EF - Altenor'!L35</f>
        <v>0.27589999999999998</v>
      </c>
      <c r="L17" s="19" t="s">
        <v>170</v>
      </c>
      <c r="M17" s="78"/>
    </row>
    <row r="18" spans="10:13" ht="15.75" x14ac:dyDescent="0.25">
      <c r="J18" s="9" t="s">
        <v>172</v>
      </c>
      <c r="K18" s="83">
        <v>0.1</v>
      </c>
      <c r="L18" s="9" t="s">
        <v>173</v>
      </c>
      <c r="M18" s="78"/>
    </row>
    <row r="19" spans="10:13" x14ac:dyDescent="0.25">
      <c r="M19" s="78"/>
    </row>
    <row r="20" spans="10:13" ht="15.75" x14ac:dyDescent="0.25">
      <c r="J20" s="148" t="s">
        <v>174</v>
      </c>
      <c r="K20" s="148"/>
      <c r="L20" s="148"/>
      <c r="M20" s="78"/>
    </row>
    <row r="21" spans="10:13" ht="44.25" customHeight="1" x14ac:dyDescent="0.25">
      <c r="J21" s="175"/>
      <c r="K21" s="176"/>
      <c r="L21" s="177"/>
      <c r="M21" s="78"/>
    </row>
    <row r="22" spans="10:13" ht="15.75" x14ac:dyDescent="0.25">
      <c r="J22" s="19" t="s">
        <v>175</v>
      </c>
      <c r="K22" s="68">
        <f>$K$13*K16*(1+$K$18)</f>
        <v>3.6726363837531428</v>
      </c>
      <c r="L22" s="19" t="s">
        <v>60</v>
      </c>
    </row>
    <row r="23" spans="10:13" ht="15.75" x14ac:dyDescent="0.25">
      <c r="J23" s="19" t="s">
        <v>176</v>
      </c>
      <c r="K23" s="68">
        <f>$K$15*K17*(1+$K$18)</f>
        <v>2.8393091927200005</v>
      </c>
      <c r="L23" s="19" t="s">
        <v>60</v>
      </c>
    </row>
    <row r="24" spans="10:13" ht="15.75" x14ac:dyDescent="0.25">
      <c r="J24" s="43" t="s">
        <v>177</v>
      </c>
      <c r="K24" s="68">
        <f>SUM(K22:K23)</f>
        <v>6.5119455764731438</v>
      </c>
      <c r="L24" s="19" t="s">
        <v>60</v>
      </c>
    </row>
    <row r="27" spans="10:13" x14ac:dyDescent="0.25">
      <c r="M27" s="78"/>
    </row>
    <row r="29" spans="10:13" x14ac:dyDescent="0.25">
      <c r="M29" s="70"/>
    </row>
    <row r="32" spans="10:13" x14ac:dyDescent="0.25">
      <c r="J32" s="84"/>
    </row>
    <row r="35" spans="13:13" x14ac:dyDescent="0.25">
      <c r="M35" s="79"/>
    </row>
  </sheetData>
  <mergeCells count="22">
    <mergeCell ref="J10:L10"/>
    <mergeCell ref="J12:J13"/>
    <mergeCell ref="J14:J15"/>
    <mergeCell ref="J20:L20"/>
    <mergeCell ref="J21:L21"/>
    <mergeCell ref="J7:J8"/>
    <mergeCell ref="K7:K8"/>
    <mergeCell ref="B2:H2"/>
    <mergeCell ref="J2:M2"/>
    <mergeCell ref="O2:S2"/>
    <mergeCell ref="O4:Q4"/>
    <mergeCell ref="B5:H5"/>
    <mergeCell ref="J5:J6"/>
    <mergeCell ref="K5:K6"/>
    <mergeCell ref="O5:P5"/>
    <mergeCell ref="U2:X2"/>
    <mergeCell ref="B3:H3"/>
    <mergeCell ref="J3:J4"/>
    <mergeCell ref="K3:K4"/>
    <mergeCell ref="L3:M3"/>
    <mergeCell ref="O3:S3"/>
    <mergeCell ref="U3:V3"/>
  </mergeCells>
  <dataValidations count="1">
    <dataValidation type="list" allowBlank="1" showInputMessage="1" showErrorMessage="1" sqref="R4 JN4 TJ4 ADF4 ANB4 AWX4 BGT4 BQP4 CAL4 CKH4 CUD4 DDZ4 DNV4 DXR4 EHN4 ERJ4 FBF4 FLB4 FUX4 GET4 GOP4 GYL4 HIH4 HSD4 IBZ4 ILV4 IVR4 JFN4 JPJ4 JZF4 KJB4 KSX4 LCT4 LMP4 LWL4 MGH4 MQD4 MZZ4 NJV4 NTR4 ODN4 ONJ4 OXF4 PHB4 PQX4 QAT4 QKP4 QUL4 REH4 ROD4 RXZ4 SHV4 SRR4 TBN4 TLJ4 TVF4 UFB4 UOX4 UYT4 VIP4 VSL4 WCH4 WMD4 WVZ4 R65540 JN65540 TJ65540 ADF65540 ANB65540 AWX65540 BGT65540 BQP65540 CAL65540 CKH65540 CUD65540 DDZ65540 DNV65540 DXR65540 EHN65540 ERJ65540 FBF65540 FLB65540 FUX65540 GET65540 GOP65540 GYL65540 HIH65540 HSD65540 IBZ65540 ILV65540 IVR65540 JFN65540 JPJ65540 JZF65540 KJB65540 KSX65540 LCT65540 LMP65540 LWL65540 MGH65540 MQD65540 MZZ65540 NJV65540 NTR65540 ODN65540 ONJ65540 OXF65540 PHB65540 PQX65540 QAT65540 QKP65540 QUL65540 REH65540 ROD65540 RXZ65540 SHV65540 SRR65540 TBN65540 TLJ65540 TVF65540 UFB65540 UOX65540 UYT65540 VIP65540 VSL65540 WCH65540 WMD65540 WVZ65540 R131076 JN131076 TJ131076 ADF131076 ANB131076 AWX131076 BGT131076 BQP131076 CAL131076 CKH131076 CUD131076 DDZ131076 DNV131076 DXR131076 EHN131076 ERJ131076 FBF131076 FLB131076 FUX131076 GET131076 GOP131076 GYL131076 HIH131076 HSD131076 IBZ131076 ILV131076 IVR131076 JFN131076 JPJ131076 JZF131076 KJB131076 KSX131076 LCT131076 LMP131076 LWL131076 MGH131076 MQD131076 MZZ131076 NJV131076 NTR131076 ODN131076 ONJ131076 OXF131076 PHB131076 PQX131076 QAT131076 QKP131076 QUL131076 REH131076 ROD131076 RXZ131076 SHV131076 SRR131076 TBN131076 TLJ131076 TVF131076 UFB131076 UOX131076 UYT131076 VIP131076 VSL131076 WCH131076 WMD131076 WVZ131076 R196612 JN196612 TJ196612 ADF196612 ANB196612 AWX196612 BGT196612 BQP196612 CAL196612 CKH196612 CUD196612 DDZ196612 DNV196612 DXR196612 EHN196612 ERJ196612 FBF196612 FLB196612 FUX196612 GET196612 GOP196612 GYL196612 HIH196612 HSD196612 IBZ196612 ILV196612 IVR196612 JFN196612 JPJ196612 JZF196612 KJB196612 KSX196612 LCT196612 LMP196612 LWL196612 MGH196612 MQD196612 MZZ196612 NJV196612 NTR196612 ODN196612 ONJ196612 OXF196612 PHB196612 PQX196612 QAT196612 QKP196612 QUL196612 REH196612 ROD196612 RXZ196612 SHV196612 SRR196612 TBN196612 TLJ196612 TVF196612 UFB196612 UOX196612 UYT196612 VIP196612 VSL196612 WCH196612 WMD196612 WVZ196612 R262148 JN262148 TJ262148 ADF262148 ANB262148 AWX262148 BGT262148 BQP262148 CAL262148 CKH262148 CUD262148 DDZ262148 DNV262148 DXR262148 EHN262148 ERJ262148 FBF262148 FLB262148 FUX262148 GET262148 GOP262148 GYL262148 HIH262148 HSD262148 IBZ262148 ILV262148 IVR262148 JFN262148 JPJ262148 JZF262148 KJB262148 KSX262148 LCT262148 LMP262148 LWL262148 MGH262148 MQD262148 MZZ262148 NJV262148 NTR262148 ODN262148 ONJ262148 OXF262148 PHB262148 PQX262148 QAT262148 QKP262148 QUL262148 REH262148 ROD262148 RXZ262148 SHV262148 SRR262148 TBN262148 TLJ262148 TVF262148 UFB262148 UOX262148 UYT262148 VIP262148 VSL262148 WCH262148 WMD262148 WVZ262148 R327684 JN327684 TJ327684 ADF327684 ANB327684 AWX327684 BGT327684 BQP327684 CAL327684 CKH327684 CUD327684 DDZ327684 DNV327684 DXR327684 EHN327684 ERJ327684 FBF327684 FLB327684 FUX327684 GET327684 GOP327684 GYL327684 HIH327684 HSD327684 IBZ327684 ILV327684 IVR327684 JFN327684 JPJ327684 JZF327684 KJB327684 KSX327684 LCT327684 LMP327684 LWL327684 MGH327684 MQD327684 MZZ327684 NJV327684 NTR327684 ODN327684 ONJ327684 OXF327684 PHB327684 PQX327684 QAT327684 QKP327684 QUL327684 REH327684 ROD327684 RXZ327684 SHV327684 SRR327684 TBN327684 TLJ327684 TVF327684 UFB327684 UOX327684 UYT327684 VIP327684 VSL327684 WCH327684 WMD327684 WVZ327684 R393220 JN393220 TJ393220 ADF393220 ANB393220 AWX393220 BGT393220 BQP393220 CAL393220 CKH393220 CUD393220 DDZ393220 DNV393220 DXR393220 EHN393220 ERJ393220 FBF393220 FLB393220 FUX393220 GET393220 GOP393220 GYL393220 HIH393220 HSD393220 IBZ393220 ILV393220 IVR393220 JFN393220 JPJ393220 JZF393220 KJB393220 KSX393220 LCT393220 LMP393220 LWL393220 MGH393220 MQD393220 MZZ393220 NJV393220 NTR393220 ODN393220 ONJ393220 OXF393220 PHB393220 PQX393220 QAT393220 QKP393220 QUL393220 REH393220 ROD393220 RXZ393220 SHV393220 SRR393220 TBN393220 TLJ393220 TVF393220 UFB393220 UOX393220 UYT393220 VIP393220 VSL393220 WCH393220 WMD393220 WVZ393220 R458756 JN458756 TJ458756 ADF458756 ANB458756 AWX458756 BGT458756 BQP458756 CAL458756 CKH458756 CUD458756 DDZ458756 DNV458756 DXR458756 EHN458756 ERJ458756 FBF458756 FLB458756 FUX458756 GET458756 GOP458756 GYL458756 HIH458756 HSD458756 IBZ458756 ILV458756 IVR458756 JFN458756 JPJ458756 JZF458756 KJB458756 KSX458756 LCT458756 LMP458756 LWL458756 MGH458756 MQD458756 MZZ458756 NJV458756 NTR458756 ODN458756 ONJ458756 OXF458756 PHB458756 PQX458756 QAT458756 QKP458756 QUL458756 REH458756 ROD458756 RXZ458756 SHV458756 SRR458756 TBN458756 TLJ458756 TVF458756 UFB458756 UOX458756 UYT458756 VIP458756 VSL458756 WCH458756 WMD458756 WVZ458756 R524292 JN524292 TJ524292 ADF524292 ANB524292 AWX524292 BGT524292 BQP524292 CAL524292 CKH524292 CUD524292 DDZ524292 DNV524292 DXR524292 EHN524292 ERJ524292 FBF524292 FLB524292 FUX524292 GET524292 GOP524292 GYL524292 HIH524292 HSD524292 IBZ524292 ILV524292 IVR524292 JFN524292 JPJ524292 JZF524292 KJB524292 KSX524292 LCT524292 LMP524292 LWL524292 MGH524292 MQD524292 MZZ524292 NJV524292 NTR524292 ODN524292 ONJ524292 OXF524292 PHB524292 PQX524292 QAT524292 QKP524292 QUL524292 REH524292 ROD524292 RXZ524292 SHV524292 SRR524292 TBN524292 TLJ524292 TVF524292 UFB524292 UOX524292 UYT524292 VIP524292 VSL524292 WCH524292 WMD524292 WVZ524292 R589828 JN589828 TJ589828 ADF589828 ANB589828 AWX589828 BGT589828 BQP589828 CAL589828 CKH589828 CUD589828 DDZ589828 DNV589828 DXR589828 EHN589828 ERJ589828 FBF589828 FLB589828 FUX589828 GET589828 GOP589828 GYL589828 HIH589828 HSD589828 IBZ589828 ILV589828 IVR589828 JFN589828 JPJ589828 JZF589828 KJB589828 KSX589828 LCT589828 LMP589828 LWL589828 MGH589828 MQD589828 MZZ589828 NJV589828 NTR589828 ODN589828 ONJ589828 OXF589828 PHB589828 PQX589828 QAT589828 QKP589828 QUL589828 REH589828 ROD589828 RXZ589828 SHV589828 SRR589828 TBN589828 TLJ589828 TVF589828 UFB589828 UOX589828 UYT589828 VIP589828 VSL589828 WCH589828 WMD589828 WVZ589828 R655364 JN655364 TJ655364 ADF655364 ANB655364 AWX655364 BGT655364 BQP655364 CAL655364 CKH655364 CUD655364 DDZ655364 DNV655364 DXR655364 EHN655364 ERJ655364 FBF655364 FLB655364 FUX655364 GET655364 GOP655364 GYL655364 HIH655364 HSD655364 IBZ655364 ILV655364 IVR655364 JFN655364 JPJ655364 JZF655364 KJB655364 KSX655364 LCT655364 LMP655364 LWL655364 MGH655364 MQD655364 MZZ655364 NJV655364 NTR655364 ODN655364 ONJ655364 OXF655364 PHB655364 PQX655364 QAT655364 QKP655364 QUL655364 REH655364 ROD655364 RXZ655364 SHV655364 SRR655364 TBN655364 TLJ655364 TVF655364 UFB655364 UOX655364 UYT655364 VIP655364 VSL655364 WCH655364 WMD655364 WVZ655364 R720900 JN720900 TJ720900 ADF720900 ANB720900 AWX720900 BGT720900 BQP720900 CAL720900 CKH720900 CUD720900 DDZ720900 DNV720900 DXR720900 EHN720900 ERJ720900 FBF720900 FLB720900 FUX720900 GET720900 GOP720900 GYL720900 HIH720900 HSD720900 IBZ720900 ILV720900 IVR720900 JFN720900 JPJ720900 JZF720900 KJB720900 KSX720900 LCT720900 LMP720900 LWL720900 MGH720900 MQD720900 MZZ720900 NJV720900 NTR720900 ODN720900 ONJ720900 OXF720900 PHB720900 PQX720900 QAT720900 QKP720900 QUL720900 REH720900 ROD720900 RXZ720900 SHV720900 SRR720900 TBN720900 TLJ720900 TVF720900 UFB720900 UOX720900 UYT720900 VIP720900 VSL720900 WCH720900 WMD720900 WVZ720900 R786436 JN786436 TJ786436 ADF786436 ANB786436 AWX786436 BGT786436 BQP786436 CAL786436 CKH786436 CUD786436 DDZ786436 DNV786436 DXR786436 EHN786436 ERJ786436 FBF786436 FLB786436 FUX786436 GET786436 GOP786436 GYL786436 HIH786436 HSD786436 IBZ786436 ILV786436 IVR786436 JFN786436 JPJ786436 JZF786436 KJB786436 KSX786436 LCT786436 LMP786436 LWL786436 MGH786436 MQD786436 MZZ786436 NJV786436 NTR786436 ODN786436 ONJ786436 OXF786436 PHB786436 PQX786436 QAT786436 QKP786436 QUL786436 REH786436 ROD786436 RXZ786436 SHV786436 SRR786436 TBN786436 TLJ786436 TVF786436 UFB786436 UOX786436 UYT786436 VIP786436 VSL786436 WCH786436 WMD786436 WVZ786436 R851972 JN851972 TJ851972 ADF851972 ANB851972 AWX851972 BGT851972 BQP851972 CAL851972 CKH851972 CUD851972 DDZ851972 DNV851972 DXR851972 EHN851972 ERJ851972 FBF851972 FLB851972 FUX851972 GET851972 GOP851972 GYL851972 HIH851972 HSD851972 IBZ851972 ILV851972 IVR851972 JFN851972 JPJ851972 JZF851972 KJB851972 KSX851972 LCT851972 LMP851972 LWL851972 MGH851972 MQD851972 MZZ851972 NJV851972 NTR851972 ODN851972 ONJ851972 OXF851972 PHB851972 PQX851972 QAT851972 QKP851972 QUL851972 REH851972 ROD851972 RXZ851972 SHV851972 SRR851972 TBN851972 TLJ851972 TVF851972 UFB851972 UOX851972 UYT851972 VIP851972 VSL851972 WCH851972 WMD851972 WVZ851972 R917508 JN917508 TJ917508 ADF917508 ANB917508 AWX917508 BGT917508 BQP917508 CAL917508 CKH917508 CUD917508 DDZ917508 DNV917508 DXR917508 EHN917508 ERJ917508 FBF917508 FLB917508 FUX917508 GET917508 GOP917508 GYL917508 HIH917508 HSD917508 IBZ917508 ILV917508 IVR917508 JFN917508 JPJ917508 JZF917508 KJB917508 KSX917508 LCT917508 LMP917508 LWL917508 MGH917508 MQD917508 MZZ917508 NJV917508 NTR917508 ODN917508 ONJ917508 OXF917508 PHB917508 PQX917508 QAT917508 QKP917508 QUL917508 REH917508 ROD917508 RXZ917508 SHV917508 SRR917508 TBN917508 TLJ917508 TVF917508 UFB917508 UOX917508 UYT917508 VIP917508 VSL917508 WCH917508 WMD917508 WVZ917508 R983044 JN983044 TJ983044 ADF983044 ANB983044 AWX983044 BGT983044 BQP983044 CAL983044 CKH983044 CUD983044 DDZ983044 DNV983044 DXR983044 EHN983044 ERJ983044 FBF983044 FLB983044 FUX983044 GET983044 GOP983044 GYL983044 HIH983044 HSD983044 IBZ983044 ILV983044 IVR983044 JFN983044 JPJ983044 JZF983044 KJB983044 KSX983044 LCT983044 LMP983044 LWL983044 MGH983044 MQD983044 MZZ983044 NJV983044 NTR983044 ODN983044 ONJ983044 OXF983044 PHB983044 PQX983044 QAT983044 QKP983044 QUL983044 REH983044 ROD983044 RXZ983044 SHV983044 SRR983044 TBN983044 TLJ983044 TVF983044 UFB983044 UOX983044 UYT983044 VIP983044 VSL983044 WCH983044 WMD983044 WVZ983044" xr:uid="{343BA6A4-22C0-41F3-BAF6-241594496A1F}">
      <formula1>"wet,dry"</formula1>
    </dataValidation>
  </dataValidations>
  <pageMargins left="0.511811024" right="0.511811024" top="0.78740157499999996" bottom="0.78740157499999996" header="0.31496062000000002" footer="0.31496062000000002"/>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42134-9C12-456C-A1CE-BE276F6E2977}">
  <sheetPr>
    <tabColor rgb="FFC2D7E0"/>
  </sheetPr>
  <dimension ref="B1:R1400"/>
  <sheetViews>
    <sheetView showGridLines="0" zoomScale="80" zoomScaleNormal="80" workbookViewId="0">
      <selection activeCell="M25" sqref="M25:P25"/>
    </sheetView>
  </sheetViews>
  <sheetFormatPr defaultRowHeight="14.25" x14ac:dyDescent="0.25"/>
  <cols>
    <col min="1" max="1" width="2.28515625" style="85" customWidth="1"/>
    <col min="2" max="2" width="22.28515625" style="85" customWidth="1"/>
    <col min="3" max="3" width="10.5703125" style="85" customWidth="1"/>
    <col min="4" max="4" width="17.42578125" style="85" customWidth="1"/>
    <col min="5" max="5" width="22.28515625" style="85" customWidth="1"/>
    <col min="6" max="6" width="21.5703125" style="85" customWidth="1"/>
    <col min="7" max="7" width="21.28515625" style="85" customWidth="1"/>
    <col min="8" max="8" width="15.140625" style="85" customWidth="1"/>
    <col min="9" max="9" width="22.5703125" style="85" customWidth="1"/>
    <col min="10" max="11" width="21" style="85" customWidth="1"/>
    <col min="12" max="12" width="27.5703125" style="85" customWidth="1"/>
    <col min="13" max="13" width="26" style="85" customWidth="1"/>
    <col min="14" max="14" width="27.140625" style="85" customWidth="1"/>
    <col min="15" max="15" width="13" style="85" customWidth="1"/>
    <col min="16" max="17" width="20" style="85" customWidth="1"/>
    <col min="18" max="18" width="23" style="85" customWidth="1"/>
    <col min="19" max="256" width="9.140625" style="85"/>
    <col min="257" max="257" width="2.28515625" style="85" customWidth="1"/>
    <col min="258" max="258" width="22.28515625" style="85" customWidth="1"/>
    <col min="259" max="259" width="10.5703125" style="85" customWidth="1"/>
    <col min="260" max="260" width="17.42578125" style="85" customWidth="1"/>
    <col min="261" max="261" width="22.28515625" style="85" customWidth="1"/>
    <col min="262" max="262" width="21.5703125" style="85" customWidth="1"/>
    <col min="263" max="263" width="21.28515625" style="85" customWidth="1"/>
    <col min="264" max="264" width="15.140625" style="85" customWidth="1"/>
    <col min="265" max="265" width="22.5703125" style="85" customWidth="1"/>
    <col min="266" max="267" width="21" style="85" customWidth="1"/>
    <col min="268" max="268" width="27.5703125" style="85" customWidth="1"/>
    <col min="269" max="269" width="26" style="85" customWidth="1"/>
    <col min="270" max="270" width="27.140625" style="85" customWidth="1"/>
    <col min="271" max="271" width="13" style="85" customWidth="1"/>
    <col min="272" max="273" width="20" style="85" customWidth="1"/>
    <col min="274" max="274" width="23" style="85" customWidth="1"/>
    <col min="275" max="512" width="9.140625" style="85"/>
    <col min="513" max="513" width="2.28515625" style="85" customWidth="1"/>
    <col min="514" max="514" width="22.28515625" style="85" customWidth="1"/>
    <col min="515" max="515" width="10.5703125" style="85" customWidth="1"/>
    <col min="516" max="516" width="17.42578125" style="85" customWidth="1"/>
    <col min="517" max="517" width="22.28515625" style="85" customWidth="1"/>
    <col min="518" max="518" width="21.5703125" style="85" customWidth="1"/>
    <col min="519" max="519" width="21.28515625" style="85" customWidth="1"/>
    <col min="520" max="520" width="15.140625" style="85" customWidth="1"/>
    <col min="521" max="521" width="22.5703125" style="85" customWidth="1"/>
    <col min="522" max="523" width="21" style="85" customWidth="1"/>
    <col min="524" max="524" width="27.5703125" style="85" customWidth="1"/>
    <col min="525" max="525" width="26" style="85" customWidth="1"/>
    <col min="526" max="526" width="27.140625" style="85" customWidth="1"/>
    <col min="527" max="527" width="13" style="85" customWidth="1"/>
    <col min="528" max="529" width="20" style="85" customWidth="1"/>
    <col min="530" max="530" width="23" style="85" customWidth="1"/>
    <col min="531" max="768" width="9.140625" style="85"/>
    <col min="769" max="769" width="2.28515625" style="85" customWidth="1"/>
    <col min="770" max="770" width="22.28515625" style="85" customWidth="1"/>
    <col min="771" max="771" width="10.5703125" style="85" customWidth="1"/>
    <col min="772" max="772" width="17.42578125" style="85" customWidth="1"/>
    <col min="773" max="773" width="22.28515625" style="85" customWidth="1"/>
    <col min="774" max="774" width="21.5703125" style="85" customWidth="1"/>
    <col min="775" max="775" width="21.28515625" style="85" customWidth="1"/>
    <col min="776" max="776" width="15.140625" style="85" customWidth="1"/>
    <col min="777" max="777" width="22.5703125" style="85" customWidth="1"/>
    <col min="778" max="779" width="21" style="85" customWidth="1"/>
    <col min="780" max="780" width="27.5703125" style="85" customWidth="1"/>
    <col min="781" max="781" width="26" style="85" customWidth="1"/>
    <col min="782" max="782" width="27.140625" style="85" customWidth="1"/>
    <col min="783" max="783" width="13" style="85" customWidth="1"/>
    <col min="784" max="785" width="20" style="85" customWidth="1"/>
    <col min="786" max="786" width="23" style="85" customWidth="1"/>
    <col min="787" max="1024" width="9.140625" style="85"/>
    <col min="1025" max="1025" width="2.28515625" style="85" customWidth="1"/>
    <col min="1026" max="1026" width="22.28515625" style="85" customWidth="1"/>
    <col min="1027" max="1027" width="10.5703125" style="85" customWidth="1"/>
    <col min="1028" max="1028" width="17.42578125" style="85" customWidth="1"/>
    <col min="1029" max="1029" width="22.28515625" style="85" customWidth="1"/>
    <col min="1030" max="1030" width="21.5703125" style="85" customWidth="1"/>
    <col min="1031" max="1031" width="21.28515625" style="85" customWidth="1"/>
    <col min="1032" max="1032" width="15.140625" style="85" customWidth="1"/>
    <col min="1033" max="1033" width="22.5703125" style="85" customWidth="1"/>
    <col min="1034" max="1035" width="21" style="85" customWidth="1"/>
    <col min="1036" max="1036" width="27.5703125" style="85" customWidth="1"/>
    <col min="1037" max="1037" width="26" style="85" customWidth="1"/>
    <col min="1038" max="1038" width="27.140625" style="85" customWidth="1"/>
    <col min="1039" max="1039" width="13" style="85" customWidth="1"/>
    <col min="1040" max="1041" width="20" style="85" customWidth="1"/>
    <col min="1042" max="1042" width="23" style="85" customWidth="1"/>
    <col min="1043" max="1280" width="9.140625" style="85"/>
    <col min="1281" max="1281" width="2.28515625" style="85" customWidth="1"/>
    <col min="1282" max="1282" width="22.28515625" style="85" customWidth="1"/>
    <col min="1283" max="1283" width="10.5703125" style="85" customWidth="1"/>
    <col min="1284" max="1284" width="17.42578125" style="85" customWidth="1"/>
    <col min="1285" max="1285" width="22.28515625" style="85" customWidth="1"/>
    <col min="1286" max="1286" width="21.5703125" style="85" customWidth="1"/>
    <col min="1287" max="1287" width="21.28515625" style="85" customWidth="1"/>
    <col min="1288" max="1288" width="15.140625" style="85" customWidth="1"/>
    <col min="1289" max="1289" width="22.5703125" style="85" customWidth="1"/>
    <col min="1290" max="1291" width="21" style="85" customWidth="1"/>
    <col min="1292" max="1292" width="27.5703125" style="85" customWidth="1"/>
    <col min="1293" max="1293" width="26" style="85" customWidth="1"/>
    <col min="1294" max="1294" width="27.140625" style="85" customWidth="1"/>
    <col min="1295" max="1295" width="13" style="85" customWidth="1"/>
    <col min="1296" max="1297" width="20" style="85" customWidth="1"/>
    <col min="1298" max="1298" width="23" style="85" customWidth="1"/>
    <col min="1299" max="1536" width="9.140625" style="85"/>
    <col min="1537" max="1537" width="2.28515625" style="85" customWidth="1"/>
    <col min="1538" max="1538" width="22.28515625" style="85" customWidth="1"/>
    <col min="1539" max="1539" width="10.5703125" style="85" customWidth="1"/>
    <col min="1540" max="1540" width="17.42578125" style="85" customWidth="1"/>
    <col min="1541" max="1541" width="22.28515625" style="85" customWidth="1"/>
    <col min="1542" max="1542" width="21.5703125" style="85" customWidth="1"/>
    <col min="1543" max="1543" width="21.28515625" style="85" customWidth="1"/>
    <col min="1544" max="1544" width="15.140625" style="85" customWidth="1"/>
    <col min="1545" max="1545" width="22.5703125" style="85" customWidth="1"/>
    <col min="1546" max="1547" width="21" style="85" customWidth="1"/>
    <col min="1548" max="1548" width="27.5703125" style="85" customWidth="1"/>
    <col min="1549" max="1549" width="26" style="85" customWidth="1"/>
    <col min="1550" max="1550" width="27.140625" style="85" customWidth="1"/>
    <col min="1551" max="1551" width="13" style="85" customWidth="1"/>
    <col min="1552" max="1553" width="20" style="85" customWidth="1"/>
    <col min="1554" max="1554" width="23" style="85" customWidth="1"/>
    <col min="1555" max="1792" width="9.140625" style="85"/>
    <col min="1793" max="1793" width="2.28515625" style="85" customWidth="1"/>
    <col min="1794" max="1794" width="22.28515625" style="85" customWidth="1"/>
    <col min="1795" max="1795" width="10.5703125" style="85" customWidth="1"/>
    <col min="1796" max="1796" width="17.42578125" style="85" customWidth="1"/>
    <col min="1797" max="1797" width="22.28515625" style="85" customWidth="1"/>
    <col min="1798" max="1798" width="21.5703125" style="85" customWidth="1"/>
    <col min="1799" max="1799" width="21.28515625" style="85" customWidth="1"/>
    <col min="1800" max="1800" width="15.140625" style="85" customWidth="1"/>
    <col min="1801" max="1801" width="22.5703125" style="85" customWidth="1"/>
    <col min="1802" max="1803" width="21" style="85" customWidth="1"/>
    <col min="1804" max="1804" width="27.5703125" style="85" customWidth="1"/>
    <col min="1805" max="1805" width="26" style="85" customWidth="1"/>
    <col min="1806" max="1806" width="27.140625" style="85" customWidth="1"/>
    <col min="1807" max="1807" width="13" style="85" customWidth="1"/>
    <col min="1808" max="1809" width="20" style="85" customWidth="1"/>
    <col min="1810" max="1810" width="23" style="85" customWidth="1"/>
    <col min="1811" max="2048" width="9.140625" style="85"/>
    <col min="2049" max="2049" width="2.28515625" style="85" customWidth="1"/>
    <col min="2050" max="2050" width="22.28515625" style="85" customWidth="1"/>
    <col min="2051" max="2051" width="10.5703125" style="85" customWidth="1"/>
    <col min="2052" max="2052" width="17.42578125" style="85" customWidth="1"/>
    <col min="2053" max="2053" width="22.28515625" style="85" customWidth="1"/>
    <col min="2054" max="2054" width="21.5703125" style="85" customWidth="1"/>
    <col min="2055" max="2055" width="21.28515625" style="85" customWidth="1"/>
    <col min="2056" max="2056" width="15.140625" style="85" customWidth="1"/>
    <col min="2057" max="2057" width="22.5703125" style="85" customWidth="1"/>
    <col min="2058" max="2059" width="21" style="85" customWidth="1"/>
    <col min="2060" max="2060" width="27.5703125" style="85" customWidth="1"/>
    <col min="2061" max="2061" width="26" style="85" customWidth="1"/>
    <col min="2062" max="2062" width="27.140625" style="85" customWidth="1"/>
    <col min="2063" max="2063" width="13" style="85" customWidth="1"/>
    <col min="2064" max="2065" width="20" style="85" customWidth="1"/>
    <col min="2066" max="2066" width="23" style="85" customWidth="1"/>
    <col min="2067" max="2304" width="9.140625" style="85"/>
    <col min="2305" max="2305" width="2.28515625" style="85" customWidth="1"/>
    <col min="2306" max="2306" width="22.28515625" style="85" customWidth="1"/>
    <col min="2307" max="2307" width="10.5703125" style="85" customWidth="1"/>
    <col min="2308" max="2308" width="17.42578125" style="85" customWidth="1"/>
    <col min="2309" max="2309" width="22.28515625" style="85" customWidth="1"/>
    <col min="2310" max="2310" width="21.5703125" style="85" customWidth="1"/>
    <col min="2311" max="2311" width="21.28515625" style="85" customWidth="1"/>
    <col min="2312" max="2312" width="15.140625" style="85" customWidth="1"/>
    <col min="2313" max="2313" width="22.5703125" style="85" customWidth="1"/>
    <col min="2314" max="2315" width="21" style="85" customWidth="1"/>
    <col min="2316" max="2316" width="27.5703125" style="85" customWidth="1"/>
    <col min="2317" max="2317" width="26" style="85" customWidth="1"/>
    <col min="2318" max="2318" width="27.140625" style="85" customWidth="1"/>
    <col min="2319" max="2319" width="13" style="85" customWidth="1"/>
    <col min="2320" max="2321" width="20" style="85" customWidth="1"/>
    <col min="2322" max="2322" width="23" style="85" customWidth="1"/>
    <col min="2323" max="2560" width="9.140625" style="85"/>
    <col min="2561" max="2561" width="2.28515625" style="85" customWidth="1"/>
    <col min="2562" max="2562" width="22.28515625" style="85" customWidth="1"/>
    <col min="2563" max="2563" width="10.5703125" style="85" customWidth="1"/>
    <col min="2564" max="2564" width="17.42578125" style="85" customWidth="1"/>
    <col min="2565" max="2565" width="22.28515625" style="85" customWidth="1"/>
    <col min="2566" max="2566" width="21.5703125" style="85" customWidth="1"/>
    <col min="2567" max="2567" width="21.28515625" style="85" customWidth="1"/>
    <col min="2568" max="2568" width="15.140625" style="85" customWidth="1"/>
    <col min="2569" max="2569" width="22.5703125" style="85" customWidth="1"/>
    <col min="2570" max="2571" width="21" style="85" customWidth="1"/>
    <col min="2572" max="2572" width="27.5703125" style="85" customWidth="1"/>
    <col min="2573" max="2573" width="26" style="85" customWidth="1"/>
    <col min="2574" max="2574" width="27.140625" style="85" customWidth="1"/>
    <col min="2575" max="2575" width="13" style="85" customWidth="1"/>
    <col min="2576" max="2577" width="20" style="85" customWidth="1"/>
    <col min="2578" max="2578" width="23" style="85" customWidth="1"/>
    <col min="2579" max="2816" width="9.140625" style="85"/>
    <col min="2817" max="2817" width="2.28515625" style="85" customWidth="1"/>
    <col min="2818" max="2818" width="22.28515625" style="85" customWidth="1"/>
    <col min="2819" max="2819" width="10.5703125" style="85" customWidth="1"/>
    <col min="2820" max="2820" width="17.42578125" style="85" customWidth="1"/>
    <col min="2821" max="2821" width="22.28515625" style="85" customWidth="1"/>
    <col min="2822" max="2822" width="21.5703125" style="85" customWidth="1"/>
    <col min="2823" max="2823" width="21.28515625" style="85" customWidth="1"/>
    <col min="2824" max="2824" width="15.140625" style="85" customWidth="1"/>
    <col min="2825" max="2825" width="22.5703125" style="85" customWidth="1"/>
    <col min="2826" max="2827" width="21" style="85" customWidth="1"/>
    <col min="2828" max="2828" width="27.5703125" style="85" customWidth="1"/>
    <col min="2829" max="2829" width="26" style="85" customWidth="1"/>
    <col min="2830" max="2830" width="27.140625" style="85" customWidth="1"/>
    <col min="2831" max="2831" width="13" style="85" customWidth="1"/>
    <col min="2832" max="2833" width="20" style="85" customWidth="1"/>
    <col min="2834" max="2834" width="23" style="85" customWidth="1"/>
    <col min="2835" max="3072" width="9.140625" style="85"/>
    <col min="3073" max="3073" width="2.28515625" style="85" customWidth="1"/>
    <col min="3074" max="3074" width="22.28515625" style="85" customWidth="1"/>
    <col min="3075" max="3075" width="10.5703125" style="85" customWidth="1"/>
    <col min="3076" max="3076" width="17.42578125" style="85" customWidth="1"/>
    <col min="3077" max="3077" width="22.28515625" style="85" customWidth="1"/>
    <col min="3078" max="3078" width="21.5703125" style="85" customWidth="1"/>
    <col min="3079" max="3079" width="21.28515625" style="85" customWidth="1"/>
    <col min="3080" max="3080" width="15.140625" style="85" customWidth="1"/>
    <col min="3081" max="3081" width="22.5703125" style="85" customWidth="1"/>
    <col min="3082" max="3083" width="21" style="85" customWidth="1"/>
    <col min="3084" max="3084" width="27.5703125" style="85" customWidth="1"/>
    <col min="3085" max="3085" width="26" style="85" customWidth="1"/>
    <col min="3086" max="3086" width="27.140625" style="85" customWidth="1"/>
    <col min="3087" max="3087" width="13" style="85" customWidth="1"/>
    <col min="3088" max="3089" width="20" style="85" customWidth="1"/>
    <col min="3090" max="3090" width="23" style="85" customWidth="1"/>
    <col min="3091" max="3328" width="9.140625" style="85"/>
    <col min="3329" max="3329" width="2.28515625" style="85" customWidth="1"/>
    <col min="3330" max="3330" width="22.28515625" style="85" customWidth="1"/>
    <col min="3331" max="3331" width="10.5703125" style="85" customWidth="1"/>
    <col min="3332" max="3332" width="17.42578125" style="85" customWidth="1"/>
    <col min="3333" max="3333" width="22.28515625" style="85" customWidth="1"/>
    <col min="3334" max="3334" width="21.5703125" style="85" customWidth="1"/>
    <col min="3335" max="3335" width="21.28515625" style="85" customWidth="1"/>
    <col min="3336" max="3336" width="15.140625" style="85" customWidth="1"/>
    <col min="3337" max="3337" width="22.5703125" style="85" customWidth="1"/>
    <col min="3338" max="3339" width="21" style="85" customWidth="1"/>
    <col min="3340" max="3340" width="27.5703125" style="85" customWidth="1"/>
    <col min="3341" max="3341" width="26" style="85" customWidth="1"/>
    <col min="3342" max="3342" width="27.140625" style="85" customWidth="1"/>
    <col min="3343" max="3343" width="13" style="85" customWidth="1"/>
    <col min="3344" max="3345" width="20" style="85" customWidth="1"/>
    <col min="3346" max="3346" width="23" style="85" customWidth="1"/>
    <col min="3347" max="3584" width="9.140625" style="85"/>
    <col min="3585" max="3585" width="2.28515625" style="85" customWidth="1"/>
    <col min="3586" max="3586" width="22.28515625" style="85" customWidth="1"/>
    <col min="3587" max="3587" width="10.5703125" style="85" customWidth="1"/>
    <col min="3588" max="3588" width="17.42578125" style="85" customWidth="1"/>
    <col min="3589" max="3589" width="22.28515625" style="85" customWidth="1"/>
    <col min="3590" max="3590" width="21.5703125" style="85" customWidth="1"/>
    <col min="3591" max="3591" width="21.28515625" style="85" customWidth="1"/>
    <col min="3592" max="3592" width="15.140625" style="85" customWidth="1"/>
    <col min="3593" max="3593" width="22.5703125" style="85" customWidth="1"/>
    <col min="3594" max="3595" width="21" style="85" customWidth="1"/>
    <col min="3596" max="3596" width="27.5703125" style="85" customWidth="1"/>
    <col min="3597" max="3597" width="26" style="85" customWidth="1"/>
    <col min="3598" max="3598" width="27.140625" style="85" customWidth="1"/>
    <col min="3599" max="3599" width="13" style="85" customWidth="1"/>
    <col min="3600" max="3601" width="20" style="85" customWidth="1"/>
    <col min="3602" max="3602" width="23" style="85" customWidth="1"/>
    <col min="3603" max="3840" width="9.140625" style="85"/>
    <col min="3841" max="3841" width="2.28515625" style="85" customWidth="1"/>
    <col min="3842" max="3842" width="22.28515625" style="85" customWidth="1"/>
    <col min="3843" max="3843" width="10.5703125" style="85" customWidth="1"/>
    <col min="3844" max="3844" width="17.42578125" style="85" customWidth="1"/>
    <col min="3845" max="3845" width="22.28515625" style="85" customWidth="1"/>
    <col min="3846" max="3846" width="21.5703125" style="85" customWidth="1"/>
    <col min="3847" max="3847" width="21.28515625" style="85" customWidth="1"/>
    <col min="3848" max="3848" width="15.140625" style="85" customWidth="1"/>
    <col min="3849" max="3849" width="22.5703125" style="85" customWidth="1"/>
    <col min="3850" max="3851" width="21" style="85" customWidth="1"/>
    <col min="3852" max="3852" width="27.5703125" style="85" customWidth="1"/>
    <col min="3853" max="3853" width="26" style="85" customWidth="1"/>
    <col min="3854" max="3854" width="27.140625" style="85" customWidth="1"/>
    <col min="3855" max="3855" width="13" style="85" customWidth="1"/>
    <col min="3856" max="3857" width="20" style="85" customWidth="1"/>
    <col min="3858" max="3858" width="23" style="85" customWidth="1"/>
    <col min="3859" max="4096" width="9.140625" style="85"/>
    <col min="4097" max="4097" width="2.28515625" style="85" customWidth="1"/>
    <col min="4098" max="4098" width="22.28515625" style="85" customWidth="1"/>
    <col min="4099" max="4099" width="10.5703125" style="85" customWidth="1"/>
    <col min="4100" max="4100" width="17.42578125" style="85" customWidth="1"/>
    <col min="4101" max="4101" width="22.28515625" style="85" customWidth="1"/>
    <col min="4102" max="4102" width="21.5703125" style="85" customWidth="1"/>
    <col min="4103" max="4103" width="21.28515625" style="85" customWidth="1"/>
    <col min="4104" max="4104" width="15.140625" style="85" customWidth="1"/>
    <col min="4105" max="4105" width="22.5703125" style="85" customWidth="1"/>
    <col min="4106" max="4107" width="21" style="85" customWidth="1"/>
    <col min="4108" max="4108" width="27.5703125" style="85" customWidth="1"/>
    <col min="4109" max="4109" width="26" style="85" customWidth="1"/>
    <col min="4110" max="4110" width="27.140625" style="85" customWidth="1"/>
    <col min="4111" max="4111" width="13" style="85" customWidth="1"/>
    <col min="4112" max="4113" width="20" style="85" customWidth="1"/>
    <col min="4114" max="4114" width="23" style="85" customWidth="1"/>
    <col min="4115" max="4352" width="9.140625" style="85"/>
    <col min="4353" max="4353" width="2.28515625" style="85" customWidth="1"/>
    <col min="4354" max="4354" width="22.28515625" style="85" customWidth="1"/>
    <col min="4355" max="4355" width="10.5703125" style="85" customWidth="1"/>
    <col min="4356" max="4356" width="17.42578125" style="85" customWidth="1"/>
    <col min="4357" max="4357" width="22.28515625" style="85" customWidth="1"/>
    <col min="4358" max="4358" width="21.5703125" style="85" customWidth="1"/>
    <col min="4359" max="4359" width="21.28515625" style="85" customWidth="1"/>
    <col min="4360" max="4360" width="15.140625" style="85" customWidth="1"/>
    <col min="4361" max="4361" width="22.5703125" style="85" customWidth="1"/>
    <col min="4362" max="4363" width="21" style="85" customWidth="1"/>
    <col min="4364" max="4364" width="27.5703125" style="85" customWidth="1"/>
    <col min="4365" max="4365" width="26" style="85" customWidth="1"/>
    <col min="4366" max="4366" width="27.140625" style="85" customWidth="1"/>
    <col min="4367" max="4367" width="13" style="85" customWidth="1"/>
    <col min="4368" max="4369" width="20" style="85" customWidth="1"/>
    <col min="4370" max="4370" width="23" style="85" customWidth="1"/>
    <col min="4371" max="4608" width="9.140625" style="85"/>
    <col min="4609" max="4609" width="2.28515625" style="85" customWidth="1"/>
    <col min="4610" max="4610" width="22.28515625" style="85" customWidth="1"/>
    <col min="4611" max="4611" width="10.5703125" style="85" customWidth="1"/>
    <col min="4612" max="4612" width="17.42578125" style="85" customWidth="1"/>
    <col min="4613" max="4613" width="22.28515625" style="85" customWidth="1"/>
    <col min="4614" max="4614" width="21.5703125" style="85" customWidth="1"/>
    <col min="4615" max="4615" width="21.28515625" style="85" customWidth="1"/>
    <col min="4616" max="4616" width="15.140625" style="85" customWidth="1"/>
    <col min="4617" max="4617" width="22.5703125" style="85" customWidth="1"/>
    <col min="4618" max="4619" width="21" style="85" customWidth="1"/>
    <col min="4620" max="4620" width="27.5703125" style="85" customWidth="1"/>
    <col min="4621" max="4621" width="26" style="85" customWidth="1"/>
    <col min="4622" max="4622" width="27.140625" style="85" customWidth="1"/>
    <col min="4623" max="4623" width="13" style="85" customWidth="1"/>
    <col min="4624" max="4625" width="20" style="85" customWidth="1"/>
    <col min="4626" max="4626" width="23" style="85" customWidth="1"/>
    <col min="4627" max="4864" width="9.140625" style="85"/>
    <col min="4865" max="4865" width="2.28515625" style="85" customWidth="1"/>
    <col min="4866" max="4866" width="22.28515625" style="85" customWidth="1"/>
    <col min="4867" max="4867" width="10.5703125" style="85" customWidth="1"/>
    <col min="4868" max="4868" width="17.42578125" style="85" customWidth="1"/>
    <col min="4869" max="4869" width="22.28515625" style="85" customWidth="1"/>
    <col min="4870" max="4870" width="21.5703125" style="85" customWidth="1"/>
    <col min="4871" max="4871" width="21.28515625" style="85" customWidth="1"/>
    <col min="4872" max="4872" width="15.140625" style="85" customWidth="1"/>
    <col min="4873" max="4873" width="22.5703125" style="85" customWidth="1"/>
    <col min="4874" max="4875" width="21" style="85" customWidth="1"/>
    <col min="4876" max="4876" width="27.5703125" style="85" customWidth="1"/>
    <col min="4877" max="4877" width="26" style="85" customWidth="1"/>
    <col min="4878" max="4878" width="27.140625" style="85" customWidth="1"/>
    <col min="4879" max="4879" width="13" style="85" customWidth="1"/>
    <col min="4880" max="4881" width="20" style="85" customWidth="1"/>
    <col min="4882" max="4882" width="23" style="85" customWidth="1"/>
    <col min="4883" max="5120" width="9.140625" style="85"/>
    <col min="5121" max="5121" width="2.28515625" style="85" customWidth="1"/>
    <col min="5122" max="5122" width="22.28515625" style="85" customWidth="1"/>
    <col min="5123" max="5123" width="10.5703125" style="85" customWidth="1"/>
    <col min="5124" max="5124" width="17.42578125" style="85" customWidth="1"/>
    <col min="5125" max="5125" width="22.28515625" style="85" customWidth="1"/>
    <col min="5126" max="5126" width="21.5703125" style="85" customWidth="1"/>
    <col min="5127" max="5127" width="21.28515625" style="85" customWidth="1"/>
    <col min="5128" max="5128" width="15.140625" style="85" customWidth="1"/>
    <col min="5129" max="5129" width="22.5703125" style="85" customWidth="1"/>
    <col min="5130" max="5131" width="21" style="85" customWidth="1"/>
    <col min="5132" max="5132" width="27.5703125" style="85" customWidth="1"/>
    <col min="5133" max="5133" width="26" style="85" customWidth="1"/>
    <col min="5134" max="5134" width="27.140625" style="85" customWidth="1"/>
    <col min="5135" max="5135" width="13" style="85" customWidth="1"/>
    <col min="5136" max="5137" width="20" style="85" customWidth="1"/>
    <col min="5138" max="5138" width="23" style="85" customWidth="1"/>
    <col min="5139" max="5376" width="9.140625" style="85"/>
    <col min="5377" max="5377" width="2.28515625" style="85" customWidth="1"/>
    <col min="5378" max="5378" width="22.28515625" style="85" customWidth="1"/>
    <col min="5379" max="5379" width="10.5703125" style="85" customWidth="1"/>
    <col min="5380" max="5380" width="17.42578125" style="85" customWidth="1"/>
    <col min="5381" max="5381" width="22.28515625" style="85" customWidth="1"/>
    <col min="5382" max="5382" width="21.5703125" style="85" customWidth="1"/>
    <col min="5383" max="5383" width="21.28515625" style="85" customWidth="1"/>
    <col min="5384" max="5384" width="15.140625" style="85" customWidth="1"/>
    <col min="5385" max="5385" width="22.5703125" style="85" customWidth="1"/>
    <col min="5386" max="5387" width="21" style="85" customWidth="1"/>
    <col min="5388" max="5388" width="27.5703125" style="85" customWidth="1"/>
    <col min="5389" max="5389" width="26" style="85" customWidth="1"/>
    <col min="5390" max="5390" width="27.140625" style="85" customWidth="1"/>
    <col min="5391" max="5391" width="13" style="85" customWidth="1"/>
    <col min="5392" max="5393" width="20" style="85" customWidth="1"/>
    <col min="5394" max="5394" width="23" style="85" customWidth="1"/>
    <col min="5395" max="5632" width="9.140625" style="85"/>
    <col min="5633" max="5633" width="2.28515625" style="85" customWidth="1"/>
    <col min="5634" max="5634" width="22.28515625" style="85" customWidth="1"/>
    <col min="5635" max="5635" width="10.5703125" style="85" customWidth="1"/>
    <col min="5636" max="5636" width="17.42578125" style="85" customWidth="1"/>
    <col min="5637" max="5637" width="22.28515625" style="85" customWidth="1"/>
    <col min="5638" max="5638" width="21.5703125" style="85" customWidth="1"/>
    <col min="5639" max="5639" width="21.28515625" style="85" customWidth="1"/>
    <col min="5640" max="5640" width="15.140625" style="85" customWidth="1"/>
    <col min="5641" max="5641" width="22.5703125" style="85" customWidth="1"/>
    <col min="5642" max="5643" width="21" style="85" customWidth="1"/>
    <col min="5644" max="5644" width="27.5703125" style="85" customWidth="1"/>
    <col min="5645" max="5645" width="26" style="85" customWidth="1"/>
    <col min="5646" max="5646" width="27.140625" style="85" customWidth="1"/>
    <col min="5647" max="5647" width="13" style="85" customWidth="1"/>
    <col min="5648" max="5649" width="20" style="85" customWidth="1"/>
    <col min="5650" max="5650" width="23" style="85" customWidth="1"/>
    <col min="5651" max="5888" width="9.140625" style="85"/>
    <col min="5889" max="5889" width="2.28515625" style="85" customWidth="1"/>
    <col min="5890" max="5890" width="22.28515625" style="85" customWidth="1"/>
    <col min="5891" max="5891" width="10.5703125" style="85" customWidth="1"/>
    <col min="5892" max="5892" width="17.42578125" style="85" customWidth="1"/>
    <col min="5893" max="5893" width="22.28515625" style="85" customWidth="1"/>
    <col min="5894" max="5894" width="21.5703125" style="85" customWidth="1"/>
    <col min="5895" max="5895" width="21.28515625" style="85" customWidth="1"/>
    <col min="5896" max="5896" width="15.140625" style="85" customWidth="1"/>
    <col min="5897" max="5897" width="22.5703125" style="85" customWidth="1"/>
    <col min="5898" max="5899" width="21" style="85" customWidth="1"/>
    <col min="5900" max="5900" width="27.5703125" style="85" customWidth="1"/>
    <col min="5901" max="5901" width="26" style="85" customWidth="1"/>
    <col min="5902" max="5902" width="27.140625" style="85" customWidth="1"/>
    <col min="5903" max="5903" width="13" style="85" customWidth="1"/>
    <col min="5904" max="5905" width="20" style="85" customWidth="1"/>
    <col min="5906" max="5906" width="23" style="85" customWidth="1"/>
    <col min="5907" max="6144" width="9.140625" style="85"/>
    <col min="6145" max="6145" width="2.28515625" style="85" customWidth="1"/>
    <col min="6146" max="6146" width="22.28515625" style="85" customWidth="1"/>
    <col min="6147" max="6147" width="10.5703125" style="85" customWidth="1"/>
    <col min="6148" max="6148" width="17.42578125" style="85" customWidth="1"/>
    <col min="6149" max="6149" width="22.28515625" style="85" customWidth="1"/>
    <col min="6150" max="6150" width="21.5703125" style="85" customWidth="1"/>
    <col min="6151" max="6151" width="21.28515625" style="85" customWidth="1"/>
    <col min="6152" max="6152" width="15.140625" style="85" customWidth="1"/>
    <col min="6153" max="6153" width="22.5703125" style="85" customWidth="1"/>
    <col min="6154" max="6155" width="21" style="85" customWidth="1"/>
    <col min="6156" max="6156" width="27.5703125" style="85" customWidth="1"/>
    <col min="6157" max="6157" width="26" style="85" customWidth="1"/>
    <col min="6158" max="6158" width="27.140625" style="85" customWidth="1"/>
    <col min="6159" max="6159" width="13" style="85" customWidth="1"/>
    <col min="6160" max="6161" width="20" style="85" customWidth="1"/>
    <col min="6162" max="6162" width="23" style="85" customWidth="1"/>
    <col min="6163" max="6400" width="9.140625" style="85"/>
    <col min="6401" max="6401" width="2.28515625" style="85" customWidth="1"/>
    <col min="6402" max="6402" width="22.28515625" style="85" customWidth="1"/>
    <col min="6403" max="6403" width="10.5703125" style="85" customWidth="1"/>
    <col min="6404" max="6404" width="17.42578125" style="85" customWidth="1"/>
    <col min="6405" max="6405" width="22.28515625" style="85" customWidth="1"/>
    <col min="6406" max="6406" width="21.5703125" style="85" customWidth="1"/>
    <col min="6407" max="6407" width="21.28515625" style="85" customWidth="1"/>
    <col min="6408" max="6408" width="15.140625" style="85" customWidth="1"/>
    <col min="6409" max="6409" width="22.5703125" style="85" customWidth="1"/>
    <col min="6410" max="6411" width="21" style="85" customWidth="1"/>
    <col min="6412" max="6412" width="27.5703125" style="85" customWidth="1"/>
    <col min="6413" max="6413" width="26" style="85" customWidth="1"/>
    <col min="6414" max="6414" width="27.140625" style="85" customWidth="1"/>
    <col min="6415" max="6415" width="13" style="85" customWidth="1"/>
    <col min="6416" max="6417" width="20" style="85" customWidth="1"/>
    <col min="6418" max="6418" width="23" style="85" customWidth="1"/>
    <col min="6419" max="6656" width="9.140625" style="85"/>
    <col min="6657" max="6657" width="2.28515625" style="85" customWidth="1"/>
    <col min="6658" max="6658" width="22.28515625" style="85" customWidth="1"/>
    <col min="6659" max="6659" width="10.5703125" style="85" customWidth="1"/>
    <col min="6660" max="6660" width="17.42578125" style="85" customWidth="1"/>
    <col min="6661" max="6661" width="22.28515625" style="85" customWidth="1"/>
    <col min="6662" max="6662" width="21.5703125" style="85" customWidth="1"/>
    <col min="6663" max="6663" width="21.28515625" style="85" customWidth="1"/>
    <col min="6664" max="6664" width="15.140625" style="85" customWidth="1"/>
    <col min="6665" max="6665" width="22.5703125" style="85" customWidth="1"/>
    <col min="6666" max="6667" width="21" style="85" customWidth="1"/>
    <col min="6668" max="6668" width="27.5703125" style="85" customWidth="1"/>
    <col min="6669" max="6669" width="26" style="85" customWidth="1"/>
    <col min="6670" max="6670" width="27.140625" style="85" customWidth="1"/>
    <col min="6671" max="6671" width="13" style="85" customWidth="1"/>
    <col min="6672" max="6673" width="20" style="85" customWidth="1"/>
    <col min="6674" max="6674" width="23" style="85" customWidth="1"/>
    <col min="6675" max="6912" width="9.140625" style="85"/>
    <col min="6913" max="6913" width="2.28515625" style="85" customWidth="1"/>
    <col min="6914" max="6914" width="22.28515625" style="85" customWidth="1"/>
    <col min="6915" max="6915" width="10.5703125" style="85" customWidth="1"/>
    <col min="6916" max="6916" width="17.42578125" style="85" customWidth="1"/>
    <col min="6917" max="6917" width="22.28515625" style="85" customWidth="1"/>
    <col min="6918" max="6918" width="21.5703125" style="85" customWidth="1"/>
    <col min="6919" max="6919" width="21.28515625" style="85" customWidth="1"/>
    <col min="6920" max="6920" width="15.140625" style="85" customWidth="1"/>
    <col min="6921" max="6921" width="22.5703125" style="85" customWidth="1"/>
    <col min="6922" max="6923" width="21" style="85" customWidth="1"/>
    <col min="6924" max="6924" width="27.5703125" style="85" customWidth="1"/>
    <col min="6925" max="6925" width="26" style="85" customWidth="1"/>
    <col min="6926" max="6926" width="27.140625" style="85" customWidth="1"/>
    <col min="6927" max="6927" width="13" style="85" customWidth="1"/>
    <col min="6928" max="6929" width="20" style="85" customWidth="1"/>
    <col min="6930" max="6930" width="23" style="85" customWidth="1"/>
    <col min="6931" max="7168" width="9.140625" style="85"/>
    <col min="7169" max="7169" width="2.28515625" style="85" customWidth="1"/>
    <col min="7170" max="7170" width="22.28515625" style="85" customWidth="1"/>
    <col min="7171" max="7171" width="10.5703125" style="85" customWidth="1"/>
    <col min="7172" max="7172" width="17.42578125" style="85" customWidth="1"/>
    <col min="7173" max="7173" width="22.28515625" style="85" customWidth="1"/>
    <col min="7174" max="7174" width="21.5703125" style="85" customWidth="1"/>
    <col min="7175" max="7175" width="21.28515625" style="85" customWidth="1"/>
    <col min="7176" max="7176" width="15.140625" style="85" customWidth="1"/>
    <col min="7177" max="7177" width="22.5703125" style="85" customWidth="1"/>
    <col min="7178" max="7179" width="21" style="85" customWidth="1"/>
    <col min="7180" max="7180" width="27.5703125" style="85" customWidth="1"/>
    <col min="7181" max="7181" width="26" style="85" customWidth="1"/>
    <col min="7182" max="7182" width="27.140625" style="85" customWidth="1"/>
    <col min="7183" max="7183" width="13" style="85" customWidth="1"/>
    <col min="7184" max="7185" width="20" style="85" customWidth="1"/>
    <col min="7186" max="7186" width="23" style="85" customWidth="1"/>
    <col min="7187" max="7424" width="9.140625" style="85"/>
    <col min="7425" max="7425" width="2.28515625" style="85" customWidth="1"/>
    <col min="7426" max="7426" width="22.28515625" style="85" customWidth="1"/>
    <col min="7427" max="7427" width="10.5703125" style="85" customWidth="1"/>
    <col min="7428" max="7428" width="17.42578125" style="85" customWidth="1"/>
    <col min="7429" max="7429" width="22.28515625" style="85" customWidth="1"/>
    <col min="7430" max="7430" width="21.5703125" style="85" customWidth="1"/>
    <col min="7431" max="7431" width="21.28515625" style="85" customWidth="1"/>
    <col min="7432" max="7432" width="15.140625" style="85" customWidth="1"/>
    <col min="7433" max="7433" width="22.5703125" style="85" customWidth="1"/>
    <col min="7434" max="7435" width="21" style="85" customWidth="1"/>
    <col min="7436" max="7436" width="27.5703125" style="85" customWidth="1"/>
    <col min="7437" max="7437" width="26" style="85" customWidth="1"/>
    <col min="7438" max="7438" width="27.140625" style="85" customWidth="1"/>
    <col min="7439" max="7439" width="13" style="85" customWidth="1"/>
    <col min="7440" max="7441" width="20" style="85" customWidth="1"/>
    <col min="7442" max="7442" width="23" style="85" customWidth="1"/>
    <col min="7443" max="7680" width="9.140625" style="85"/>
    <col min="7681" max="7681" width="2.28515625" style="85" customWidth="1"/>
    <col min="7682" max="7682" width="22.28515625" style="85" customWidth="1"/>
    <col min="7683" max="7683" width="10.5703125" style="85" customWidth="1"/>
    <col min="7684" max="7684" width="17.42578125" style="85" customWidth="1"/>
    <col min="7685" max="7685" width="22.28515625" style="85" customWidth="1"/>
    <col min="7686" max="7686" width="21.5703125" style="85" customWidth="1"/>
    <col min="7687" max="7687" width="21.28515625" style="85" customWidth="1"/>
    <col min="7688" max="7688" width="15.140625" style="85" customWidth="1"/>
    <col min="7689" max="7689" width="22.5703125" style="85" customWidth="1"/>
    <col min="7690" max="7691" width="21" style="85" customWidth="1"/>
    <col min="7692" max="7692" width="27.5703125" style="85" customWidth="1"/>
    <col min="7693" max="7693" width="26" style="85" customWidth="1"/>
    <col min="7694" max="7694" width="27.140625" style="85" customWidth="1"/>
    <col min="7695" max="7695" width="13" style="85" customWidth="1"/>
    <col min="7696" max="7697" width="20" style="85" customWidth="1"/>
    <col min="7698" max="7698" width="23" style="85" customWidth="1"/>
    <col min="7699" max="7936" width="9.140625" style="85"/>
    <col min="7937" max="7937" width="2.28515625" style="85" customWidth="1"/>
    <col min="7938" max="7938" width="22.28515625" style="85" customWidth="1"/>
    <col min="7939" max="7939" width="10.5703125" style="85" customWidth="1"/>
    <col min="7940" max="7940" width="17.42578125" style="85" customWidth="1"/>
    <col min="7941" max="7941" width="22.28515625" style="85" customWidth="1"/>
    <col min="7942" max="7942" width="21.5703125" style="85" customWidth="1"/>
    <col min="7943" max="7943" width="21.28515625" style="85" customWidth="1"/>
    <col min="7944" max="7944" width="15.140625" style="85" customWidth="1"/>
    <col min="7945" max="7945" width="22.5703125" style="85" customWidth="1"/>
    <col min="7946" max="7947" width="21" style="85" customWidth="1"/>
    <col min="7948" max="7948" width="27.5703125" style="85" customWidth="1"/>
    <col min="7949" max="7949" width="26" style="85" customWidth="1"/>
    <col min="7950" max="7950" width="27.140625" style="85" customWidth="1"/>
    <col min="7951" max="7951" width="13" style="85" customWidth="1"/>
    <col min="7952" max="7953" width="20" style="85" customWidth="1"/>
    <col min="7954" max="7954" width="23" style="85" customWidth="1"/>
    <col min="7955" max="8192" width="9.140625" style="85"/>
    <col min="8193" max="8193" width="2.28515625" style="85" customWidth="1"/>
    <col min="8194" max="8194" width="22.28515625" style="85" customWidth="1"/>
    <col min="8195" max="8195" width="10.5703125" style="85" customWidth="1"/>
    <col min="8196" max="8196" width="17.42578125" style="85" customWidth="1"/>
    <col min="8197" max="8197" width="22.28515625" style="85" customWidth="1"/>
    <col min="8198" max="8198" width="21.5703125" style="85" customWidth="1"/>
    <col min="8199" max="8199" width="21.28515625" style="85" customWidth="1"/>
    <col min="8200" max="8200" width="15.140625" style="85" customWidth="1"/>
    <col min="8201" max="8201" width="22.5703125" style="85" customWidth="1"/>
    <col min="8202" max="8203" width="21" style="85" customWidth="1"/>
    <col min="8204" max="8204" width="27.5703125" style="85" customWidth="1"/>
    <col min="8205" max="8205" width="26" style="85" customWidth="1"/>
    <col min="8206" max="8206" width="27.140625" style="85" customWidth="1"/>
    <col min="8207" max="8207" width="13" style="85" customWidth="1"/>
    <col min="8208" max="8209" width="20" style="85" customWidth="1"/>
    <col min="8210" max="8210" width="23" style="85" customWidth="1"/>
    <col min="8211" max="8448" width="9.140625" style="85"/>
    <col min="8449" max="8449" width="2.28515625" style="85" customWidth="1"/>
    <col min="8450" max="8450" width="22.28515625" style="85" customWidth="1"/>
    <col min="8451" max="8451" width="10.5703125" style="85" customWidth="1"/>
    <col min="8452" max="8452" width="17.42578125" style="85" customWidth="1"/>
    <col min="8453" max="8453" width="22.28515625" style="85" customWidth="1"/>
    <col min="8454" max="8454" width="21.5703125" style="85" customWidth="1"/>
    <col min="8455" max="8455" width="21.28515625" style="85" customWidth="1"/>
    <col min="8456" max="8456" width="15.140625" style="85" customWidth="1"/>
    <col min="8457" max="8457" width="22.5703125" style="85" customWidth="1"/>
    <col min="8458" max="8459" width="21" style="85" customWidth="1"/>
    <col min="8460" max="8460" width="27.5703125" style="85" customWidth="1"/>
    <col min="8461" max="8461" width="26" style="85" customWidth="1"/>
    <col min="8462" max="8462" width="27.140625" style="85" customWidth="1"/>
    <col min="8463" max="8463" width="13" style="85" customWidth="1"/>
    <col min="8464" max="8465" width="20" style="85" customWidth="1"/>
    <col min="8466" max="8466" width="23" style="85" customWidth="1"/>
    <col min="8467" max="8704" width="9.140625" style="85"/>
    <col min="8705" max="8705" width="2.28515625" style="85" customWidth="1"/>
    <col min="8706" max="8706" width="22.28515625" style="85" customWidth="1"/>
    <col min="8707" max="8707" width="10.5703125" style="85" customWidth="1"/>
    <col min="8708" max="8708" width="17.42578125" style="85" customWidth="1"/>
    <col min="8709" max="8709" width="22.28515625" style="85" customWidth="1"/>
    <col min="8710" max="8710" width="21.5703125" style="85" customWidth="1"/>
    <col min="8711" max="8711" width="21.28515625" style="85" customWidth="1"/>
    <col min="8712" max="8712" width="15.140625" style="85" customWidth="1"/>
    <col min="8713" max="8713" width="22.5703125" style="85" customWidth="1"/>
    <col min="8714" max="8715" width="21" style="85" customWidth="1"/>
    <col min="8716" max="8716" width="27.5703125" style="85" customWidth="1"/>
    <col min="8717" max="8717" width="26" style="85" customWidth="1"/>
    <col min="8718" max="8718" width="27.140625" style="85" customWidth="1"/>
    <col min="8719" max="8719" width="13" style="85" customWidth="1"/>
    <col min="8720" max="8721" width="20" style="85" customWidth="1"/>
    <col min="8722" max="8722" width="23" style="85" customWidth="1"/>
    <col min="8723" max="8960" width="9.140625" style="85"/>
    <col min="8961" max="8961" width="2.28515625" style="85" customWidth="1"/>
    <col min="8962" max="8962" width="22.28515625" style="85" customWidth="1"/>
    <col min="8963" max="8963" width="10.5703125" style="85" customWidth="1"/>
    <col min="8964" max="8964" width="17.42578125" style="85" customWidth="1"/>
    <col min="8965" max="8965" width="22.28515625" style="85" customWidth="1"/>
    <col min="8966" max="8966" width="21.5703125" style="85" customWidth="1"/>
    <col min="8967" max="8967" width="21.28515625" style="85" customWidth="1"/>
    <col min="8968" max="8968" width="15.140625" style="85" customWidth="1"/>
    <col min="8969" max="8969" width="22.5703125" style="85" customWidth="1"/>
    <col min="8970" max="8971" width="21" style="85" customWidth="1"/>
    <col min="8972" max="8972" width="27.5703125" style="85" customWidth="1"/>
    <col min="8973" max="8973" width="26" style="85" customWidth="1"/>
    <col min="8974" max="8974" width="27.140625" style="85" customWidth="1"/>
    <col min="8975" max="8975" width="13" style="85" customWidth="1"/>
    <col min="8976" max="8977" width="20" style="85" customWidth="1"/>
    <col min="8978" max="8978" width="23" style="85" customWidth="1"/>
    <col min="8979" max="9216" width="9.140625" style="85"/>
    <col min="9217" max="9217" width="2.28515625" style="85" customWidth="1"/>
    <col min="9218" max="9218" width="22.28515625" style="85" customWidth="1"/>
    <col min="9219" max="9219" width="10.5703125" style="85" customWidth="1"/>
    <col min="9220" max="9220" width="17.42578125" style="85" customWidth="1"/>
    <col min="9221" max="9221" width="22.28515625" style="85" customWidth="1"/>
    <col min="9222" max="9222" width="21.5703125" style="85" customWidth="1"/>
    <col min="9223" max="9223" width="21.28515625" style="85" customWidth="1"/>
    <col min="9224" max="9224" width="15.140625" style="85" customWidth="1"/>
    <col min="9225" max="9225" width="22.5703125" style="85" customWidth="1"/>
    <col min="9226" max="9227" width="21" style="85" customWidth="1"/>
    <col min="9228" max="9228" width="27.5703125" style="85" customWidth="1"/>
    <col min="9229" max="9229" width="26" style="85" customWidth="1"/>
    <col min="9230" max="9230" width="27.140625" style="85" customWidth="1"/>
    <col min="9231" max="9231" width="13" style="85" customWidth="1"/>
    <col min="9232" max="9233" width="20" style="85" customWidth="1"/>
    <col min="9234" max="9234" width="23" style="85" customWidth="1"/>
    <col min="9235" max="9472" width="9.140625" style="85"/>
    <col min="9473" max="9473" width="2.28515625" style="85" customWidth="1"/>
    <col min="9474" max="9474" width="22.28515625" style="85" customWidth="1"/>
    <col min="9475" max="9475" width="10.5703125" style="85" customWidth="1"/>
    <col min="9476" max="9476" width="17.42578125" style="85" customWidth="1"/>
    <col min="9477" max="9477" width="22.28515625" style="85" customWidth="1"/>
    <col min="9478" max="9478" width="21.5703125" style="85" customWidth="1"/>
    <col min="9479" max="9479" width="21.28515625" style="85" customWidth="1"/>
    <col min="9480" max="9480" width="15.140625" style="85" customWidth="1"/>
    <col min="9481" max="9481" width="22.5703125" style="85" customWidth="1"/>
    <col min="9482" max="9483" width="21" style="85" customWidth="1"/>
    <col min="9484" max="9484" width="27.5703125" style="85" customWidth="1"/>
    <col min="9485" max="9485" width="26" style="85" customWidth="1"/>
    <col min="9486" max="9486" width="27.140625" style="85" customWidth="1"/>
    <col min="9487" max="9487" width="13" style="85" customWidth="1"/>
    <col min="9488" max="9489" width="20" style="85" customWidth="1"/>
    <col min="9490" max="9490" width="23" style="85" customWidth="1"/>
    <col min="9491" max="9728" width="9.140625" style="85"/>
    <col min="9729" max="9729" width="2.28515625" style="85" customWidth="1"/>
    <col min="9730" max="9730" width="22.28515625" style="85" customWidth="1"/>
    <col min="9731" max="9731" width="10.5703125" style="85" customWidth="1"/>
    <col min="9732" max="9732" width="17.42578125" style="85" customWidth="1"/>
    <col min="9733" max="9733" width="22.28515625" style="85" customWidth="1"/>
    <col min="9734" max="9734" width="21.5703125" style="85" customWidth="1"/>
    <col min="9735" max="9735" width="21.28515625" style="85" customWidth="1"/>
    <col min="9736" max="9736" width="15.140625" style="85" customWidth="1"/>
    <col min="9737" max="9737" width="22.5703125" style="85" customWidth="1"/>
    <col min="9738" max="9739" width="21" style="85" customWidth="1"/>
    <col min="9740" max="9740" width="27.5703125" style="85" customWidth="1"/>
    <col min="9741" max="9741" width="26" style="85" customWidth="1"/>
    <col min="9742" max="9742" width="27.140625" style="85" customWidth="1"/>
    <col min="9743" max="9743" width="13" style="85" customWidth="1"/>
    <col min="9744" max="9745" width="20" style="85" customWidth="1"/>
    <col min="9746" max="9746" width="23" style="85" customWidth="1"/>
    <col min="9747" max="9984" width="9.140625" style="85"/>
    <col min="9985" max="9985" width="2.28515625" style="85" customWidth="1"/>
    <col min="9986" max="9986" width="22.28515625" style="85" customWidth="1"/>
    <col min="9987" max="9987" width="10.5703125" style="85" customWidth="1"/>
    <col min="9988" max="9988" width="17.42578125" style="85" customWidth="1"/>
    <col min="9989" max="9989" width="22.28515625" style="85" customWidth="1"/>
    <col min="9990" max="9990" width="21.5703125" style="85" customWidth="1"/>
    <col min="9991" max="9991" width="21.28515625" style="85" customWidth="1"/>
    <col min="9992" max="9992" width="15.140625" style="85" customWidth="1"/>
    <col min="9993" max="9993" width="22.5703125" style="85" customWidth="1"/>
    <col min="9994" max="9995" width="21" style="85" customWidth="1"/>
    <col min="9996" max="9996" width="27.5703125" style="85" customWidth="1"/>
    <col min="9997" max="9997" width="26" style="85" customWidth="1"/>
    <col min="9998" max="9998" width="27.140625" style="85" customWidth="1"/>
    <col min="9999" max="9999" width="13" style="85" customWidth="1"/>
    <col min="10000" max="10001" width="20" style="85" customWidth="1"/>
    <col min="10002" max="10002" width="23" style="85" customWidth="1"/>
    <col min="10003" max="10240" width="9.140625" style="85"/>
    <col min="10241" max="10241" width="2.28515625" style="85" customWidth="1"/>
    <col min="10242" max="10242" width="22.28515625" style="85" customWidth="1"/>
    <col min="10243" max="10243" width="10.5703125" style="85" customWidth="1"/>
    <col min="10244" max="10244" width="17.42578125" style="85" customWidth="1"/>
    <col min="10245" max="10245" width="22.28515625" style="85" customWidth="1"/>
    <col min="10246" max="10246" width="21.5703125" style="85" customWidth="1"/>
    <col min="10247" max="10247" width="21.28515625" style="85" customWidth="1"/>
    <col min="10248" max="10248" width="15.140625" style="85" customWidth="1"/>
    <col min="10249" max="10249" width="22.5703125" style="85" customWidth="1"/>
    <col min="10250" max="10251" width="21" style="85" customWidth="1"/>
    <col min="10252" max="10252" width="27.5703125" style="85" customWidth="1"/>
    <col min="10253" max="10253" width="26" style="85" customWidth="1"/>
    <col min="10254" max="10254" width="27.140625" style="85" customWidth="1"/>
    <col min="10255" max="10255" width="13" style="85" customWidth="1"/>
    <col min="10256" max="10257" width="20" style="85" customWidth="1"/>
    <col min="10258" max="10258" width="23" style="85" customWidth="1"/>
    <col min="10259" max="10496" width="9.140625" style="85"/>
    <col min="10497" max="10497" width="2.28515625" style="85" customWidth="1"/>
    <col min="10498" max="10498" width="22.28515625" style="85" customWidth="1"/>
    <col min="10499" max="10499" width="10.5703125" style="85" customWidth="1"/>
    <col min="10500" max="10500" width="17.42578125" style="85" customWidth="1"/>
    <col min="10501" max="10501" width="22.28515625" style="85" customWidth="1"/>
    <col min="10502" max="10502" width="21.5703125" style="85" customWidth="1"/>
    <col min="10503" max="10503" width="21.28515625" style="85" customWidth="1"/>
    <col min="10504" max="10504" width="15.140625" style="85" customWidth="1"/>
    <col min="10505" max="10505" width="22.5703125" style="85" customWidth="1"/>
    <col min="10506" max="10507" width="21" style="85" customWidth="1"/>
    <col min="10508" max="10508" width="27.5703125" style="85" customWidth="1"/>
    <col min="10509" max="10509" width="26" style="85" customWidth="1"/>
    <col min="10510" max="10510" width="27.140625" style="85" customWidth="1"/>
    <col min="10511" max="10511" width="13" style="85" customWidth="1"/>
    <col min="10512" max="10513" width="20" style="85" customWidth="1"/>
    <col min="10514" max="10514" width="23" style="85" customWidth="1"/>
    <col min="10515" max="10752" width="9.140625" style="85"/>
    <col min="10753" max="10753" width="2.28515625" style="85" customWidth="1"/>
    <col min="10754" max="10754" width="22.28515625" style="85" customWidth="1"/>
    <col min="10755" max="10755" width="10.5703125" style="85" customWidth="1"/>
    <col min="10756" max="10756" width="17.42578125" style="85" customWidth="1"/>
    <col min="10757" max="10757" width="22.28515625" style="85" customWidth="1"/>
    <col min="10758" max="10758" width="21.5703125" style="85" customWidth="1"/>
    <col min="10759" max="10759" width="21.28515625" style="85" customWidth="1"/>
    <col min="10760" max="10760" width="15.140625" style="85" customWidth="1"/>
    <col min="10761" max="10761" width="22.5703125" style="85" customWidth="1"/>
    <col min="10762" max="10763" width="21" style="85" customWidth="1"/>
    <col min="10764" max="10764" width="27.5703125" style="85" customWidth="1"/>
    <col min="10765" max="10765" width="26" style="85" customWidth="1"/>
    <col min="10766" max="10766" width="27.140625" style="85" customWidth="1"/>
    <col min="10767" max="10767" width="13" style="85" customWidth="1"/>
    <col min="10768" max="10769" width="20" style="85" customWidth="1"/>
    <col min="10770" max="10770" width="23" style="85" customWidth="1"/>
    <col min="10771" max="11008" width="9.140625" style="85"/>
    <col min="11009" max="11009" width="2.28515625" style="85" customWidth="1"/>
    <col min="11010" max="11010" width="22.28515625" style="85" customWidth="1"/>
    <col min="11011" max="11011" width="10.5703125" style="85" customWidth="1"/>
    <col min="11012" max="11012" width="17.42578125" style="85" customWidth="1"/>
    <col min="11013" max="11013" width="22.28515625" style="85" customWidth="1"/>
    <col min="11014" max="11014" width="21.5703125" style="85" customWidth="1"/>
    <col min="11015" max="11015" width="21.28515625" style="85" customWidth="1"/>
    <col min="11016" max="11016" width="15.140625" style="85" customWidth="1"/>
    <col min="11017" max="11017" width="22.5703125" style="85" customWidth="1"/>
    <col min="11018" max="11019" width="21" style="85" customWidth="1"/>
    <col min="11020" max="11020" width="27.5703125" style="85" customWidth="1"/>
    <col min="11021" max="11021" width="26" style="85" customWidth="1"/>
    <col min="11022" max="11022" width="27.140625" style="85" customWidth="1"/>
    <col min="11023" max="11023" width="13" style="85" customWidth="1"/>
    <col min="11024" max="11025" width="20" style="85" customWidth="1"/>
    <col min="11026" max="11026" width="23" style="85" customWidth="1"/>
    <col min="11027" max="11264" width="9.140625" style="85"/>
    <col min="11265" max="11265" width="2.28515625" style="85" customWidth="1"/>
    <col min="11266" max="11266" width="22.28515625" style="85" customWidth="1"/>
    <col min="11267" max="11267" width="10.5703125" style="85" customWidth="1"/>
    <col min="11268" max="11268" width="17.42578125" style="85" customWidth="1"/>
    <col min="11269" max="11269" width="22.28515625" style="85" customWidth="1"/>
    <col min="11270" max="11270" width="21.5703125" style="85" customWidth="1"/>
    <col min="11271" max="11271" width="21.28515625" style="85" customWidth="1"/>
    <col min="11272" max="11272" width="15.140625" style="85" customWidth="1"/>
    <col min="11273" max="11273" width="22.5703125" style="85" customWidth="1"/>
    <col min="11274" max="11275" width="21" style="85" customWidth="1"/>
    <col min="11276" max="11276" width="27.5703125" style="85" customWidth="1"/>
    <col min="11277" max="11277" width="26" style="85" customWidth="1"/>
    <col min="11278" max="11278" width="27.140625" style="85" customWidth="1"/>
    <col min="11279" max="11279" width="13" style="85" customWidth="1"/>
    <col min="11280" max="11281" width="20" style="85" customWidth="1"/>
    <col min="11282" max="11282" width="23" style="85" customWidth="1"/>
    <col min="11283" max="11520" width="9.140625" style="85"/>
    <col min="11521" max="11521" width="2.28515625" style="85" customWidth="1"/>
    <col min="11522" max="11522" width="22.28515625" style="85" customWidth="1"/>
    <col min="11523" max="11523" width="10.5703125" style="85" customWidth="1"/>
    <col min="11524" max="11524" width="17.42578125" style="85" customWidth="1"/>
    <col min="11525" max="11525" width="22.28515625" style="85" customWidth="1"/>
    <col min="11526" max="11526" width="21.5703125" style="85" customWidth="1"/>
    <col min="11527" max="11527" width="21.28515625" style="85" customWidth="1"/>
    <col min="11528" max="11528" width="15.140625" style="85" customWidth="1"/>
    <col min="11529" max="11529" width="22.5703125" style="85" customWidth="1"/>
    <col min="11530" max="11531" width="21" style="85" customWidth="1"/>
    <col min="11532" max="11532" width="27.5703125" style="85" customWidth="1"/>
    <col min="11533" max="11533" width="26" style="85" customWidth="1"/>
    <col min="11534" max="11534" width="27.140625" style="85" customWidth="1"/>
    <col min="11535" max="11535" width="13" style="85" customWidth="1"/>
    <col min="11536" max="11537" width="20" style="85" customWidth="1"/>
    <col min="11538" max="11538" width="23" style="85" customWidth="1"/>
    <col min="11539" max="11776" width="9.140625" style="85"/>
    <col min="11777" max="11777" width="2.28515625" style="85" customWidth="1"/>
    <col min="11778" max="11778" width="22.28515625" style="85" customWidth="1"/>
    <col min="11779" max="11779" width="10.5703125" style="85" customWidth="1"/>
    <col min="11780" max="11780" width="17.42578125" style="85" customWidth="1"/>
    <col min="11781" max="11781" width="22.28515625" style="85" customWidth="1"/>
    <col min="11782" max="11782" width="21.5703125" style="85" customWidth="1"/>
    <col min="11783" max="11783" width="21.28515625" style="85" customWidth="1"/>
    <col min="11784" max="11784" width="15.140625" style="85" customWidth="1"/>
    <col min="11785" max="11785" width="22.5703125" style="85" customWidth="1"/>
    <col min="11786" max="11787" width="21" style="85" customWidth="1"/>
    <col min="11788" max="11788" width="27.5703125" style="85" customWidth="1"/>
    <col min="11789" max="11789" width="26" style="85" customWidth="1"/>
    <col min="11790" max="11790" width="27.140625" style="85" customWidth="1"/>
    <col min="11791" max="11791" width="13" style="85" customWidth="1"/>
    <col min="11792" max="11793" width="20" style="85" customWidth="1"/>
    <col min="11794" max="11794" width="23" style="85" customWidth="1"/>
    <col min="11795" max="12032" width="9.140625" style="85"/>
    <col min="12033" max="12033" width="2.28515625" style="85" customWidth="1"/>
    <col min="12034" max="12034" width="22.28515625" style="85" customWidth="1"/>
    <col min="12035" max="12035" width="10.5703125" style="85" customWidth="1"/>
    <col min="12036" max="12036" width="17.42578125" style="85" customWidth="1"/>
    <col min="12037" max="12037" width="22.28515625" style="85" customWidth="1"/>
    <col min="12038" max="12038" width="21.5703125" style="85" customWidth="1"/>
    <col min="12039" max="12039" width="21.28515625" style="85" customWidth="1"/>
    <col min="12040" max="12040" width="15.140625" style="85" customWidth="1"/>
    <col min="12041" max="12041" width="22.5703125" style="85" customWidth="1"/>
    <col min="12042" max="12043" width="21" style="85" customWidth="1"/>
    <col min="12044" max="12044" width="27.5703125" style="85" customWidth="1"/>
    <col min="12045" max="12045" width="26" style="85" customWidth="1"/>
    <col min="12046" max="12046" width="27.140625" style="85" customWidth="1"/>
    <col min="12047" max="12047" width="13" style="85" customWidth="1"/>
    <col min="12048" max="12049" width="20" style="85" customWidth="1"/>
    <col min="12050" max="12050" width="23" style="85" customWidth="1"/>
    <col min="12051" max="12288" width="9.140625" style="85"/>
    <col min="12289" max="12289" width="2.28515625" style="85" customWidth="1"/>
    <col min="12290" max="12290" width="22.28515625" style="85" customWidth="1"/>
    <col min="12291" max="12291" width="10.5703125" style="85" customWidth="1"/>
    <col min="12292" max="12292" width="17.42578125" style="85" customWidth="1"/>
    <col min="12293" max="12293" width="22.28515625" style="85" customWidth="1"/>
    <col min="12294" max="12294" width="21.5703125" style="85" customWidth="1"/>
    <col min="12295" max="12295" width="21.28515625" style="85" customWidth="1"/>
    <col min="12296" max="12296" width="15.140625" style="85" customWidth="1"/>
    <col min="12297" max="12297" width="22.5703125" style="85" customWidth="1"/>
    <col min="12298" max="12299" width="21" style="85" customWidth="1"/>
    <col min="12300" max="12300" width="27.5703125" style="85" customWidth="1"/>
    <col min="12301" max="12301" width="26" style="85" customWidth="1"/>
    <col min="12302" max="12302" width="27.140625" style="85" customWidth="1"/>
    <col min="12303" max="12303" width="13" style="85" customWidth="1"/>
    <col min="12304" max="12305" width="20" style="85" customWidth="1"/>
    <col min="12306" max="12306" width="23" style="85" customWidth="1"/>
    <col min="12307" max="12544" width="9.140625" style="85"/>
    <col min="12545" max="12545" width="2.28515625" style="85" customWidth="1"/>
    <col min="12546" max="12546" width="22.28515625" style="85" customWidth="1"/>
    <col min="12547" max="12547" width="10.5703125" style="85" customWidth="1"/>
    <col min="12548" max="12548" width="17.42578125" style="85" customWidth="1"/>
    <col min="12549" max="12549" width="22.28515625" style="85" customWidth="1"/>
    <col min="12550" max="12550" width="21.5703125" style="85" customWidth="1"/>
    <col min="12551" max="12551" width="21.28515625" style="85" customWidth="1"/>
    <col min="12552" max="12552" width="15.140625" style="85" customWidth="1"/>
    <col min="12553" max="12553" width="22.5703125" style="85" customWidth="1"/>
    <col min="12554" max="12555" width="21" style="85" customWidth="1"/>
    <col min="12556" max="12556" width="27.5703125" style="85" customWidth="1"/>
    <col min="12557" max="12557" width="26" style="85" customWidth="1"/>
    <col min="12558" max="12558" width="27.140625" style="85" customWidth="1"/>
    <col min="12559" max="12559" width="13" style="85" customWidth="1"/>
    <col min="12560" max="12561" width="20" style="85" customWidth="1"/>
    <col min="12562" max="12562" width="23" style="85" customWidth="1"/>
    <col min="12563" max="12800" width="9.140625" style="85"/>
    <col min="12801" max="12801" width="2.28515625" style="85" customWidth="1"/>
    <col min="12802" max="12802" width="22.28515625" style="85" customWidth="1"/>
    <col min="12803" max="12803" width="10.5703125" style="85" customWidth="1"/>
    <col min="12804" max="12804" width="17.42578125" style="85" customWidth="1"/>
    <col min="12805" max="12805" width="22.28515625" style="85" customWidth="1"/>
    <col min="12806" max="12806" width="21.5703125" style="85" customWidth="1"/>
    <col min="12807" max="12807" width="21.28515625" style="85" customWidth="1"/>
    <col min="12808" max="12808" width="15.140625" style="85" customWidth="1"/>
    <col min="12809" max="12809" width="22.5703125" style="85" customWidth="1"/>
    <col min="12810" max="12811" width="21" style="85" customWidth="1"/>
    <col min="12812" max="12812" width="27.5703125" style="85" customWidth="1"/>
    <col min="12813" max="12813" width="26" style="85" customWidth="1"/>
    <col min="12814" max="12814" width="27.140625" style="85" customWidth="1"/>
    <col min="12815" max="12815" width="13" style="85" customWidth="1"/>
    <col min="12816" max="12817" width="20" style="85" customWidth="1"/>
    <col min="12818" max="12818" width="23" style="85" customWidth="1"/>
    <col min="12819" max="13056" width="9.140625" style="85"/>
    <col min="13057" max="13057" width="2.28515625" style="85" customWidth="1"/>
    <col min="13058" max="13058" width="22.28515625" style="85" customWidth="1"/>
    <col min="13059" max="13059" width="10.5703125" style="85" customWidth="1"/>
    <col min="13060" max="13060" width="17.42578125" style="85" customWidth="1"/>
    <col min="13061" max="13061" width="22.28515625" style="85" customWidth="1"/>
    <col min="13062" max="13062" width="21.5703125" style="85" customWidth="1"/>
    <col min="13063" max="13063" width="21.28515625" style="85" customWidth="1"/>
    <col min="13064" max="13064" width="15.140625" style="85" customWidth="1"/>
    <col min="13065" max="13065" width="22.5703125" style="85" customWidth="1"/>
    <col min="13066" max="13067" width="21" style="85" customWidth="1"/>
    <col min="13068" max="13068" width="27.5703125" style="85" customWidth="1"/>
    <col min="13069" max="13069" width="26" style="85" customWidth="1"/>
    <col min="13070" max="13070" width="27.140625" style="85" customWidth="1"/>
    <col min="13071" max="13071" width="13" style="85" customWidth="1"/>
    <col min="13072" max="13073" width="20" style="85" customWidth="1"/>
    <col min="13074" max="13074" width="23" style="85" customWidth="1"/>
    <col min="13075" max="13312" width="9.140625" style="85"/>
    <col min="13313" max="13313" width="2.28515625" style="85" customWidth="1"/>
    <col min="13314" max="13314" width="22.28515625" style="85" customWidth="1"/>
    <col min="13315" max="13315" width="10.5703125" style="85" customWidth="1"/>
    <col min="13316" max="13316" width="17.42578125" style="85" customWidth="1"/>
    <col min="13317" max="13317" width="22.28515625" style="85" customWidth="1"/>
    <col min="13318" max="13318" width="21.5703125" style="85" customWidth="1"/>
    <col min="13319" max="13319" width="21.28515625" style="85" customWidth="1"/>
    <col min="13320" max="13320" width="15.140625" style="85" customWidth="1"/>
    <col min="13321" max="13321" width="22.5703125" style="85" customWidth="1"/>
    <col min="13322" max="13323" width="21" style="85" customWidth="1"/>
    <col min="13324" max="13324" width="27.5703125" style="85" customWidth="1"/>
    <col min="13325" max="13325" width="26" style="85" customWidth="1"/>
    <col min="13326" max="13326" width="27.140625" style="85" customWidth="1"/>
    <col min="13327" max="13327" width="13" style="85" customWidth="1"/>
    <col min="13328" max="13329" width="20" style="85" customWidth="1"/>
    <col min="13330" max="13330" width="23" style="85" customWidth="1"/>
    <col min="13331" max="13568" width="9.140625" style="85"/>
    <col min="13569" max="13569" width="2.28515625" style="85" customWidth="1"/>
    <col min="13570" max="13570" width="22.28515625" style="85" customWidth="1"/>
    <col min="13571" max="13571" width="10.5703125" style="85" customWidth="1"/>
    <col min="13572" max="13572" width="17.42578125" style="85" customWidth="1"/>
    <col min="13573" max="13573" width="22.28515625" style="85" customWidth="1"/>
    <col min="13574" max="13574" width="21.5703125" style="85" customWidth="1"/>
    <col min="13575" max="13575" width="21.28515625" style="85" customWidth="1"/>
    <col min="13576" max="13576" width="15.140625" style="85" customWidth="1"/>
    <col min="13577" max="13577" width="22.5703125" style="85" customWidth="1"/>
    <col min="13578" max="13579" width="21" style="85" customWidth="1"/>
    <col min="13580" max="13580" width="27.5703125" style="85" customWidth="1"/>
    <col min="13581" max="13581" width="26" style="85" customWidth="1"/>
    <col min="13582" max="13582" width="27.140625" style="85" customWidth="1"/>
    <col min="13583" max="13583" width="13" style="85" customWidth="1"/>
    <col min="13584" max="13585" width="20" style="85" customWidth="1"/>
    <col min="13586" max="13586" width="23" style="85" customWidth="1"/>
    <col min="13587" max="13824" width="9.140625" style="85"/>
    <col min="13825" max="13825" width="2.28515625" style="85" customWidth="1"/>
    <col min="13826" max="13826" width="22.28515625" style="85" customWidth="1"/>
    <col min="13827" max="13827" width="10.5703125" style="85" customWidth="1"/>
    <col min="13828" max="13828" width="17.42578125" style="85" customWidth="1"/>
    <col min="13829" max="13829" width="22.28515625" style="85" customWidth="1"/>
    <col min="13830" max="13830" width="21.5703125" style="85" customWidth="1"/>
    <col min="13831" max="13831" width="21.28515625" style="85" customWidth="1"/>
    <col min="13832" max="13832" width="15.140625" style="85" customWidth="1"/>
    <col min="13833" max="13833" width="22.5703125" style="85" customWidth="1"/>
    <col min="13834" max="13835" width="21" style="85" customWidth="1"/>
    <col min="13836" max="13836" width="27.5703125" style="85" customWidth="1"/>
    <col min="13837" max="13837" width="26" style="85" customWidth="1"/>
    <col min="13838" max="13838" width="27.140625" style="85" customWidth="1"/>
    <col min="13839" max="13839" width="13" style="85" customWidth="1"/>
    <col min="13840" max="13841" width="20" style="85" customWidth="1"/>
    <col min="13842" max="13842" width="23" style="85" customWidth="1"/>
    <col min="13843" max="14080" width="9.140625" style="85"/>
    <col min="14081" max="14081" width="2.28515625" style="85" customWidth="1"/>
    <col min="14082" max="14082" width="22.28515625" style="85" customWidth="1"/>
    <col min="14083" max="14083" width="10.5703125" style="85" customWidth="1"/>
    <col min="14084" max="14084" width="17.42578125" style="85" customWidth="1"/>
    <col min="14085" max="14085" width="22.28515625" style="85" customWidth="1"/>
    <col min="14086" max="14086" width="21.5703125" style="85" customWidth="1"/>
    <col min="14087" max="14087" width="21.28515625" style="85" customWidth="1"/>
    <col min="14088" max="14088" width="15.140625" style="85" customWidth="1"/>
    <col min="14089" max="14089" width="22.5703125" style="85" customWidth="1"/>
    <col min="14090" max="14091" width="21" style="85" customWidth="1"/>
    <col min="14092" max="14092" width="27.5703125" style="85" customWidth="1"/>
    <col min="14093" max="14093" width="26" style="85" customWidth="1"/>
    <col min="14094" max="14094" width="27.140625" style="85" customWidth="1"/>
    <col min="14095" max="14095" width="13" style="85" customWidth="1"/>
    <col min="14096" max="14097" width="20" style="85" customWidth="1"/>
    <col min="14098" max="14098" width="23" style="85" customWidth="1"/>
    <col min="14099" max="14336" width="9.140625" style="85"/>
    <col min="14337" max="14337" width="2.28515625" style="85" customWidth="1"/>
    <col min="14338" max="14338" width="22.28515625" style="85" customWidth="1"/>
    <col min="14339" max="14339" width="10.5703125" style="85" customWidth="1"/>
    <col min="14340" max="14340" width="17.42578125" style="85" customWidth="1"/>
    <col min="14341" max="14341" width="22.28515625" style="85" customWidth="1"/>
    <col min="14342" max="14342" width="21.5703125" style="85" customWidth="1"/>
    <col min="14343" max="14343" width="21.28515625" style="85" customWidth="1"/>
    <col min="14344" max="14344" width="15.140625" style="85" customWidth="1"/>
    <col min="14345" max="14345" width="22.5703125" style="85" customWidth="1"/>
    <col min="14346" max="14347" width="21" style="85" customWidth="1"/>
    <col min="14348" max="14348" width="27.5703125" style="85" customWidth="1"/>
    <col min="14349" max="14349" width="26" style="85" customWidth="1"/>
    <col min="14350" max="14350" width="27.140625" style="85" customWidth="1"/>
    <col min="14351" max="14351" width="13" style="85" customWidth="1"/>
    <col min="14352" max="14353" width="20" style="85" customWidth="1"/>
    <col min="14354" max="14354" width="23" style="85" customWidth="1"/>
    <col min="14355" max="14592" width="9.140625" style="85"/>
    <col min="14593" max="14593" width="2.28515625" style="85" customWidth="1"/>
    <col min="14594" max="14594" width="22.28515625" style="85" customWidth="1"/>
    <col min="14595" max="14595" width="10.5703125" style="85" customWidth="1"/>
    <col min="14596" max="14596" width="17.42578125" style="85" customWidth="1"/>
    <col min="14597" max="14597" width="22.28515625" style="85" customWidth="1"/>
    <col min="14598" max="14598" width="21.5703125" style="85" customWidth="1"/>
    <col min="14599" max="14599" width="21.28515625" style="85" customWidth="1"/>
    <col min="14600" max="14600" width="15.140625" style="85" customWidth="1"/>
    <col min="14601" max="14601" width="22.5703125" style="85" customWidth="1"/>
    <col min="14602" max="14603" width="21" style="85" customWidth="1"/>
    <col min="14604" max="14604" width="27.5703125" style="85" customWidth="1"/>
    <col min="14605" max="14605" width="26" style="85" customWidth="1"/>
    <col min="14606" max="14606" width="27.140625" style="85" customWidth="1"/>
    <col min="14607" max="14607" width="13" style="85" customWidth="1"/>
    <col min="14608" max="14609" width="20" style="85" customWidth="1"/>
    <col min="14610" max="14610" width="23" style="85" customWidth="1"/>
    <col min="14611" max="14848" width="9.140625" style="85"/>
    <col min="14849" max="14849" width="2.28515625" style="85" customWidth="1"/>
    <col min="14850" max="14850" width="22.28515625" style="85" customWidth="1"/>
    <col min="14851" max="14851" width="10.5703125" style="85" customWidth="1"/>
    <col min="14852" max="14852" width="17.42578125" style="85" customWidth="1"/>
    <col min="14853" max="14853" width="22.28515625" style="85" customWidth="1"/>
    <col min="14854" max="14854" width="21.5703125" style="85" customWidth="1"/>
    <col min="14855" max="14855" width="21.28515625" style="85" customWidth="1"/>
    <col min="14856" max="14856" width="15.140625" style="85" customWidth="1"/>
    <col min="14857" max="14857" width="22.5703125" style="85" customWidth="1"/>
    <col min="14858" max="14859" width="21" style="85" customWidth="1"/>
    <col min="14860" max="14860" width="27.5703125" style="85" customWidth="1"/>
    <col min="14861" max="14861" width="26" style="85" customWidth="1"/>
    <col min="14862" max="14862" width="27.140625" style="85" customWidth="1"/>
    <col min="14863" max="14863" width="13" style="85" customWidth="1"/>
    <col min="14864" max="14865" width="20" style="85" customWidth="1"/>
    <col min="14866" max="14866" width="23" style="85" customWidth="1"/>
    <col min="14867" max="15104" width="9.140625" style="85"/>
    <col min="15105" max="15105" width="2.28515625" style="85" customWidth="1"/>
    <col min="15106" max="15106" width="22.28515625" style="85" customWidth="1"/>
    <col min="15107" max="15107" width="10.5703125" style="85" customWidth="1"/>
    <col min="15108" max="15108" width="17.42578125" style="85" customWidth="1"/>
    <col min="15109" max="15109" width="22.28515625" style="85" customWidth="1"/>
    <col min="15110" max="15110" width="21.5703125" style="85" customWidth="1"/>
    <col min="15111" max="15111" width="21.28515625" style="85" customWidth="1"/>
    <col min="15112" max="15112" width="15.140625" style="85" customWidth="1"/>
    <col min="15113" max="15113" width="22.5703125" style="85" customWidth="1"/>
    <col min="15114" max="15115" width="21" style="85" customWidth="1"/>
    <col min="15116" max="15116" width="27.5703125" style="85" customWidth="1"/>
    <col min="15117" max="15117" width="26" style="85" customWidth="1"/>
    <col min="15118" max="15118" width="27.140625" style="85" customWidth="1"/>
    <col min="15119" max="15119" width="13" style="85" customWidth="1"/>
    <col min="15120" max="15121" width="20" style="85" customWidth="1"/>
    <col min="15122" max="15122" width="23" style="85" customWidth="1"/>
    <col min="15123" max="15360" width="9.140625" style="85"/>
    <col min="15361" max="15361" width="2.28515625" style="85" customWidth="1"/>
    <col min="15362" max="15362" width="22.28515625" style="85" customWidth="1"/>
    <col min="15363" max="15363" width="10.5703125" style="85" customWidth="1"/>
    <col min="15364" max="15364" width="17.42578125" style="85" customWidth="1"/>
    <col min="15365" max="15365" width="22.28515625" style="85" customWidth="1"/>
    <col min="15366" max="15366" width="21.5703125" style="85" customWidth="1"/>
    <col min="15367" max="15367" width="21.28515625" style="85" customWidth="1"/>
    <col min="15368" max="15368" width="15.140625" style="85" customWidth="1"/>
    <col min="15369" max="15369" width="22.5703125" style="85" customWidth="1"/>
    <col min="15370" max="15371" width="21" style="85" customWidth="1"/>
    <col min="15372" max="15372" width="27.5703125" style="85" customWidth="1"/>
    <col min="15373" max="15373" width="26" style="85" customWidth="1"/>
    <col min="15374" max="15374" width="27.140625" style="85" customWidth="1"/>
    <col min="15375" max="15375" width="13" style="85" customWidth="1"/>
    <col min="15376" max="15377" width="20" style="85" customWidth="1"/>
    <col min="15378" max="15378" width="23" style="85" customWidth="1"/>
    <col min="15379" max="15616" width="9.140625" style="85"/>
    <col min="15617" max="15617" width="2.28515625" style="85" customWidth="1"/>
    <col min="15618" max="15618" width="22.28515625" style="85" customWidth="1"/>
    <col min="15619" max="15619" width="10.5703125" style="85" customWidth="1"/>
    <col min="15620" max="15620" width="17.42578125" style="85" customWidth="1"/>
    <col min="15621" max="15621" width="22.28515625" style="85" customWidth="1"/>
    <col min="15622" max="15622" width="21.5703125" style="85" customWidth="1"/>
    <col min="15623" max="15623" width="21.28515625" style="85" customWidth="1"/>
    <col min="15624" max="15624" width="15.140625" style="85" customWidth="1"/>
    <col min="15625" max="15625" width="22.5703125" style="85" customWidth="1"/>
    <col min="15626" max="15627" width="21" style="85" customWidth="1"/>
    <col min="15628" max="15628" width="27.5703125" style="85" customWidth="1"/>
    <col min="15629" max="15629" width="26" style="85" customWidth="1"/>
    <col min="15630" max="15630" width="27.140625" style="85" customWidth="1"/>
    <col min="15631" max="15631" width="13" style="85" customWidth="1"/>
    <col min="15632" max="15633" width="20" style="85" customWidth="1"/>
    <col min="15634" max="15634" width="23" style="85" customWidth="1"/>
    <col min="15635" max="15872" width="9.140625" style="85"/>
    <col min="15873" max="15873" width="2.28515625" style="85" customWidth="1"/>
    <col min="15874" max="15874" width="22.28515625" style="85" customWidth="1"/>
    <col min="15875" max="15875" width="10.5703125" style="85" customWidth="1"/>
    <col min="15876" max="15876" width="17.42578125" style="85" customWidth="1"/>
    <col min="15877" max="15877" width="22.28515625" style="85" customWidth="1"/>
    <col min="15878" max="15878" width="21.5703125" style="85" customWidth="1"/>
    <col min="15879" max="15879" width="21.28515625" style="85" customWidth="1"/>
    <col min="15880" max="15880" width="15.140625" style="85" customWidth="1"/>
    <col min="15881" max="15881" width="22.5703125" style="85" customWidth="1"/>
    <col min="15882" max="15883" width="21" style="85" customWidth="1"/>
    <col min="15884" max="15884" width="27.5703125" style="85" customWidth="1"/>
    <col min="15885" max="15885" width="26" style="85" customWidth="1"/>
    <col min="15886" max="15886" width="27.140625" style="85" customWidth="1"/>
    <col min="15887" max="15887" width="13" style="85" customWidth="1"/>
    <col min="15888" max="15889" width="20" style="85" customWidth="1"/>
    <col min="15890" max="15890" width="23" style="85" customWidth="1"/>
    <col min="15891" max="16128" width="9.140625" style="85"/>
    <col min="16129" max="16129" width="2.28515625" style="85" customWidth="1"/>
    <col min="16130" max="16130" width="22.28515625" style="85" customWidth="1"/>
    <col min="16131" max="16131" width="10.5703125" style="85" customWidth="1"/>
    <col min="16132" max="16132" width="17.42578125" style="85" customWidth="1"/>
    <col min="16133" max="16133" width="22.28515625" style="85" customWidth="1"/>
    <col min="16134" max="16134" width="21.5703125" style="85" customWidth="1"/>
    <col min="16135" max="16135" width="21.28515625" style="85" customWidth="1"/>
    <col min="16136" max="16136" width="15.140625" style="85" customWidth="1"/>
    <col min="16137" max="16137" width="22.5703125" style="85" customWidth="1"/>
    <col min="16138" max="16139" width="21" style="85" customWidth="1"/>
    <col min="16140" max="16140" width="27.5703125" style="85" customWidth="1"/>
    <col min="16141" max="16141" width="26" style="85" customWidth="1"/>
    <col min="16142" max="16142" width="27.140625" style="85" customWidth="1"/>
    <col min="16143" max="16143" width="13" style="85" customWidth="1"/>
    <col min="16144" max="16145" width="20" style="85" customWidth="1"/>
    <col min="16146" max="16146" width="23" style="85" customWidth="1"/>
    <col min="16147" max="16384" width="9.140625" style="85"/>
  </cols>
  <sheetData>
    <row r="1" spans="2:15" ht="21" customHeight="1" x14ac:dyDescent="0.25">
      <c r="B1" s="178" t="s">
        <v>178</v>
      </c>
      <c r="C1" s="178"/>
      <c r="D1" s="178"/>
      <c r="E1" s="178"/>
      <c r="F1" s="178"/>
      <c r="G1" s="178"/>
      <c r="H1" s="178"/>
      <c r="I1" s="178"/>
      <c r="J1" s="178"/>
      <c r="K1" s="178"/>
      <c r="L1" s="178"/>
      <c r="M1" s="178"/>
      <c r="N1" s="178"/>
      <c r="O1" s="178"/>
    </row>
    <row r="2" spans="2:15" ht="24.75" customHeight="1" x14ac:dyDescent="0.25">
      <c r="B2" s="178" t="s">
        <v>179</v>
      </c>
      <c r="C2" s="178"/>
      <c r="D2" s="178"/>
      <c r="E2" s="178"/>
      <c r="F2" s="178"/>
      <c r="G2" s="178"/>
      <c r="H2" s="86"/>
      <c r="I2" s="178" t="s">
        <v>180</v>
      </c>
      <c r="J2" s="178"/>
      <c r="K2" s="86"/>
      <c r="L2" s="178" t="s">
        <v>181</v>
      </c>
      <c r="M2" s="178"/>
      <c r="N2" s="178"/>
      <c r="O2" s="178"/>
    </row>
    <row r="3" spans="2:15" ht="18" customHeight="1" x14ac:dyDescent="0.25">
      <c r="B3" s="179" t="s">
        <v>17</v>
      </c>
      <c r="C3" s="179"/>
      <c r="D3" s="179" t="s">
        <v>182</v>
      </c>
      <c r="E3" s="179"/>
      <c r="F3" s="179" t="s">
        <v>183</v>
      </c>
      <c r="G3" s="179"/>
      <c r="H3" s="86"/>
      <c r="I3" s="178"/>
      <c r="J3" s="178"/>
      <c r="K3" s="86"/>
      <c r="L3" s="178"/>
      <c r="M3" s="178"/>
      <c r="N3" s="178"/>
      <c r="O3" s="178"/>
    </row>
    <row r="4" spans="2:15" ht="71.25" x14ac:dyDescent="0.25">
      <c r="B4" s="179"/>
      <c r="C4" s="179"/>
      <c r="D4" s="87" t="s">
        <v>184</v>
      </c>
      <c r="E4" s="87" t="s">
        <v>185</v>
      </c>
      <c r="F4" s="87" t="s">
        <v>184</v>
      </c>
      <c r="G4" s="87" t="s">
        <v>185</v>
      </c>
      <c r="H4" s="86"/>
      <c r="I4" s="87" t="s">
        <v>17</v>
      </c>
      <c r="J4" s="26" t="s">
        <v>186</v>
      </c>
      <c r="K4" s="86"/>
      <c r="L4" s="26" t="s">
        <v>187</v>
      </c>
      <c r="M4" s="26" t="s">
        <v>188</v>
      </c>
      <c r="N4" s="26" t="s">
        <v>96</v>
      </c>
      <c r="O4" s="26" t="s">
        <v>189</v>
      </c>
    </row>
    <row r="5" spans="2:15" ht="42.75" x14ac:dyDescent="0.25">
      <c r="B5" s="180" t="s">
        <v>12</v>
      </c>
      <c r="C5" s="180"/>
      <c r="D5" s="89">
        <v>2.2222222222222223E-2</v>
      </c>
      <c r="E5" s="89">
        <v>0.14583333333333334</v>
      </c>
      <c r="F5" s="90">
        <f t="shared" ref="F5:G17" si="0">(D5-INT($D$20))*24*$D$19</f>
        <v>0.66666666666666663</v>
      </c>
      <c r="G5" s="90">
        <f t="shared" si="0"/>
        <v>4.375</v>
      </c>
      <c r="H5" s="86"/>
      <c r="I5" s="88" t="s">
        <v>12</v>
      </c>
      <c r="J5" s="91">
        <v>20</v>
      </c>
      <c r="K5" s="86"/>
      <c r="L5" s="29" t="s">
        <v>190</v>
      </c>
      <c r="M5" s="92">
        <v>4.9000000000000004</v>
      </c>
      <c r="N5" s="93">
        <f>SUM('BE - Altenor'!S24,'BE - Altenor'!S30)</f>
        <v>1242.3821917808218</v>
      </c>
      <c r="O5" s="68">
        <f>(M5/1000)*N5</f>
        <v>6.0876727397260275</v>
      </c>
    </row>
    <row r="6" spans="2:15" x14ac:dyDescent="0.25">
      <c r="B6" s="180" t="s">
        <v>191</v>
      </c>
      <c r="C6" s="180"/>
      <c r="D6" s="89">
        <v>3.125E-2</v>
      </c>
      <c r="E6" s="89">
        <v>0.13541666666666666</v>
      </c>
      <c r="F6" s="90">
        <f t="shared" si="0"/>
        <v>0.9375</v>
      </c>
      <c r="G6" s="90">
        <f t="shared" si="0"/>
        <v>4.0625</v>
      </c>
      <c r="H6" s="86"/>
      <c r="I6" s="88" t="s">
        <v>191</v>
      </c>
      <c r="J6" s="91">
        <v>20</v>
      </c>
      <c r="K6" s="86"/>
      <c r="L6" s="29" t="s">
        <v>27</v>
      </c>
      <c r="M6" s="92">
        <v>11</v>
      </c>
      <c r="N6" s="93">
        <f>'BE - Altenor'!S25</f>
        <v>0</v>
      </c>
      <c r="O6" s="68">
        <f>(M6/1000)*N6</f>
        <v>0</v>
      </c>
    </row>
    <row r="7" spans="2:15" x14ac:dyDescent="0.25">
      <c r="B7" s="180" t="s">
        <v>192</v>
      </c>
      <c r="C7" s="180"/>
      <c r="D7" s="89">
        <v>3.1944444444444449E-2</v>
      </c>
      <c r="E7" s="89">
        <v>0.21180555555555555</v>
      </c>
      <c r="F7" s="90">
        <f t="shared" si="0"/>
        <v>0.95833333333333348</v>
      </c>
      <c r="G7" s="90">
        <f t="shared" si="0"/>
        <v>6.3541666666666661</v>
      </c>
      <c r="H7" s="86"/>
      <c r="I7" s="88" t="s">
        <v>192</v>
      </c>
      <c r="J7" s="91">
        <v>20</v>
      </c>
      <c r="K7" s="86"/>
      <c r="L7" s="29" t="s">
        <v>56</v>
      </c>
      <c r="M7" s="92">
        <v>18</v>
      </c>
      <c r="N7" s="93">
        <f>'BE - Altenor'!S26</f>
        <v>0</v>
      </c>
      <c r="O7" s="68">
        <f>(M7/1000)*N7</f>
        <v>0</v>
      </c>
    </row>
    <row r="8" spans="2:15" x14ac:dyDescent="0.25">
      <c r="B8" s="180" t="s">
        <v>193</v>
      </c>
      <c r="C8" s="180"/>
      <c r="D8" s="89">
        <v>4.8611111111111112E-2</v>
      </c>
      <c r="E8" s="89">
        <v>0.21944444444444444</v>
      </c>
      <c r="F8" s="90">
        <f t="shared" si="0"/>
        <v>1.4583333333333335</v>
      </c>
      <c r="G8" s="90">
        <f t="shared" si="0"/>
        <v>6.583333333333333</v>
      </c>
      <c r="H8" s="86"/>
      <c r="I8" s="88" t="s">
        <v>193</v>
      </c>
      <c r="J8" s="91">
        <f>30*(60/40)</f>
        <v>45</v>
      </c>
      <c r="K8" s="86"/>
      <c r="L8" s="29" t="s">
        <v>93</v>
      </c>
      <c r="M8" s="92">
        <v>6</v>
      </c>
      <c r="N8" s="93">
        <f>'BE - Altenor'!S27</f>
        <v>0</v>
      </c>
      <c r="O8" s="68">
        <f>(M8/1000)*N8</f>
        <v>0</v>
      </c>
    </row>
    <row r="9" spans="2:15" ht="28.5" x14ac:dyDescent="0.25">
      <c r="B9" s="180" t="s">
        <v>194</v>
      </c>
      <c r="C9" s="180"/>
      <c r="D9" s="89">
        <v>1.7361111111111112E-2</v>
      </c>
      <c r="E9" s="89">
        <v>9.0277777777777776E-2</v>
      </c>
      <c r="F9" s="90">
        <f t="shared" si="0"/>
        <v>0.52083333333333337</v>
      </c>
      <c r="G9" s="90">
        <f t="shared" si="0"/>
        <v>2.708333333333333</v>
      </c>
      <c r="H9" s="86"/>
      <c r="I9" s="88" t="s">
        <v>194</v>
      </c>
      <c r="J9" s="91">
        <v>15</v>
      </c>
      <c r="K9" s="86"/>
      <c r="L9" s="29" t="s">
        <v>195</v>
      </c>
      <c r="M9" s="92">
        <v>0.95</v>
      </c>
      <c r="N9" s="93">
        <f>'BE - Altenor'!S28+'BE - Altenor'!S29</f>
        <v>0</v>
      </c>
      <c r="O9" s="68">
        <f>(M9/1000)*N9</f>
        <v>0</v>
      </c>
    </row>
    <row r="10" spans="2:15" x14ac:dyDescent="0.25">
      <c r="B10" s="180" t="s">
        <v>196</v>
      </c>
      <c r="C10" s="180"/>
      <c r="D10" s="89">
        <v>3.1944444444444449E-2</v>
      </c>
      <c r="E10" s="89">
        <v>0.13194444444444445</v>
      </c>
      <c r="F10" s="90">
        <f t="shared" si="0"/>
        <v>0.95833333333333348</v>
      </c>
      <c r="G10" s="90">
        <f t="shared" si="0"/>
        <v>3.9583333333333339</v>
      </c>
      <c r="H10" s="86"/>
      <c r="I10" s="88" t="s">
        <v>196</v>
      </c>
      <c r="J10" s="91">
        <v>15</v>
      </c>
      <c r="K10" s="86"/>
      <c r="L10" s="170" t="s">
        <v>197</v>
      </c>
      <c r="M10" s="170"/>
      <c r="N10" s="170"/>
      <c r="O10" s="94">
        <f>SUM(O5:O9)</f>
        <v>6.0876727397260275</v>
      </c>
    </row>
    <row r="11" spans="2:15" x14ac:dyDescent="0.25">
      <c r="B11" s="180" t="s">
        <v>14</v>
      </c>
      <c r="C11" s="180"/>
      <c r="D11" s="89">
        <v>2.4305555555555556E-2</v>
      </c>
      <c r="E11" s="89">
        <v>0.10972222222222222</v>
      </c>
      <c r="F11" s="90">
        <f t="shared" si="0"/>
        <v>0.72916666666666674</v>
      </c>
      <c r="G11" s="90">
        <f t="shared" si="0"/>
        <v>3.2916666666666665</v>
      </c>
      <c r="H11" s="86"/>
      <c r="I11" s="88" t="s">
        <v>14</v>
      </c>
      <c r="J11" s="91">
        <v>12</v>
      </c>
      <c r="K11" s="86"/>
      <c r="L11" s="53"/>
      <c r="M11" s="53"/>
      <c r="N11" s="86"/>
      <c r="O11" s="86"/>
    </row>
    <row r="12" spans="2:15" x14ac:dyDescent="0.25">
      <c r="B12" s="180" t="s">
        <v>198</v>
      </c>
      <c r="C12" s="180"/>
      <c r="D12" s="89">
        <v>4.1666666666666664E-2</v>
      </c>
      <c r="E12" s="89">
        <v>0.18055555555555555</v>
      </c>
      <c r="F12" s="90">
        <f t="shared" si="0"/>
        <v>1.25</v>
      </c>
      <c r="G12" s="90">
        <f t="shared" si="0"/>
        <v>5.4166666666666661</v>
      </c>
      <c r="H12" s="86"/>
      <c r="I12" s="88" t="s">
        <v>198</v>
      </c>
      <c r="J12" s="91">
        <v>35</v>
      </c>
      <c r="K12" s="86"/>
      <c r="L12" s="53"/>
      <c r="M12" s="53"/>
      <c r="N12" s="86"/>
      <c r="O12" s="86"/>
    </row>
    <row r="13" spans="2:15" x14ac:dyDescent="0.25">
      <c r="B13" s="180" t="s">
        <v>199</v>
      </c>
      <c r="C13" s="180"/>
      <c r="D13" s="89">
        <v>2.4305555555555556E-2</v>
      </c>
      <c r="E13" s="89">
        <v>0.16458333333333333</v>
      </c>
      <c r="F13" s="90">
        <f t="shared" si="0"/>
        <v>0.72916666666666674</v>
      </c>
      <c r="G13" s="90">
        <f t="shared" si="0"/>
        <v>4.9375</v>
      </c>
      <c r="H13" s="86"/>
      <c r="I13" s="88" t="s">
        <v>199</v>
      </c>
      <c r="J13" s="91">
        <v>20</v>
      </c>
      <c r="K13" s="86"/>
      <c r="L13" s="53"/>
      <c r="M13" s="53"/>
      <c r="N13" s="86"/>
      <c r="O13" s="86"/>
    </row>
    <row r="14" spans="2:15" x14ac:dyDescent="0.25">
      <c r="B14" s="180" t="s">
        <v>18</v>
      </c>
      <c r="C14" s="180"/>
      <c r="D14" s="89">
        <v>2.4305555555555556E-2</v>
      </c>
      <c r="E14" s="89">
        <v>0.1111111111111111</v>
      </c>
      <c r="F14" s="90">
        <f t="shared" si="0"/>
        <v>0.72916666666666674</v>
      </c>
      <c r="G14" s="90">
        <f t="shared" si="0"/>
        <v>3.333333333333333</v>
      </c>
      <c r="H14" s="86"/>
      <c r="I14" s="88" t="s">
        <v>18</v>
      </c>
      <c r="J14" s="91">
        <v>12</v>
      </c>
      <c r="K14" s="86"/>
      <c r="L14" s="53"/>
      <c r="M14" s="53"/>
      <c r="N14" s="86"/>
      <c r="O14" s="86"/>
    </row>
    <row r="15" spans="2:15" x14ac:dyDescent="0.25">
      <c r="B15" s="180" t="s">
        <v>200</v>
      </c>
      <c r="C15" s="180"/>
      <c r="D15" s="89">
        <v>1.7361111111111112E-2</v>
      </c>
      <c r="E15" s="89">
        <v>9.0277777777777776E-2</v>
      </c>
      <c r="F15" s="90">
        <f t="shared" si="0"/>
        <v>0.52083333333333337</v>
      </c>
      <c r="G15" s="90">
        <f t="shared" si="0"/>
        <v>2.708333333333333</v>
      </c>
      <c r="H15" s="86"/>
      <c r="I15" s="88" t="s">
        <v>200</v>
      </c>
      <c r="J15" s="91">
        <v>12</v>
      </c>
      <c r="K15" s="86"/>
      <c r="L15" s="53"/>
      <c r="M15" s="53"/>
      <c r="N15" s="86"/>
      <c r="O15" s="86"/>
    </row>
    <row r="16" spans="2:15" x14ac:dyDescent="0.25">
      <c r="B16" s="180" t="s">
        <v>201</v>
      </c>
      <c r="C16" s="180"/>
      <c r="D16" s="89">
        <v>2.2222222222222223E-2</v>
      </c>
      <c r="E16" s="89">
        <v>9.375E-2</v>
      </c>
      <c r="F16" s="90">
        <f t="shared" si="0"/>
        <v>0.66666666666666663</v>
      </c>
      <c r="G16" s="90">
        <f t="shared" si="0"/>
        <v>2.8125</v>
      </c>
      <c r="H16" s="86"/>
      <c r="I16" s="88" t="s">
        <v>201</v>
      </c>
      <c r="J16" s="91">
        <v>20</v>
      </c>
      <c r="K16" s="86"/>
      <c r="L16" s="53"/>
      <c r="M16" s="53"/>
      <c r="N16" s="86"/>
      <c r="O16" s="86"/>
    </row>
    <row r="17" spans="2:16" x14ac:dyDescent="0.25">
      <c r="B17" s="180" t="s">
        <v>19</v>
      </c>
      <c r="C17" s="180"/>
      <c r="D17" s="89">
        <v>3.1944444444444449E-2</v>
      </c>
      <c r="E17" s="89">
        <v>0.13194444444444445</v>
      </c>
      <c r="F17" s="90">
        <f t="shared" si="0"/>
        <v>0.95833333333333348</v>
      </c>
      <c r="G17" s="90">
        <f t="shared" si="0"/>
        <v>3.9583333333333339</v>
      </c>
      <c r="H17" s="86"/>
      <c r="I17" s="88" t="s">
        <v>19</v>
      </c>
      <c r="J17" s="91">
        <v>13</v>
      </c>
      <c r="K17" s="86"/>
      <c r="L17" s="53"/>
      <c r="M17" s="53"/>
      <c r="N17" s="86"/>
      <c r="O17" s="86"/>
    </row>
    <row r="19" spans="2:16" x14ac:dyDescent="0.25">
      <c r="B19" s="179" t="s">
        <v>202</v>
      </c>
      <c r="C19" s="179"/>
      <c r="D19" s="95">
        <v>1.25</v>
      </c>
      <c r="E19" s="96"/>
    </row>
    <row r="20" spans="2:16" x14ac:dyDescent="0.25">
      <c r="B20" s="179" t="s">
        <v>203</v>
      </c>
      <c r="C20" s="179"/>
      <c r="D20" s="89">
        <v>0</v>
      </c>
    </row>
    <row r="21" spans="2:16" x14ac:dyDescent="0.25">
      <c r="B21" s="179" t="s">
        <v>204</v>
      </c>
      <c r="C21" s="179"/>
      <c r="D21" s="93">
        <v>1016</v>
      </c>
    </row>
    <row r="22" spans="2:16" ht="15" thickBot="1" x14ac:dyDescent="0.3">
      <c r="B22" s="97"/>
      <c r="C22" s="97"/>
      <c r="D22" s="97"/>
      <c r="E22" s="97"/>
      <c r="F22" s="97"/>
      <c r="G22" s="97"/>
      <c r="H22" s="97"/>
      <c r="I22" s="97"/>
      <c r="J22" s="97"/>
      <c r="K22" s="97"/>
      <c r="L22" s="97"/>
      <c r="M22" s="97"/>
      <c r="N22" s="97"/>
      <c r="O22" s="97"/>
      <c r="P22" s="97"/>
    </row>
    <row r="23" spans="2:16" ht="15" thickTop="1" x14ac:dyDescent="0.25"/>
    <row r="24" spans="2:16" ht="21.75" customHeight="1" x14ac:dyDescent="0.25">
      <c r="B24" s="178" t="s">
        <v>205</v>
      </c>
      <c r="C24" s="178"/>
      <c r="D24" s="178"/>
      <c r="E24" s="178"/>
      <c r="F24" s="178"/>
      <c r="G24" s="178"/>
      <c r="H24" s="178"/>
      <c r="I24" s="178"/>
      <c r="J24" s="178"/>
      <c r="K24" s="178"/>
      <c r="L24" s="178"/>
      <c r="M24" s="178"/>
      <c r="N24" s="178"/>
      <c r="O24" s="178"/>
      <c r="P24" s="178"/>
    </row>
    <row r="25" spans="2:16" ht="18.75" customHeight="1" x14ac:dyDescent="0.25">
      <c r="B25" s="181" t="s">
        <v>17</v>
      </c>
      <c r="C25" s="181" t="s">
        <v>15</v>
      </c>
      <c r="D25" s="181" t="s">
        <v>206</v>
      </c>
      <c r="E25" s="181" t="s">
        <v>207</v>
      </c>
      <c r="F25" s="181"/>
      <c r="G25" s="181" t="s">
        <v>208</v>
      </c>
      <c r="H25" s="181"/>
      <c r="I25" s="181" t="s">
        <v>184</v>
      </c>
      <c r="J25" s="181" t="s">
        <v>185</v>
      </c>
      <c r="K25" s="181" t="s">
        <v>209</v>
      </c>
      <c r="L25" s="181" t="s">
        <v>210</v>
      </c>
      <c r="M25" s="178" t="s">
        <v>211</v>
      </c>
      <c r="N25" s="178"/>
      <c r="O25" s="178"/>
      <c r="P25" s="178"/>
    </row>
    <row r="26" spans="2:16" ht="42.75" x14ac:dyDescent="0.25">
      <c r="B26" s="181"/>
      <c r="C26" s="181"/>
      <c r="D26" s="181"/>
      <c r="E26" s="98" t="s">
        <v>212</v>
      </c>
      <c r="F26" s="98" t="s">
        <v>213</v>
      </c>
      <c r="G26" s="98" t="s">
        <v>212</v>
      </c>
      <c r="H26" s="98" t="s">
        <v>213</v>
      </c>
      <c r="I26" s="181"/>
      <c r="J26" s="181"/>
      <c r="K26" s="181"/>
      <c r="L26" s="181"/>
      <c r="M26" s="99" t="s">
        <v>214</v>
      </c>
      <c r="N26" s="99" t="s">
        <v>215</v>
      </c>
      <c r="O26" s="99" t="s">
        <v>216</v>
      </c>
      <c r="P26" s="99" t="s">
        <v>217</v>
      </c>
    </row>
    <row r="27" spans="2:16" x14ac:dyDescent="0.25">
      <c r="B27" s="88" t="str">
        <f>$B$5</f>
        <v>Fazenda Altenor</v>
      </c>
      <c r="C27" s="100">
        <f>YEAR(D27)</f>
        <v>2019</v>
      </c>
      <c r="D27" s="101">
        <v>43586</v>
      </c>
      <c r="E27" s="102">
        <v>0.33333333333333331</v>
      </c>
      <c r="F27" s="103">
        <v>0.36458333333333331</v>
      </c>
      <c r="G27" s="103">
        <v>0.33333333333333331</v>
      </c>
      <c r="H27" s="103">
        <v>0.3888888888888889</v>
      </c>
      <c r="I27" s="90">
        <f>((F27-E27)-INT($D$20))*24</f>
        <v>0.75</v>
      </c>
      <c r="J27" s="90">
        <f t="shared" ref="J27:J90" si="1">((H27-G27)-INT($D$20))*24</f>
        <v>1.3333333333333339</v>
      </c>
      <c r="K27" s="91">
        <f>VLOOKUP(B27,$B$5:$J$17,5,FALSE)</f>
        <v>0.66666666666666663</v>
      </c>
      <c r="L27" s="91">
        <f>VLOOKUP(B27,$B$5:$J$17,6,FALSE)</f>
        <v>4.375</v>
      </c>
      <c r="M27" s="29">
        <f>VLOOKUP(B27,$I$5:$J$17,2,FALSE)</f>
        <v>20</v>
      </c>
      <c r="N27" s="92">
        <f t="shared" ref="N27:N90" si="2">I27</f>
        <v>0.75</v>
      </c>
      <c r="O27" s="104">
        <f t="shared" ref="O27:O90" si="3">$D$21/1000</f>
        <v>1.016</v>
      </c>
      <c r="P27" s="105">
        <f>M27*N27*O27*0.7</f>
        <v>10.667999999999999</v>
      </c>
    </row>
    <row r="28" spans="2:16" x14ac:dyDescent="0.25">
      <c r="B28" s="88" t="str">
        <f t="shared" ref="B28:B91" si="4">$B$5</f>
        <v>Fazenda Altenor</v>
      </c>
      <c r="C28" s="100">
        <f t="shared" ref="C28:C91" si="5">YEAR(D28)</f>
        <v>2019</v>
      </c>
      <c r="D28" s="101">
        <v>43587</v>
      </c>
      <c r="E28" s="102">
        <v>0.35416666666666669</v>
      </c>
      <c r="F28" s="103">
        <v>0.375</v>
      </c>
      <c r="G28" s="103">
        <v>0.35416666666666669</v>
      </c>
      <c r="H28" s="103">
        <v>0.38541666666666669</v>
      </c>
      <c r="I28" s="90">
        <f t="shared" ref="I28:I91" si="6">((F28-E28)-INT($D$20))*24</f>
        <v>0.49999999999999956</v>
      </c>
      <c r="J28" s="90">
        <f t="shared" si="1"/>
        <v>0.75</v>
      </c>
      <c r="K28" s="91">
        <f>VLOOKUP(B28,$B$5:$J$17,5,FALSE)</f>
        <v>0.66666666666666663</v>
      </c>
      <c r="L28" s="91">
        <f>VLOOKUP(B28,$B$5:$J$17,6,FALSE)</f>
        <v>4.375</v>
      </c>
      <c r="M28" s="29">
        <f t="shared" ref="M28:M91" si="7">VLOOKUP(B28,$I$5:$J$17,2,FALSE)</f>
        <v>20</v>
      </c>
      <c r="N28" s="92">
        <f t="shared" si="2"/>
        <v>0.49999999999999956</v>
      </c>
      <c r="O28" s="104">
        <f t="shared" si="3"/>
        <v>1.016</v>
      </c>
      <c r="P28" s="105">
        <f t="shared" ref="P28:P90" si="8">M28*N28*O28*0.7</f>
        <v>7.111999999999993</v>
      </c>
    </row>
    <row r="29" spans="2:16" x14ac:dyDescent="0.25">
      <c r="B29" s="88" t="str">
        <f t="shared" si="4"/>
        <v>Fazenda Altenor</v>
      </c>
      <c r="C29" s="100">
        <f t="shared" si="5"/>
        <v>2019</v>
      </c>
      <c r="D29" s="101">
        <v>43588</v>
      </c>
      <c r="E29" s="102">
        <v>0.375</v>
      </c>
      <c r="F29" s="103">
        <v>0.39583333333333331</v>
      </c>
      <c r="G29" s="103">
        <v>0.375</v>
      </c>
      <c r="H29" s="103">
        <v>0.41666666666666669</v>
      </c>
      <c r="I29" s="90">
        <f t="shared" si="6"/>
        <v>0.49999999999999956</v>
      </c>
      <c r="J29" s="90">
        <f t="shared" si="1"/>
        <v>1.0000000000000004</v>
      </c>
      <c r="K29" s="91">
        <f t="shared" ref="K29:K92" si="9">VLOOKUP(B29,$B$5:$J$17,5,FALSE)</f>
        <v>0.66666666666666663</v>
      </c>
      <c r="L29" s="91">
        <f t="shared" ref="L29:L92" si="10">VLOOKUP(B29,$B$5:$J$17,6,FALSE)</f>
        <v>4.375</v>
      </c>
      <c r="M29" s="29">
        <f t="shared" si="7"/>
        <v>20</v>
      </c>
      <c r="N29" s="92">
        <f t="shared" si="2"/>
        <v>0.49999999999999956</v>
      </c>
      <c r="O29" s="104">
        <f t="shared" si="3"/>
        <v>1.016</v>
      </c>
      <c r="P29" s="105">
        <f t="shared" si="8"/>
        <v>7.111999999999993</v>
      </c>
    </row>
    <row r="30" spans="2:16" x14ac:dyDescent="0.25">
      <c r="B30" s="88" t="str">
        <f t="shared" si="4"/>
        <v>Fazenda Altenor</v>
      </c>
      <c r="C30" s="100">
        <f t="shared" si="5"/>
        <v>2019</v>
      </c>
      <c r="D30" s="101">
        <v>43589</v>
      </c>
      <c r="E30" s="102">
        <v>0.39583333333333331</v>
      </c>
      <c r="F30" s="103">
        <v>0.42708333333333331</v>
      </c>
      <c r="G30" s="103">
        <v>0.39583333333333331</v>
      </c>
      <c r="H30" s="103">
        <v>0.4375</v>
      </c>
      <c r="I30" s="90">
        <f t="shared" si="6"/>
        <v>0.75</v>
      </c>
      <c r="J30" s="90">
        <f t="shared" si="1"/>
        <v>1.0000000000000004</v>
      </c>
      <c r="K30" s="91">
        <f t="shared" si="9"/>
        <v>0.66666666666666663</v>
      </c>
      <c r="L30" s="91">
        <f t="shared" si="10"/>
        <v>4.375</v>
      </c>
      <c r="M30" s="29">
        <f t="shared" si="7"/>
        <v>20</v>
      </c>
      <c r="N30" s="92">
        <f t="shared" si="2"/>
        <v>0.75</v>
      </c>
      <c r="O30" s="104">
        <f t="shared" si="3"/>
        <v>1.016</v>
      </c>
      <c r="P30" s="105">
        <f t="shared" si="8"/>
        <v>10.667999999999999</v>
      </c>
    </row>
    <row r="31" spans="2:16" x14ac:dyDescent="0.25">
      <c r="B31" s="88" t="str">
        <f t="shared" si="4"/>
        <v>Fazenda Altenor</v>
      </c>
      <c r="C31" s="100">
        <f t="shared" si="5"/>
        <v>2019</v>
      </c>
      <c r="D31" s="101">
        <v>43590</v>
      </c>
      <c r="E31" s="102">
        <v>0.33333333333333331</v>
      </c>
      <c r="F31" s="103">
        <v>0.35416666666666669</v>
      </c>
      <c r="G31" s="103">
        <v>0.33333333333333331</v>
      </c>
      <c r="H31" s="103">
        <v>0.375</v>
      </c>
      <c r="I31" s="90">
        <f t="shared" si="6"/>
        <v>0.50000000000000089</v>
      </c>
      <c r="J31" s="90">
        <f t="shared" si="1"/>
        <v>1.0000000000000004</v>
      </c>
      <c r="K31" s="91">
        <f t="shared" si="9"/>
        <v>0.66666666666666663</v>
      </c>
      <c r="L31" s="91">
        <f t="shared" si="10"/>
        <v>4.375</v>
      </c>
      <c r="M31" s="29">
        <f t="shared" si="7"/>
        <v>20</v>
      </c>
      <c r="N31" s="92">
        <f t="shared" si="2"/>
        <v>0.50000000000000089</v>
      </c>
      <c r="O31" s="104">
        <f t="shared" si="3"/>
        <v>1.016</v>
      </c>
      <c r="P31" s="105">
        <f>M31*N31*O31*0.7</f>
        <v>7.1120000000000116</v>
      </c>
    </row>
    <row r="32" spans="2:16" x14ac:dyDescent="0.25">
      <c r="B32" s="88" t="str">
        <f t="shared" si="4"/>
        <v>Fazenda Altenor</v>
      </c>
      <c r="C32" s="100">
        <f t="shared" si="5"/>
        <v>2019</v>
      </c>
      <c r="D32" s="101">
        <v>43591</v>
      </c>
      <c r="E32" s="102">
        <v>0.35416666666666669</v>
      </c>
      <c r="F32" s="103">
        <v>0.375</v>
      </c>
      <c r="G32" s="103">
        <v>0.35416666666666669</v>
      </c>
      <c r="H32" s="103">
        <v>0.41666666666666669</v>
      </c>
      <c r="I32" s="90">
        <f t="shared" si="6"/>
        <v>0.49999999999999956</v>
      </c>
      <c r="J32" s="90">
        <f t="shared" si="1"/>
        <v>1.5</v>
      </c>
      <c r="K32" s="91">
        <f t="shared" si="9"/>
        <v>0.66666666666666663</v>
      </c>
      <c r="L32" s="91">
        <f t="shared" si="10"/>
        <v>4.375</v>
      </c>
      <c r="M32" s="29">
        <f t="shared" si="7"/>
        <v>20</v>
      </c>
      <c r="N32" s="92">
        <f t="shared" si="2"/>
        <v>0.49999999999999956</v>
      </c>
      <c r="O32" s="104">
        <f t="shared" si="3"/>
        <v>1.016</v>
      </c>
      <c r="P32" s="105">
        <f t="shared" si="8"/>
        <v>7.111999999999993</v>
      </c>
    </row>
    <row r="33" spans="2:16" x14ac:dyDescent="0.25">
      <c r="B33" s="88" t="str">
        <f t="shared" si="4"/>
        <v>Fazenda Altenor</v>
      </c>
      <c r="C33" s="100">
        <f t="shared" si="5"/>
        <v>2019</v>
      </c>
      <c r="D33" s="101">
        <v>43592</v>
      </c>
      <c r="E33" s="102">
        <v>0.34375</v>
      </c>
      <c r="F33" s="103">
        <v>0.375</v>
      </c>
      <c r="G33" s="103">
        <v>0.34375</v>
      </c>
      <c r="H33" s="103">
        <v>0.40625</v>
      </c>
      <c r="I33" s="90">
        <f t="shared" si="6"/>
        <v>0.75</v>
      </c>
      <c r="J33" s="90">
        <f t="shared" si="1"/>
        <v>1.5</v>
      </c>
      <c r="K33" s="91">
        <f t="shared" si="9"/>
        <v>0.66666666666666663</v>
      </c>
      <c r="L33" s="91">
        <f t="shared" si="10"/>
        <v>4.375</v>
      </c>
      <c r="M33" s="29">
        <f t="shared" si="7"/>
        <v>20</v>
      </c>
      <c r="N33" s="92">
        <f t="shared" si="2"/>
        <v>0.75</v>
      </c>
      <c r="O33" s="104">
        <f t="shared" si="3"/>
        <v>1.016</v>
      </c>
      <c r="P33" s="105">
        <f t="shared" si="8"/>
        <v>10.667999999999999</v>
      </c>
    </row>
    <row r="34" spans="2:16" x14ac:dyDescent="0.25">
      <c r="B34" s="88" t="str">
        <f t="shared" si="4"/>
        <v>Fazenda Altenor</v>
      </c>
      <c r="C34" s="100">
        <f t="shared" si="5"/>
        <v>2019</v>
      </c>
      <c r="D34" s="101">
        <v>43593</v>
      </c>
      <c r="E34" s="102">
        <v>0.375</v>
      </c>
      <c r="F34" s="103">
        <v>0.41666666666666669</v>
      </c>
      <c r="G34" s="103">
        <v>0.29166666666666669</v>
      </c>
      <c r="H34" s="103">
        <v>0.36458333333333331</v>
      </c>
      <c r="I34" s="90">
        <f t="shared" si="6"/>
        <v>1.0000000000000004</v>
      </c>
      <c r="J34" s="90">
        <f t="shared" si="1"/>
        <v>1.7499999999999991</v>
      </c>
      <c r="K34" s="91">
        <f t="shared" si="9"/>
        <v>0.66666666666666663</v>
      </c>
      <c r="L34" s="91">
        <f t="shared" si="10"/>
        <v>4.375</v>
      </c>
      <c r="M34" s="29">
        <f t="shared" si="7"/>
        <v>20</v>
      </c>
      <c r="N34" s="92">
        <f t="shared" si="2"/>
        <v>1.0000000000000004</v>
      </c>
      <c r="O34" s="104">
        <f t="shared" si="3"/>
        <v>1.016</v>
      </c>
      <c r="P34" s="105">
        <f t="shared" si="8"/>
        <v>14.224000000000004</v>
      </c>
    </row>
    <row r="35" spans="2:16" x14ac:dyDescent="0.25">
      <c r="B35" s="88" t="str">
        <f t="shared" si="4"/>
        <v>Fazenda Altenor</v>
      </c>
      <c r="C35" s="100">
        <f t="shared" si="5"/>
        <v>2019</v>
      </c>
      <c r="D35" s="101">
        <v>43594</v>
      </c>
      <c r="E35" s="102">
        <v>0.29166666666666669</v>
      </c>
      <c r="F35" s="103">
        <v>0.33333333333333331</v>
      </c>
      <c r="G35" s="103">
        <v>0.29166666666666669</v>
      </c>
      <c r="H35" s="103">
        <v>0.36458333333333331</v>
      </c>
      <c r="I35" s="90">
        <f t="shared" si="6"/>
        <v>0.99999999999999911</v>
      </c>
      <c r="J35" s="90">
        <f t="shared" si="1"/>
        <v>1.7499999999999991</v>
      </c>
      <c r="K35" s="91">
        <f t="shared" si="9"/>
        <v>0.66666666666666663</v>
      </c>
      <c r="L35" s="91">
        <f t="shared" si="10"/>
        <v>4.375</v>
      </c>
      <c r="M35" s="29">
        <f t="shared" si="7"/>
        <v>20</v>
      </c>
      <c r="N35" s="92">
        <f t="shared" si="2"/>
        <v>0.99999999999999911</v>
      </c>
      <c r="O35" s="104">
        <f t="shared" si="3"/>
        <v>1.016</v>
      </c>
      <c r="P35" s="105">
        <f t="shared" si="8"/>
        <v>14.223999999999986</v>
      </c>
    </row>
    <row r="36" spans="2:16" x14ac:dyDescent="0.25">
      <c r="B36" s="88" t="str">
        <f t="shared" si="4"/>
        <v>Fazenda Altenor</v>
      </c>
      <c r="C36" s="100">
        <f t="shared" si="5"/>
        <v>2019</v>
      </c>
      <c r="D36" s="101">
        <v>43595</v>
      </c>
      <c r="E36" s="102">
        <v>0.3125</v>
      </c>
      <c r="F36" s="103">
        <v>0.33333333333333331</v>
      </c>
      <c r="G36" s="103">
        <v>0.3125</v>
      </c>
      <c r="H36" s="103">
        <v>0.375</v>
      </c>
      <c r="I36" s="90">
        <f t="shared" si="6"/>
        <v>0.49999999999999956</v>
      </c>
      <c r="J36" s="90">
        <f t="shared" si="1"/>
        <v>1.5</v>
      </c>
      <c r="K36" s="91">
        <f t="shared" si="9"/>
        <v>0.66666666666666663</v>
      </c>
      <c r="L36" s="91">
        <f t="shared" si="10"/>
        <v>4.375</v>
      </c>
      <c r="M36" s="29">
        <f t="shared" si="7"/>
        <v>20</v>
      </c>
      <c r="N36" s="92">
        <f t="shared" si="2"/>
        <v>0.49999999999999956</v>
      </c>
      <c r="O36" s="104">
        <f t="shared" si="3"/>
        <v>1.016</v>
      </c>
      <c r="P36" s="105">
        <f t="shared" si="8"/>
        <v>7.111999999999993</v>
      </c>
    </row>
    <row r="37" spans="2:16" x14ac:dyDescent="0.25">
      <c r="B37" s="88" t="str">
        <f t="shared" si="4"/>
        <v>Fazenda Altenor</v>
      </c>
      <c r="C37" s="100">
        <f t="shared" si="5"/>
        <v>2019</v>
      </c>
      <c r="D37" s="101">
        <v>43596</v>
      </c>
      <c r="E37" s="102">
        <v>0.33333333333333331</v>
      </c>
      <c r="F37" s="103">
        <v>0.375</v>
      </c>
      <c r="G37" s="103">
        <v>0.33333333333333331</v>
      </c>
      <c r="H37" s="103">
        <v>0.40625</v>
      </c>
      <c r="I37" s="90">
        <f t="shared" si="6"/>
        <v>1.0000000000000004</v>
      </c>
      <c r="J37" s="90">
        <f t="shared" si="1"/>
        <v>1.7500000000000004</v>
      </c>
      <c r="K37" s="91">
        <f t="shared" si="9"/>
        <v>0.66666666666666663</v>
      </c>
      <c r="L37" s="91">
        <f t="shared" si="10"/>
        <v>4.375</v>
      </c>
      <c r="M37" s="29">
        <f t="shared" si="7"/>
        <v>20</v>
      </c>
      <c r="N37" s="92">
        <f t="shared" si="2"/>
        <v>1.0000000000000004</v>
      </c>
      <c r="O37" s="104">
        <f t="shared" si="3"/>
        <v>1.016</v>
      </c>
      <c r="P37" s="105">
        <f t="shared" si="8"/>
        <v>14.224000000000004</v>
      </c>
    </row>
    <row r="38" spans="2:16" x14ac:dyDescent="0.25">
      <c r="B38" s="88" t="str">
        <f t="shared" si="4"/>
        <v>Fazenda Altenor</v>
      </c>
      <c r="C38" s="100">
        <f t="shared" si="5"/>
        <v>2019</v>
      </c>
      <c r="D38" s="101">
        <v>43597</v>
      </c>
      <c r="E38" s="102">
        <v>0.35416666666666669</v>
      </c>
      <c r="F38" s="103">
        <v>0.40625</v>
      </c>
      <c r="G38" s="103">
        <v>0.35416666666666669</v>
      </c>
      <c r="H38" s="103">
        <v>0.4513888888888889</v>
      </c>
      <c r="I38" s="90">
        <f t="shared" si="6"/>
        <v>1.2499999999999996</v>
      </c>
      <c r="J38" s="90">
        <f t="shared" si="1"/>
        <v>2.333333333333333</v>
      </c>
      <c r="K38" s="91">
        <f t="shared" si="9"/>
        <v>0.66666666666666663</v>
      </c>
      <c r="L38" s="91">
        <f t="shared" si="10"/>
        <v>4.375</v>
      </c>
      <c r="M38" s="29">
        <f t="shared" si="7"/>
        <v>20</v>
      </c>
      <c r="N38" s="92">
        <f t="shared" si="2"/>
        <v>1.2499999999999996</v>
      </c>
      <c r="O38" s="104">
        <f t="shared" si="3"/>
        <v>1.016</v>
      </c>
      <c r="P38" s="105">
        <f t="shared" si="8"/>
        <v>17.779999999999994</v>
      </c>
    </row>
    <row r="39" spans="2:16" x14ac:dyDescent="0.25">
      <c r="B39" s="88" t="str">
        <f t="shared" si="4"/>
        <v>Fazenda Altenor</v>
      </c>
      <c r="C39" s="100">
        <f t="shared" si="5"/>
        <v>2019</v>
      </c>
      <c r="D39" s="101">
        <v>43598</v>
      </c>
      <c r="E39" s="102">
        <v>0.375</v>
      </c>
      <c r="F39" s="103">
        <v>0.41666666666666669</v>
      </c>
      <c r="G39" s="103">
        <v>0.375</v>
      </c>
      <c r="H39" s="103">
        <v>0.4375</v>
      </c>
      <c r="I39" s="90">
        <f t="shared" si="6"/>
        <v>1.0000000000000004</v>
      </c>
      <c r="J39" s="90">
        <f t="shared" si="1"/>
        <v>1.5</v>
      </c>
      <c r="K39" s="91">
        <f t="shared" si="9"/>
        <v>0.66666666666666663</v>
      </c>
      <c r="L39" s="91">
        <f t="shared" si="10"/>
        <v>4.375</v>
      </c>
      <c r="M39" s="29">
        <f t="shared" si="7"/>
        <v>20</v>
      </c>
      <c r="N39" s="92">
        <f t="shared" si="2"/>
        <v>1.0000000000000004</v>
      </c>
      <c r="O39" s="104">
        <f t="shared" si="3"/>
        <v>1.016</v>
      </c>
      <c r="P39" s="105">
        <f t="shared" si="8"/>
        <v>14.224000000000004</v>
      </c>
    </row>
    <row r="40" spans="2:16" x14ac:dyDescent="0.25">
      <c r="B40" s="88" t="str">
        <f t="shared" si="4"/>
        <v>Fazenda Altenor</v>
      </c>
      <c r="C40" s="100">
        <f t="shared" si="5"/>
        <v>2019</v>
      </c>
      <c r="D40" s="101">
        <v>43599</v>
      </c>
      <c r="E40" s="102">
        <v>0.41666666666666669</v>
      </c>
      <c r="F40" s="103">
        <v>0.45833333333333331</v>
      </c>
      <c r="G40" s="103">
        <v>0.41666666666666669</v>
      </c>
      <c r="H40" s="103">
        <v>0.4604166666666667</v>
      </c>
      <c r="I40" s="90">
        <f t="shared" si="6"/>
        <v>0.99999999999999911</v>
      </c>
      <c r="J40" s="90">
        <f t="shared" si="1"/>
        <v>1.0500000000000003</v>
      </c>
      <c r="K40" s="91">
        <f t="shared" si="9"/>
        <v>0.66666666666666663</v>
      </c>
      <c r="L40" s="91">
        <f t="shared" si="10"/>
        <v>4.375</v>
      </c>
      <c r="M40" s="29">
        <f t="shared" si="7"/>
        <v>20</v>
      </c>
      <c r="N40" s="92">
        <f t="shared" si="2"/>
        <v>0.99999999999999911</v>
      </c>
      <c r="O40" s="104">
        <f t="shared" si="3"/>
        <v>1.016</v>
      </c>
      <c r="P40" s="105">
        <f t="shared" si="8"/>
        <v>14.223999999999986</v>
      </c>
    </row>
    <row r="41" spans="2:16" x14ac:dyDescent="0.25">
      <c r="B41" s="88" t="str">
        <f t="shared" si="4"/>
        <v>Fazenda Altenor</v>
      </c>
      <c r="C41" s="100">
        <f t="shared" si="5"/>
        <v>2019</v>
      </c>
      <c r="D41" s="101">
        <v>43600</v>
      </c>
      <c r="E41" s="102">
        <v>0.3125</v>
      </c>
      <c r="F41" s="103">
        <v>0.33333333333333331</v>
      </c>
      <c r="G41" s="103">
        <v>0.3125</v>
      </c>
      <c r="H41" s="103">
        <v>0.36458333333333331</v>
      </c>
      <c r="I41" s="90">
        <f t="shared" si="6"/>
        <v>0.49999999999999956</v>
      </c>
      <c r="J41" s="90">
        <f t="shared" si="1"/>
        <v>1.2499999999999996</v>
      </c>
      <c r="K41" s="91">
        <f t="shared" si="9"/>
        <v>0.66666666666666663</v>
      </c>
      <c r="L41" s="91">
        <f t="shared" si="10"/>
        <v>4.375</v>
      </c>
      <c r="M41" s="29">
        <f t="shared" si="7"/>
        <v>20</v>
      </c>
      <c r="N41" s="92">
        <f t="shared" si="2"/>
        <v>0.49999999999999956</v>
      </c>
      <c r="O41" s="104">
        <f t="shared" si="3"/>
        <v>1.016</v>
      </c>
      <c r="P41" s="105">
        <f t="shared" si="8"/>
        <v>7.111999999999993</v>
      </c>
    </row>
    <row r="42" spans="2:16" x14ac:dyDescent="0.25">
      <c r="B42" s="88" t="str">
        <f t="shared" si="4"/>
        <v>Fazenda Altenor</v>
      </c>
      <c r="C42" s="100">
        <f t="shared" si="5"/>
        <v>2019</v>
      </c>
      <c r="D42" s="101">
        <v>43601</v>
      </c>
      <c r="E42" s="102">
        <v>0.33333333333333331</v>
      </c>
      <c r="F42" s="103">
        <v>0.375</v>
      </c>
      <c r="G42" s="103">
        <v>0.33333333333333331</v>
      </c>
      <c r="H42" s="103">
        <v>0.40625</v>
      </c>
      <c r="I42" s="90">
        <f t="shared" si="6"/>
        <v>1.0000000000000004</v>
      </c>
      <c r="J42" s="90">
        <f t="shared" si="1"/>
        <v>1.7500000000000004</v>
      </c>
      <c r="K42" s="91">
        <f t="shared" si="9"/>
        <v>0.66666666666666663</v>
      </c>
      <c r="L42" s="91">
        <f t="shared" si="10"/>
        <v>4.375</v>
      </c>
      <c r="M42" s="29">
        <f t="shared" si="7"/>
        <v>20</v>
      </c>
      <c r="N42" s="92">
        <f t="shared" si="2"/>
        <v>1.0000000000000004</v>
      </c>
      <c r="O42" s="104">
        <f t="shared" si="3"/>
        <v>1.016</v>
      </c>
      <c r="P42" s="105">
        <f t="shared" si="8"/>
        <v>14.224000000000004</v>
      </c>
    </row>
    <row r="43" spans="2:16" x14ac:dyDescent="0.25">
      <c r="B43" s="88" t="str">
        <f t="shared" si="4"/>
        <v>Fazenda Altenor</v>
      </c>
      <c r="C43" s="100">
        <f t="shared" si="5"/>
        <v>2019</v>
      </c>
      <c r="D43" s="101">
        <v>43602</v>
      </c>
      <c r="E43" s="102">
        <v>0.33333333333333331</v>
      </c>
      <c r="F43" s="103">
        <v>0.35416666666666669</v>
      </c>
      <c r="G43" s="103">
        <v>0.33333333333333331</v>
      </c>
      <c r="H43" s="103">
        <v>0.375</v>
      </c>
      <c r="I43" s="90">
        <f t="shared" si="6"/>
        <v>0.50000000000000089</v>
      </c>
      <c r="J43" s="90">
        <f t="shared" si="1"/>
        <v>1.0000000000000004</v>
      </c>
      <c r="K43" s="91">
        <f t="shared" si="9"/>
        <v>0.66666666666666663</v>
      </c>
      <c r="L43" s="91">
        <f t="shared" si="10"/>
        <v>4.375</v>
      </c>
      <c r="M43" s="29">
        <f t="shared" si="7"/>
        <v>20</v>
      </c>
      <c r="N43" s="92">
        <f t="shared" si="2"/>
        <v>0.50000000000000089</v>
      </c>
      <c r="O43" s="104">
        <f t="shared" si="3"/>
        <v>1.016</v>
      </c>
      <c r="P43" s="105">
        <f t="shared" si="8"/>
        <v>7.1120000000000116</v>
      </c>
    </row>
    <row r="44" spans="2:16" x14ac:dyDescent="0.25">
      <c r="B44" s="88" t="str">
        <f t="shared" si="4"/>
        <v>Fazenda Altenor</v>
      </c>
      <c r="C44" s="100">
        <f t="shared" si="5"/>
        <v>2019</v>
      </c>
      <c r="D44" s="101">
        <v>43603</v>
      </c>
      <c r="E44" s="102">
        <v>0.36458333333333331</v>
      </c>
      <c r="F44" s="103">
        <v>0.39583333333333331</v>
      </c>
      <c r="G44" s="103">
        <v>0.36458333333333331</v>
      </c>
      <c r="H44" s="103">
        <v>0.41666666666666669</v>
      </c>
      <c r="I44" s="90">
        <f t="shared" si="6"/>
        <v>0.75</v>
      </c>
      <c r="J44" s="90">
        <f t="shared" si="1"/>
        <v>1.2500000000000009</v>
      </c>
      <c r="K44" s="91">
        <f t="shared" si="9"/>
        <v>0.66666666666666663</v>
      </c>
      <c r="L44" s="91">
        <f t="shared" si="10"/>
        <v>4.375</v>
      </c>
      <c r="M44" s="29">
        <f t="shared" si="7"/>
        <v>20</v>
      </c>
      <c r="N44" s="92">
        <f t="shared" si="2"/>
        <v>0.75</v>
      </c>
      <c r="O44" s="104">
        <f t="shared" si="3"/>
        <v>1.016</v>
      </c>
      <c r="P44" s="105">
        <f t="shared" si="8"/>
        <v>10.667999999999999</v>
      </c>
    </row>
    <row r="45" spans="2:16" x14ac:dyDescent="0.25">
      <c r="B45" s="88" t="str">
        <f t="shared" si="4"/>
        <v>Fazenda Altenor</v>
      </c>
      <c r="C45" s="100">
        <f t="shared" si="5"/>
        <v>2019</v>
      </c>
      <c r="D45" s="101">
        <v>43604</v>
      </c>
      <c r="E45" s="102">
        <v>0.29166666666666669</v>
      </c>
      <c r="F45" s="103">
        <v>0.3125</v>
      </c>
      <c r="G45" s="103">
        <v>0.29166666666666669</v>
      </c>
      <c r="H45" s="103">
        <v>0.34375</v>
      </c>
      <c r="I45" s="90">
        <f t="shared" si="6"/>
        <v>0.49999999999999956</v>
      </c>
      <c r="J45" s="90">
        <f t="shared" si="1"/>
        <v>1.2499999999999996</v>
      </c>
      <c r="K45" s="91">
        <f t="shared" si="9"/>
        <v>0.66666666666666663</v>
      </c>
      <c r="L45" s="91">
        <f t="shared" si="10"/>
        <v>4.375</v>
      </c>
      <c r="M45" s="29">
        <f t="shared" si="7"/>
        <v>20</v>
      </c>
      <c r="N45" s="92">
        <f t="shared" si="2"/>
        <v>0.49999999999999956</v>
      </c>
      <c r="O45" s="104">
        <f t="shared" si="3"/>
        <v>1.016</v>
      </c>
      <c r="P45" s="105">
        <f t="shared" si="8"/>
        <v>7.111999999999993</v>
      </c>
    </row>
    <row r="46" spans="2:16" x14ac:dyDescent="0.25">
      <c r="B46" s="88" t="str">
        <f t="shared" si="4"/>
        <v>Fazenda Altenor</v>
      </c>
      <c r="C46" s="100">
        <f t="shared" si="5"/>
        <v>2019</v>
      </c>
      <c r="D46" s="101">
        <v>43605</v>
      </c>
      <c r="E46" s="102">
        <v>0.3125</v>
      </c>
      <c r="F46" s="103">
        <v>0.33333333333333331</v>
      </c>
      <c r="G46" s="103">
        <v>0.3125</v>
      </c>
      <c r="H46" s="103">
        <v>0.375</v>
      </c>
      <c r="I46" s="90">
        <f t="shared" si="6"/>
        <v>0.49999999999999956</v>
      </c>
      <c r="J46" s="90">
        <f t="shared" si="1"/>
        <v>1.5</v>
      </c>
      <c r="K46" s="91">
        <f t="shared" si="9"/>
        <v>0.66666666666666663</v>
      </c>
      <c r="L46" s="91">
        <f t="shared" si="10"/>
        <v>4.375</v>
      </c>
      <c r="M46" s="29">
        <f t="shared" si="7"/>
        <v>20</v>
      </c>
      <c r="N46" s="92">
        <f t="shared" si="2"/>
        <v>0.49999999999999956</v>
      </c>
      <c r="O46" s="104">
        <f t="shared" si="3"/>
        <v>1.016</v>
      </c>
      <c r="P46" s="105">
        <f t="shared" si="8"/>
        <v>7.111999999999993</v>
      </c>
    </row>
    <row r="47" spans="2:16" x14ac:dyDescent="0.25">
      <c r="B47" s="88" t="str">
        <f t="shared" si="4"/>
        <v>Fazenda Altenor</v>
      </c>
      <c r="C47" s="100">
        <f t="shared" si="5"/>
        <v>2019</v>
      </c>
      <c r="D47" s="101">
        <v>43606</v>
      </c>
      <c r="E47" s="102">
        <v>0.375</v>
      </c>
      <c r="F47" s="103">
        <v>0.40625</v>
      </c>
      <c r="G47" s="103">
        <v>0.375</v>
      </c>
      <c r="H47" s="103">
        <v>0.42708333333333331</v>
      </c>
      <c r="I47" s="90">
        <f t="shared" si="6"/>
        <v>0.75</v>
      </c>
      <c r="J47" s="90">
        <f t="shared" si="1"/>
        <v>1.2499999999999996</v>
      </c>
      <c r="K47" s="91">
        <f t="shared" si="9"/>
        <v>0.66666666666666663</v>
      </c>
      <c r="L47" s="91">
        <f t="shared" si="10"/>
        <v>4.375</v>
      </c>
      <c r="M47" s="29">
        <f t="shared" si="7"/>
        <v>20</v>
      </c>
      <c r="N47" s="92">
        <f t="shared" si="2"/>
        <v>0.75</v>
      </c>
      <c r="O47" s="104">
        <f t="shared" si="3"/>
        <v>1.016</v>
      </c>
      <c r="P47" s="105">
        <f t="shared" si="8"/>
        <v>10.667999999999999</v>
      </c>
    </row>
    <row r="48" spans="2:16" x14ac:dyDescent="0.25">
      <c r="B48" s="88" t="str">
        <f t="shared" si="4"/>
        <v>Fazenda Altenor</v>
      </c>
      <c r="C48" s="100">
        <f t="shared" si="5"/>
        <v>2019</v>
      </c>
      <c r="D48" s="101">
        <v>43607</v>
      </c>
      <c r="E48" s="102">
        <v>0.39583333333333331</v>
      </c>
      <c r="F48" s="103">
        <v>0.41666666666666669</v>
      </c>
      <c r="G48" s="103">
        <v>0.39583333333333331</v>
      </c>
      <c r="H48" s="103">
        <v>0.44791666666666669</v>
      </c>
      <c r="I48" s="90">
        <f t="shared" si="6"/>
        <v>0.50000000000000089</v>
      </c>
      <c r="J48" s="90">
        <f t="shared" si="1"/>
        <v>1.2500000000000009</v>
      </c>
      <c r="K48" s="91">
        <f t="shared" si="9"/>
        <v>0.66666666666666663</v>
      </c>
      <c r="L48" s="91">
        <f t="shared" si="10"/>
        <v>4.375</v>
      </c>
      <c r="M48" s="29">
        <f t="shared" si="7"/>
        <v>20</v>
      </c>
      <c r="N48" s="92">
        <f t="shared" si="2"/>
        <v>0.50000000000000089</v>
      </c>
      <c r="O48" s="104">
        <f t="shared" si="3"/>
        <v>1.016</v>
      </c>
      <c r="P48" s="105">
        <f t="shared" si="8"/>
        <v>7.1120000000000116</v>
      </c>
    </row>
    <row r="49" spans="2:16" x14ac:dyDescent="0.25">
      <c r="B49" s="88" t="str">
        <f t="shared" si="4"/>
        <v>Fazenda Altenor</v>
      </c>
      <c r="C49" s="100">
        <f t="shared" si="5"/>
        <v>2019</v>
      </c>
      <c r="D49" s="101">
        <v>43608</v>
      </c>
      <c r="E49" s="102">
        <v>0.29166666666666669</v>
      </c>
      <c r="F49" s="103">
        <v>0.33333333333333331</v>
      </c>
      <c r="G49" s="103">
        <v>0.29166666666666669</v>
      </c>
      <c r="H49" s="103">
        <v>0.35416666666666669</v>
      </c>
      <c r="I49" s="90">
        <f t="shared" si="6"/>
        <v>0.99999999999999911</v>
      </c>
      <c r="J49" s="90">
        <f t="shared" si="1"/>
        <v>1.5</v>
      </c>
      <c r="K49" s="91">
        <f t="shared" si="9"/>
        <v>0.66666666666666663</v>
      </c>
      <c r="L49" s="91">
        <f t="shared" si="10"/>
        <v>4.375</v>
      </c>
      <c r="M49" s="29">
        <f t="shared" si="7"/>
        <v>20</v>
      </c>
      <c r="N49" s="92">
        <f t="shared" si="2"/>
        <v>0.99999999999999911</v>
      </c>
      <c r="O49" s="104">
        <f t="shared" si="3"/>
        <v>1.016</v>
      </c>
      <c r="P49" s="105">
        <f t="shared" si="8"/>
        <v>14.223999999999986</v>
      </c>
    </row>
    <row r="50" spans="2:16" x14ac:dyDescent="0.25">
      <c r="B50" s="88" t="str">
        <f t="shared" si="4"/>
        <v>Fazenda Altenor</v>
      </c>
      <c r="C50" s="100">
        <f t="shared" si="5"/>
        <v>2019</v>
      </c>
      <c r="D50" s="101">
        <v>43609</v>
      </c>
      <c r="E50" s="102"/>
      <c r="F50" s="103"/>
      <c r="G50" s="103"/>
      <c r="H50" s="103"/>
      <c r="I50" s="90">
        <f t="shared" si="6"/>
        <v>0</v>
      </c>
      <c r="J50" s="90">
        <f t="shared" si="1"/>
        <v>0</v>
      </c>
      <c r="K50" s="91">
        <f t="shared" si="9"/>
        <v>0.66666666666666663</v>
      </c>
      <c r="L50" s="91">
        <f t="shared" si="10"/>
        <v>4.375</v>
      </c>
      <c r="M50" s="29">
        <f t="shared" si="7"/>
        <v>20</v>
      </c>
      <c r="N50" s="92">
        <f t="shared" si="2"/>
        <v>0</v>
      </c>
      <c r="O50" s="104">
        <f t="shared" si="3"/>
        <v>1.016</v>
      </c>
      <c r="P50" s="105">
        <f t="shared" si="8"/>
        <v>0</v>
      </c>
    </row>
    <row r="51" spans="2:16" x14ac:dyDescent="0.25">
      <c r="B51" s="88" t="str">
        <f t="shared" si="4"/>
        <v>Fazenda Altenor</v>
      </c>
      <c r="C51" s="106">
        <f t="shared" si="5"/>
        <v>2019</v>
      </c>
      <c r="D51" s="101">
        <v>43610</v>
      </c>
      <c r="E51" s="102">
        <v>0.33333333333333331</v>
      </c>
      <c r="F51" s="103">
        <v>0.35416666666666669</v>
      </c>
      <c r="G51" s="103">
        <v>0.33333333333333331</v>
      </c>
      <c r="H51" s="103">
        <v>0.375</v>
      </c>
      <c r="I51" s="90">
        <f t="shared" si="6"/>
        <v>0.50000000000000089</v>
      </c>
      <c r="J51" s="90">
        <f t="shared" si="1"/>
        <v>1.0000000000000004</v>
      </c>
      <c r="K51" s="91">
        <f t="shared" si="9"/>
        <v>0.66666666666666663</v>
      </c>
      <c r="L51" s="91">
        <f t="shared" si="10"/>
        <v>4.375</v>
      </c>
      <c r="M51" s="29">
        <f t="shared" si="7"/>
        <v>20</v>
      </c>
      <c r="N51" s="92">
        <f t="shared" si="2"/>
        <v>0.50000000000000089</v>
      </c>
      <c r="O51" s="104">
        <f t="shared" si="3"/>
        <v>1.016</v>
      </c>
      <c r="P51" s="105">
        <f t="shared" si="8"/>
        <v>7.1120000000000116</v>
      </c>
    </row>
    <row r="52" spans="2:16" x14ac:dyDescent="0.25">
      <c r="B52" s="88" t="str">
        <f t="shared" si="4"/>
        <v>Fazenda Altenor</v>
      </c>
      <c r="C52" s="106">
        <f t="shared" si="5"/>
        <v>2019</v>
      </c>
      <c r="D52" s="101">
        <v>43611</v>
      </c>
      <c r="E52" s="102">
        <v>0.3125</v>
      </c>
      <c r="F52" s="103">
        <v>0.33333333333333331</v>
      </c>
      <c r="G52" s="103">
        <v>0.3125</v>
      </c>
      <c r="H52" s="103">
        <v>0.36458333333333331</v>
      </c>
      <c r="I52" s="90">
        <f t="shared" si="6"/>
        <v>0.49999999999999956</v>
      </c>
      <c r="J52" s="90">
        <f t="shared" si="1"/>
        <v>1.2499999999999996</v>
      </c>
      <c r="K52" s="91">
        <f t="shared" si="9"/>
        <v>0.66666666666666663</v>
      </c>
      <c r="L52" s="91">
        <f t="shared" si="10"/>
        <v>4.375</v>
      </c>
      <c r="M52" s="29">
        <f t="shared" si="7"/>
        <v>20</v>
      </c>
      <c r="N52" s="92">
        <f t="shared" si="2"/>
        <v>0.49999999999999956</v>
      </c>
      <c r="O52" s="104">
        <f t="shared" si="3"/>
        <v>1.016</v>
      </c>
      <c r="P52" s="105">
        <f t="shared" si="8"/>
        <v>7.111999999999993</v>
      </c>
    </row>
    <row r="53" spans="2:16" x14ac:dyDescent="0.25">
      <c r="B53" s="88" t="str">
        <f t="shared" si="4"/>
        <v>Fazenda Altenor</v>
      </c>
      <c r="C53" s="106">
        <f t="shared" si="5"/>
        <v>2019</v>
      </c>
      <c r="D53" s="101">
        <v>43612</v>
      </c>
      <c r="E53" s="102">
        <v>0.34375</v>
      </c>
      <c r="F53" s="103">
        <v>0.375</v>
      </c>
      <c r="G53" s="103">
        <v>0.34375</v>
      </c>
      <c r="H53" s="103">
        <v>0.40625</v>
      </c>
      <c r="I53" s="90">
        <f t="shared" si="6"/>
        <v>0.75</v>
      </c>
      <c r="J53" s="90">
        <f t="shared" si="1"/>
        <v>1.5</v>
      </c>
      <c r="K53" s="91">
        <f t="shared" si="9"/>
        <v>0.66666666666666663</v>
      </c>
      <c r="L53" s="91">
        <f t="shared" si="10"/>
        <v>4.375</v>
      </c>
      <c r="M53" s="29">
        <f t="shared" si="7"/>
        <v>20</v>
      </c>
      <c r="N53" s="92">
        <f t="shared" si="2"/>
        <v>0.75</v>
      </c>
      <c r="O53" s="104">
        <f t="shared" si="3"/>
        <v>1.016</v>
      </c>
      <c r="P53" s="105">
        <f t="shared" si="8"/>
        <v>10.667999999999999</v>
      </c>
    </row>
    <row r="54" spans="2:16" x14ac:dyDescent="0.25">
      <c r="B54" s="88" t="str">
        <f t="shared" si="4"/>
        <v>Fazenda Altenor</v>
      </c>
      <c r="C54" s="106">
        <f t="shared" si="5"/>
        <v>2019</v>
      </c>
      <c r="D54" s="101">
        <v>43613</v>
      </c>
      <c r="E54" s="102">
        <v>0.36458333333333331</v>
      </c>
      <c r="F54" s="103">
        <v>0.38541666666666669</v>
      </c>
      <c r="G54" s="103">
        <v>0.36458333333333331</v>
      </c>
      <c r="H54" s="103">
        <v>0.41666666666666669</v>
      </c>
      <c r="I54" s="90">
        <f t="shared" si="6"/>
        <v>0.50000000000000089</v>
      </c>
      <c r="J54" s="90">
        <f t="shared" si="1"/>
        <v>1.2500000000000009</v>
      </c>
      <c r="K54" s="91">
        <f t="shared" si="9"/>
        <v>0.66666666666666663</v>
      </c>
      <c r="L54" s="91">
        <f t="shared" si="10"/>
        <v>4.375</v>
      </c>
      <c r="M54" s="29">
        <f t="shared" si="7"/>
        <v>20</v>
      </c>
      <c r="N54" s="92">
        <f t="shared" si="2"/>
        <v>0.50000000000000089</v>
      </c>
      <c r="O54" s="104">
        <f t="shared" si="3"/>
        <v>1.016</v>
      </c>
      <c r="P54" s="105">
        <f t="shared" si="8"/>
        <v>7.1120000000000116</v>
      </c>
    </row>
    <row r="55" spans="2:16" x14ac:dyDescent="0.25">
      <c r="B55" s="88" t="str">
        <f t="shared" si="4"/>
        <v>Fazenda Altenor</v>
      </c>
      <c r="C55" s="106">
        <f t="shared" si="5"/>
        <v>2019</v>
      </c>
      <c r="D55" s="101">
        <v>43614</v>
      </c>
      <c r="E55" s="102">
        <v>0.375</v>
      </c>
      <c r="F55" s="103">
        <v>0.39583333333333331</v>
      </c>
      <c r="G55" s="103">
        <v>0.375</v>
      </c>
      <c r="H55" s="103">
        <v>0.41666666666666669</v>
      </c>
      <c r="I55" s="90">
        <f t="shared" si="6"/>
        <v>0.49999999999999956</v>
      </c>
      <c r="J55" s="90">
        <f t="shared" si="1"/>
        <v>1.0000000000000004</v>
      </c>
      <c r="K55" s="91">
        <f t="shared" si="9"/>
        <v>0.66666666666666663</v>
      </c>
      <c r="L55" s="91">
        <f t="shared" si="10"/>
        <v>4.375</v>
      </c>
      <c r="M55" s="29">
        <f t="shared" si="7"/>
        <v>20</v>
      </c>
      <c r="N55" s="92">
        <f t="shared" si="2"/>
        <v>0.49999999999999956</v>
      </c>
      <c r="O55" s="104">
        <f t="shared" si="3"/>
        <v>1.016</v>
      </c>
      <c r="P55" s="105">
        <f t="shared" si="8"/>
        <v>7.111999999999993</v>
      </c>
    </row>
    <row r="56" spans="2:16" x14ac:dyDescent="0.25">
      <c r="B56" s="88" t="str">
        <f t="shared" si="4"/>
        <v>Fazenda Altenor</v>
      </c>
      <c r="C56" s="106">
        <f t="shared" si="5"/>
        <v>2019</v>
      </c>
      <c r="D56" s="101">
        <v>43615</v>
      </c>
      <c r="E56" s="102">
        <v>0.29166666666666669</v>
      </c>
      <c r="F56" s="103">
        <v>0.3125</v>
      </c>
      <c r="G56" s="103">
        <v>0.29166666666666669</v>
      </c>
      <c r="H56" s="103">
        <v>0.33333333333333331</v>
      </c>
      <c r="I56" s="90">
        <f t="shared" si="6"/>
        <v>0.49999999999999956</v>
      </c>
      <c r="J56" s="90">
        <f t="shared" si="1"/>
        <v>0.99999999999999911</v>
      </c>
      <c r="K56" s="91">
        <f t="shared" si="9"/>
        <v>0.66666666666666663</v>
      </c>
      <c r="L56" s="91">
        <f t="shared" si="10"/>
        <v>4.375</v>
      </c>
      <c r="M56" s="29">
        <f t="shared" si="7"/>
        <v>20</v>
      </c>
      <c r="N56" s="92">
        <f t="shared" si="2"/>
        <v>0.49999999999999956</v>
      </c>
      <c r="O56" s="104">
        <f t="shared" si="3"/>
        <v>1.016</v>
      </c>
      <c r="P56" s="105">
        <f t="shared" si="8"/>
        <v>7.111999999999993</v>
      </c>
    </row>
    <row r="57" spans="2:16" x14ac:dyDescent="0.25">
      <c r="B57" s="88" t="str">
        <f t="shared" si="4"/>
        <v>Fazenda Altenor</v>
      </c>
      <c r="C57" s="106">
        <f t="shared" si="5"/>
        <v>2019</v>
      </c>
      <c r="D57" s="101">
        <v>43616</v>
      </c>
      <c r="E57" s="102">
        <v>0.29166666666666669</v>
      </c>
      <c r="F57" s="103">
        <v>0.33333333333333331</v>
      </c>
      <c r="G57" s="103">
        <v>0.29166666666666669</v>
      </c>
      <c r="H57" s="103">
        <v>0.36458333333333331</v>
      </c>
      <c r="I57" s="90">
        <f t="shared" si="6"/>
        <v>0.99999999999999911</v>
      </c>
      <c r="J57" s="90">
        <f t="shared" si="1"/>
        <v>1.7499999999999991</v>
      </c>
      <c r="K57" s="91">
        <f t="shared" si="9"/>
        <v>0.66666666666666663</v>
      </c>
      <c r="L57" s="91">
        <f t="shared" si="10"/>
        <v>4.375</v>
      </c>
      <c r="M57" s="29">
        <f t="shared" si="7"/>
        <v>20</v>
      </c>
      <c r="N57" s="92">
        <f t="shared" si="2"/>
        <v>0.99999999999999911</v>
      </c>
      <c r="O57" s="104">
        <f t="shared" si="3"/>
        <v>1.016</v>
      </c>
      <c r="P57" s="105">
        <f t="shared" si="8"/>
        <v>14.223999999999986</v>
      </c>
    </row>
    <row r="58" spans="2:16" x14ac:dyDescent="0.25">
      <c r="B58" s="88" t="str">
        <f t="shared" si="4"/>
        <v>Fazenda Altenor</v>
      </c>
      <c r="C58" s="106">
        <f t="shared" si="5"/>
        <v>2019</v>
      </c>
      <c r="D58" s="101">
        <v>43617</v>
      </c>
      <c r="E58" s="102">
        <v>0.35416666666666669</v>
      </c>
      <c r="F58" s="103">
        <v>0.375</v>
      </c>
      <c r="G58" s="103">
        <v>0.35416666666666669</v>
      </c>
      <c r="H58" s="103">
        <v>0.39583333333333331</v>
      </c>
      <c r="I58" s="90">
        <f t="shared" si="6"/>
        <v>0.49999999999999956</v>
      </c>
      <c r="J58" s="90">
        <f t="shared" si="1"/>
        <v>0.99999999999999911</v>
      </c>
      <c r="K58" s="91">
        <f t="shared" si="9"/>
        <v>0.66666666666666663</v>
      </c>
      <c r="L58" s="91">
        <f t="shared" si="10"/>
        <v>4.375</v>
      </c>
      <c r="M58" s="29">
        <f t="shared" si="7"/>
        <v>20</v>
      </c>
      <c r="N58" s="92">
        <f t="shared" si="2"/>
        <v>0.49999999999999956</v>
      </c>
      <c r="O58" s="104">
        <f t="shared" si="3"/>
        <v>1.016</v>
      </c>
      <c r="P58" s="105">
        <f>M58*N58*O58*0.7</f>
        <v>7.111999999999993</v>
      </c>
    </row>
    <row r="59" spans="2:16" x14ac:dyDescent="0.25">
      <c r="B59" s="88" t="str">
        <f t="shared" si="4"/>
        <v>Fazenda Altenor</v>
      </c>
      <c r="C59" s="106">
        <f t="shared" si="5"/>
        <v>2019</v>
      </c>
      <c r="D59" s="101">
        <v>43618</v>
      </c>
      <c r="E59" s="102">
        <v>0.29166666666666669</v>
      </c>
      <c r="F59" s="103">
        <v>0.3125</v>
      </c>
      <c r="G59" s="103">
        <v>0.29166666666666669</v>
      </c>
      <c r="H59" s="103">
        <v>0.33333333333333331</v>
      </c>
      <c r="I59" s="90">
        <f t="shared" si="6"/>
        <v>0.49999999999999956</v>
      </c>
      <c r="J59" s="90">
        <f t="shared" si="1"/>
        <v>0.99999999999999911</v>
      </c>
      <c r="K59" s="91">
        <f t="shared" si="9"/>
        <v>0.66666666666666663</v>
      </c>
      <c r="L59" s="91">
        <f t="shared" si="10"/>
        <v>4.375</v>
      </c>
      <c r="M59" s="29">
        <f t="shared" si="7"/>
        <v>20</v>
      </c>
      <c r="N59" s="92">
        <f>I59</f>
        <v>0.49999999999999956</v>
      </c>
      <c r="O59" s="104">
        <f t="shared" si="3"/>
        <v>1.016</v>
      </c>
      <c r="P59" s="105">
        <f t="shared" si="8"/>
        <v>7.111999999999993</v>
      </c>
    </row>
    <row r="60" spans="2:16" x14ac:dyDescent="0.25">
      <c r="B60" s="88" t="str">
        <f t="shared" si="4"/>
        <v>Fazenda Altenor</v>
      </c>
      <c r="C60" s="106">
        <f t="shared" si="5"/>
        <v>2019</v>
      </c>
      <c r="D60" s="101">
        <v>43619</v>
      </c>
      <c r="E60" s="102">
        <v>0.33333333333333331</v>
      </c>
      <c r="F60" s="103">
        <v>0.34375</v>
      </c>
      <c r="G60" s="103">
        <v>0.29166666666666669</v>
      </c>
      <c r="H60" s="103">
        <v>0.33333333333333331</v>
      </c>
      <c r="I60" s="90">
        <f t="shared" si="6"/>
        <v>0.25000000000000044</v>
      </c>
      <c r="J60" s="90">
        <f t="shared" si="1"/>
        <v>0.99999999999999911</v>
      </c>
      <c r="K60" s="91">
        <f t="shared" si="9"/>
        <v>0.66666666666666663</v>
      </c>
      <c r="L60" s="91">
        <f t="shared" si="10"/>
        <v>4.375</v>
      </c>
      <c r="M60" s="29">
        <f t="shared" si="7"/>
        <v>20</v>
      </c>
      <c r="N60" s="92">
        <f t="shared" si="2"/>
        <v>0.25000000000000044</v>
      </c>
      <c r="O60" s="104">
        <f t="shared" si="3"/>
        <v>1.016</v>
      </c>
      <c r="P60" s="105">
        <f t="shared" si="8"/>
        <v>3.5560000000000058</v>
      </c>
    </row>
    <row r="61" spans="2:16" x14ac:dyDescent="0.25">
      <c r="B61" s="88" t="str">
        <f t="shared" si="4"/>
        <v>Fazenda Altenor</v>
      </c>
      <c r="C61" s="106">
        <f t="shared" si="5"/>
        <v>2019</v>
      </c>
      <c r="D61" s="101">
        <v>43620</v>
      </c>
      <c r="E61" s="102">
        <v>0.30208333333333331</v>
      </c>
      <c r="F61" s="103">
        <v>0.33333333333333331</v>
      </c>
      <c r="G61" s="103">
        <v>0.30208333333333331</v>
      </c>
      <c r="H61" s="103">
        <v>0.35416666666666669</v>
      </c>
      <c r="I61" s="90">
        <f t="shared" si="6"/>
        <v>0.75</v>
      </c>
      <c r="J61" s="90">
        <f t="shared" si="1"/>
        <v>1.2500000000000009</v>
      </c>
      <c r="K61" s="91">
        <f t="shared" si="9"/>
        <v>0.66666666666666663</v>
      </c>
      <c r="L61" s="91">
        <f t="shared" si="10"/>
        <v>4.375</v>
      </c>
      <c r="M61" s="29">
        <f t="shared" si="7"/>
        <v>20</v>
      </c>
      <c r="N61" s="92">
        <f t="shared" si="2"/>
        <v>0.75</v>
      </c>
      <c r="O61" s="104">
        <f t="shared" si="3"/>
        <v>1.016</v>
      </c>
      <c r="P61" s="105">
        <f t="shared" si="8"/>
        <v>10.667999999999999</v>
      </c>
    </row>
    <row r="62" spans="2:16" x14ac:dyDescent="0.25">
      <c r="B62" s="88" t="str">
        <f t="shared" si="4"/>
        <v>Fazenda Altenor</v>
      </c>
      <c r="C62" s="106">
        <f t="shared" si="5"/>
        <v>2019</v>
      </c>
      <c r="D62" s="101">
        <v>43621</v>
      </c>
      <c r="E62" s="102">
        <v>0.29166666666666669</v>
      </c>
      <c r="F62" s="103">
        <v>0.3125</v>
      </c>
      <c r="G62" s="103">
        <v>0.29166666666666669</v>
      </c>
      <c r="H62" s="103">
        <v>0.33333333333333331</v>
      </c>
      <c r="I62" s="90">
        <f t="shared" si="6"/>
        <v>0.49999999999999956</v>
      </c>
      <c r="J62" s="90">
        <f t="shared" si="1"/>
        <v>0.99999999999999911</v>
      </c>
      <c r="K62" s="91">
        <f t="shared" si="9"/>
        <v>0.66666666666666663</v>
      </c>
      <c r="L62" s="91">
        <f t="shared" si="10"/>
        <v>4.375</v>
      </c>
      <c r="M62" s="29">
        <f t="shared" si="7"/>
        <v>20</v>
      </c>
      <c r="N62" s="92">
        <f t="shared" si="2"/>
        <v>0.49999999999999956</v>
      </c>
      <c r="O62" s="104">
        <f t="shared" si="3"/>
        <v>1.016</v>
      </c>
      <c r="P62" s="105">
        <f t="shared" si="8"/>
        <v>7.111999999999993</v>
      </c>
    </row>
    <row r="63" spans="2:16" x14ac:dyDescent="0.25">
      <c r="B63" s="88" t="str">
        <f t="shared" si="4"/>
        <v>Fazenda Altenor</v>
      </c>
      <c r="C63" s="106">
        <f t="shared" si="5"/>
        <v>2019</v>
      </c>
      <c r="D63" s="101">
        <v>43622</v>
      </c>
      <c r="E63" s="102">
        <v>0.35416666666666669</v>
      </c>
      <c r="F63" s="103">
        <v>0.375</v>
      </c>
      <c r="G63" s="103">
        <v>0.35416666666666669</v>
      </c>
      <c r="H63" s="103">
        <v>0.39583333333333331</v>
      </c>
      <c r="I63" s="90">
        <f t="shared" si="6"/>
        <v>0.49999999999999956</v>
      </c>
      <c r="J63" s="90">
        <f t="shared" si="1"/>
        <v>0.99999999999999911</v>
      </c>
      <c r="K63" s="91">
        <f t="shared" si="9"/>
        <v>0.66666666666666663</v>
      </c>
      <c r="L63" s="91">
        <f t="shared" si="10"/>
        <v>4.375</v>
      </c>
      <c r="M63" s="29">
        <f t="shared" si="7"/>
        <v>20</v>
      </c>
      <c r="N63" s="92">
        <f t="shared" si="2"/>
        <v>0.49999999999999956</v>
      </c>
      <c r="O63" s="104">
        <f t="shared" si="3"/>
        <v>1.016</v>
      </c>
      <c r="P63" s="105">
        <f t="shared" si="8"/>
        <v>7.111999999999993</v>
      </c>
    </row>
    <row r="64" spans="2:16" x14ac:dyDescent="0.25">
      <c r="B64" s="88" t="str">
        <f t="shared" si="4"/>
        <v>Fazenda Altenor</v>
      </c>
      <c r="C64" s="106">
        <f t="shared" si="5"/>
        <v>2019</v>
      </c>
      <c r="D64" s="101">
        <v>43623</v>
      </c>
      <c r="E64" s="102">
        <v>0.375</v>
      </c>
      <c r="F64" s="103">
        <v>0.39583333333333331</v>
      </c>
      <c r="G64" s="103">
        <v>0.375</v>
      </c>
      <c r="H64" s="103">
        <v>0.41666666666666669</v>
      </c>
      <c r="I64" s="90">
        <f t="shared" si="6"/>
        <v>0.49999999999999956</v>
      </c>
      <c r="J64" s="90">
        <f t="shared" si="1"/>
        <v>1.0000000000000004</v>
      </c>
      <c r="K64" s="91">
        <f t="shared" si="9"/>
        <v>0.66666666666666663</v>
      </c>
      <c r="L64" s="91">
        <f t="shared" si="10"/>
        <v>4.375</v>
      </c>
      <c r="M64" s="29">
        <f t="shared" si="7"/>
        <v>20</v>
      </c>
      <c r="N64" s="92">
        <f t="shared" si="2"/>
        <v>0.49999999999999956</v>
      </c>
      <c r="O64" s="104">
        <f t="shared" si="3"/>
        <v>1.016</v>
      </c>
      <c r="P64" s="105">
        <f t="shared" si="8"/>
        <v>7.111999999999993</v>
      </c>
    </row>
    <row r="65" spans="2:16" x14ac:dyDescent="0.25">
      <c r="B65" s="88" t="str">
        <f t="shared" si="4"/>
        <v>Fazenda Altenor</v>
      </c>
      <c r="C65" s="106">
        <f t="shared" si="5"/>
        <v>2019</v>
      </c>
      <c r="D65" s="101">
        <v>43624</v>
      </c>
      <c r="E65" s="102">
        <v>0.41666666666666669</v>
      </c>
      <c r="F65" s="103">
        <v>0.4375</v>
      </c>
      <c r="G65" s="103">
        <v>0.41666666666666669</v>
      </c>
      <c r="H65" s="103">
        <v>0.45833333333333331</v>
      </c>
      <c r="I65" s="90">
        <f t="shared" si="6"/>
        <v>0.49999999999999956</v>
      </c>
      <c r="J65" s="90">
        <f t="shared" si="1"/>
        <v>0.99999999999999911</v>
      </c>
      <c r="K65" s="91">
        <f t="shared" si="9"/>
        <v>0.66666666666666663</v>
      </c>
      <c r="L65" s="91">
        <f t="shared" si="10"/>
        <v>4.375</v>
      </c>
      <c r="M65" s="29">
        <f t="shared" si="7"/>
        <v>20</v>
      </c>
      <c r="N65" s="92">
        <f t="shared" si="2"/>
        <v>0.49999999999999956</v>
      </c>
      <c r="O65" s="104">
        <f t="shared" si="3"/>
        <v>1.016</v>
      </c>
      <c r="P65" s="105">
        <f t="shared" si="8"/>
        <v>7.111999999999993</v>
      </c>
    </row>
    <row r="66" spans="2:16" x14ac:dyDescent="0.25">
      <c r="B66" s="88" t="str">
        <f t="shared" si="4"/>
        <v>Fazenda Altenor</v>
      </c>
      <c r="C66" s="106">
        <f t="shared" si="5"/>
        <v>2019</v>
      </c>
      <c r="D66" s="101">
        <v>43625</v>
      </c>
      <c r="E66" s="102"/>
      <c r="F66" s="103"/>
      <c r="G66" s="103"/>
      <c r="H66" s="103"/>
      <c r="I66" s="90">
        <f t="shared" si="6"/>
        <v>0</v>
      </c>
      <c r="J66" s="90">
        <f t="shared" si="1"/>
        <v>0</v>
      </c>
      <c r="K66" s="91">
        <f t="shared" si="9"/>
        <v>0.66666666666666663</v>
      </c>
      <c r="L66" s="91">
        <f t="shared" si="10"/>
        <v>4.375</v>
      </c>
      <c r="M66" s="29">
        <f t="shared" si="7"/>
        <v>20</v>
      </c>
      <c r="N66" s="92">
        <f t="shared" si="2"/>
        <v>0</v>
      </c>
      <c r="O66" s="104">
        <f t="shared" si="3"/>
        <v>1.016</v>
      </c>
      <c r="P66" s="105">
        <f t="shared" si="8"/>
        <v>0</v>
      </c>
    </row>
    <row r="67" spans="2:16" x14ac:dyDescent="0.25">
      <c r="B67" s="88" t="str">
        <f t="shared" si="4"/>
        <v>Fazenda Altenor</v>
      </c>
      <c r="C67" s="106">
        <f t="shared" si="5"/>
        <v>2019</v>
      </c>
      <c r="D67" s="101">
        <v>43626</v>
      </c>
      <c r="E67" s="102">
        <v>0.30208333333333331</v>
      </c>
      <c r="F67" s="103">
        <v>0.3263888888888889</v>
      </c>
      <c r="G67" s="103">
        <v>0.30208333333333331</v>
      </c>
      <c r="H67" s="103">
        <v>0.34375</v>
      </c>
      <c r="I67" s="90">
        <f t="shared" si="6"/>
        <v>0.58333333333333393</v>
      </c>
      <c r="J67" s="90">
        <f t="shared" si="1"/>
        <v>1.0000000000000004</v>
      </c>
      <c r="K67" s="91">
        <f t="shared" si="9"/>
        <v>0.66666666666666663</v>
      </c>
      <c r="L67" s="91">
        <f t="shared" si="10"/>
        <v>4.375</v>
      </c>
      <c r="M67" s="29">
        <f t="shared" si="7"/>
        <v>20</v>
      </c>
      <c r="N67" s="92">
        <f t="shared" si="2"/>
        <v>0.58333333333333393</v>
      </c>
      <c r="O67" s="104">
        <f t="shared" si="3"/>
        <v>1.016</v>
      </c>
      <c r="P67" s="105">
        <f t="shared" si="8"/>
        <v>8.2973333333333414</v>
      </c>
    </row>
    <row r="68" spans="2:16" x14ac:dyDescent="0.25">
      <c r="B68" s="88" t="str">
        <f t="shared" si="4"/>
        <v>Fazenda Altenor</v>
      </c>
      <c r="C68" s="106">
        <f t="shared" si="5"/>
        <v>2019</v>
      </c>
      <c r="D68" s="101">
        <v>43627</v>
      </c>
      <c r="E68" s="102">
        <v>0.29166666666666669</v>
      </c>
      <c r="F68" s="103">
        <v>0.3125</v>
      </c>
      <c r="G68" s="103">
        <v>0.29166666666666669</v>
      </c>
      <c r="H68" s="103">
        <v>0.33333333333333331</v>
      </c>
      <c r="I68" s="90">
        <f t="shared" si="6"/>
        <v>0.49999999999999956</v>
      </c>
      <c r="J68" s="90">
        <f t="shared" si="1"/>
        <v>0.99999999999999911</v>
      </c>
      <c r="K68" s="91">
        <f t="shared" si="9"/>
        <v>0.66666666666666663</v>
      </c>
      <c r="L68" s="91">
        <f t="shared" si="10"/>
        <v>4.375</v>
      </c>
      <c r="M68" s="29">
        <f t="shared" si="7"/>
        <v>20</v>
      </c>
      <c r="N68" s="92">
        <f t="shared" si="2"/>
        <v>0.49999999999999956</v>
      </c>
      <c r="O68" s="104">
        <f t="shared" si="3"/>
        <v>1.016</v>
      </c>
      <c r="P68" s="105">
        <f t="shared" si="8"/>
        <v>7.111999999999993</v>
      </c>
    </row>
    <row r="69" spans="2:16" x14ac:dyDescent="0.25">
      <c r="B69" s="88" t="str">
        <f t="shared" si="4"/>
        <v>Fazenda Altenor</v>
      </c>
      <c r="C69" s="106">
        <f t="shared" si="5"/>
        <v>2019</v>
      </c>
      <c r="D69" s="101">
        <v>43628</v>
      </c>
      <c r="E69" s="102">
        <v>0.33333333333333331</v>
      </c>
      <c r="F69" s="103">
        <v>0.35416666666666669</v>
      </c>
      <c r="G69" s="103">
        <v>0.33333333333333331</v>
      </c>
      <c r="H69" s="103">
        <v>0.375</v>
      </c>
      <c r="I69" s="90">
        <f t="shared" si="6"/>
        <v>0.50000000000000089</v>
      </c>
      <c r="J69" s="90">
        <f t="shared" si="1"/>
        <v>1.0000000000000004</v>
      </c>
      <c r="K69" s="91">
        <f t="shared" si="9"/>
        <v>0.66666666666666663</v>
      </c>
      <c r="L69" s="91">
        <f t="shared" si="10"/>
        <v>4.375</v>
      </c>
      <c r="M69" s="29">
        <f t="shared" si="7"/>
        <v>20</v>
      </c>
      <c r="N69" s="92">
        <f t="shared" si="2"/>
        <v>0.50000000000000089</v>
      </c>
      <c r="O69" s="104">
        <f t="shared" si="3"/>
        <v>1.016</v>
      </c>
      <c r="P69" s="105">
        <f t="shared" si="8"/>
        <v>7.1120000000000116</v>
      </c>
    </row>
    <row r="70" spans="2:16" x14ac:dyDescent="0.25">
      <c r="B70" s="88" t="str">
        <f t="shared" si="4"/>
        <v>Fazenda Altenor</v>
      </c>
      <c r="C70" s="106">
        <f t="shared" si="5"/>
        <v>2019</v>
      </c>
      <c r="D70" s="101">
        <v>43629</v>
      </c>
      <c r="E70" s="102">
        <v>0.35416666666666669</v>
      </c>
      <c r="F70" s="103">
        <v>0.375</v>
      </c>
      <c r="G70" s="103">
        <v>0.35416666666666669</v>
      </c>
      <c r="H70" s="103">
        <v>0.41666666666666669</v>
      </c>
      <c r="I70" s="90">
        <f t="shared" si="6"/>
        <v>0.49999999999999956</v>
      </c>
      <c r="J70" s="90">
        <f t="shared" si="1"/>
        <v>1.5</v>
      </c>
      <c r="K70" s="91">
        <f t="shared" si="9"/>
        <v>0.66666666666666663</v>
      </c>
      <c r="L70" s="91">
        <f t="shared" si="10"/>
        <v>4.375</v>
      </c>
      <c r="M70" s="29">
        <f t="shared" si="7"/>
        <v>20</v>
      </c>
      <c r="N70" s="92">
        <f t="shared" si="2"/>
        <v>0.49999999999999956</v>
      </c>
      <c r="O70" s="104">
        <f t="shared" si="3"/>
        <v>1.016</v>
      </c>
      <c r="P70" s="105">
        <f t="shared" si="8"/>
        <v>7.111999999999993</v>
      </c>
    </row>
    <row r="71" spans="2:16" x14ac:dyDescent="0.25">
      <c r="B71" s="88" t="str">
        <f t="shared" si="4"/>
        <v>Fazenda Altenor</v>
      </c>
      <c r="C71" s="106">
        <f t="shared" si="5"/>
        <v>2019</v>
      </c>
      <c r="D71" s="101">
        <v>43630</v>
      </c>
      <c r="E71" s="102">
        <v>0.41666666666666669</v>
      </c>
      <c r="F71" s="103">
        <v>0.4375</v>
      </c>
      <c r="G71" s="103">
        <v>0.41666666666666669</v>
      </c>
      <c r="H71" s="103">
        <v>0.45833333333333331</v>
      </c>
      <c r="I71" s="90">
        <f t="shared" si="6"/>
        <v>0.49999999999999956</v>
      </c>
      <c r="J71" s="90">
        <f t="shared" si="1"/>
        <v>0.99999999999999911</v>
      </c>
      <c r="K71" s="91">
        <f t="shared" si="9"/>
        <v>0.66666666666666663</v>
      </c>
      <c r="L71" s="91">
        <f t="shared" si="10"/>
        <v>4.375</v>
      </c>
      <c r="M71" s="29">
        <f t="shared" si="7"/>
        <v>20</v>
      </c>
      <c r="N71" s="92">
        <f t="shared" si="2"/>
        <v>0.49999999999999956</v>
      </c>
      <c r="O71" s="104">
        <f t="shared" si="3"/>
        <v>1.016</v>
      </c>
      <c r="P71" s="105">
        <f t="shared" si="8"/>
        <v>7.111999999999993</v>
      </c>
    </row>
    <row r="72" spans="2:16" x14ac:dyDescent="0.25">
      <c r="B72" s="88" t="str">
        <f t="shared" si="4"/>
        <v>Fazenda Altenor</v>
      </c>
      <c r="C72" s="106">
        <f t="shared" si="5"/>
        <v>2019</v>
      </c>
      <c r="D72" s="101">
        <v>43631</v>
      </c>
      <c r="E72" s="102">
        <v>0.29166666666666669</v>
      </c>
      <c r="F72" s="103">
        <v>0.3125</v>
      </c>
      <c r="G72" s="103">
        <v>0.29166666666666669</v>
      </c>
      <c r="H72" s="103">
        <v>0.33333333333333331</v>
      </c>
      <c r="I72" s="90">
        <f t="shared" si="6"/>
        <v>0.49999999999999956</v>
      </c>
      <c r="J72" s="90">
        <f t="shared" si="1"/>
        <v>0.99999999999999911</v>
      </c>
      <c r="K72" s="91">
        <f t="shared" si="9"/>
        <v>0.66666666666666663</v>
      </c>
      <c r="L72" s="91">
        <f t="shared" si="10"/>
        <v>4.375</v>
      </c>
      <c r="M72" s="29">
        <f t="shared" si="7"/>
        <v>20</v>
      </c>
      <c r="N72" s="92">
        <f t="shared" si="2"/>
        <v>0.49999999999999956</v>
      </c>
      <c r="O72" s="104">
        <f t="shared" si="3"/>
        <v>1.016</v>
      </c>
      <c r="P72" s="105">
        <f t="shared" si="8"/>
        <v>7.111999999999993</v>
      </c>
    </row>
    <row r="73" spans="2:16" x14ac:dyDescent="0.25">
      <c r="B73" s="88" t="str">
        <f t="shared" si="4"/>
        <v>Fazenda Altenor</v>
      </c>
      <c r="C73" s="106">
        <f t="shared" si="5"/>
        <v>2019</v>
      </c>
      <c r="D73" s="101">
        <v>43632</v>
      </c>
      <c r="E73" s="102">
        <v>0.33333333333333331</v>
      </c>
      <c r="F73" s="103">
        <v>0.35416666666666669</v>
      </c>
      <c r="G73" s="103">
        <v>0.33333333333333331</v>
      </c>
      <c r="H73" s="103">
        <v>0.375</v>
      </c>
      <c r="I73" s="90">
        <f t="shared" si="6"/>
        <v>0.50000000000000089</v>
      </c>
      <c r="J73" s="90">
        <f t="shared" si="1"/>
        <v>1.0000000000000004</v>
      </c>
      <c r="K73" s="91">
        <f t="shared" si="9"/>
        <v>0.66666666666666663</v>
      </c>
      <c r="L73" s="91">
        <f t="shared" si="10"/>
        <v>4.375</v>
      </c>
      <c r="M73" s="29">
        <f t="shared" si="7"/>
        <v>20</v>
      </c>
      <c r="N73" s="92">
        <f t="shared" si="2"/>
        <v>0.50000000000000089</v>
      </c>
      <c r="O73" s="104">
        <f t="shared" si="3"/>
        <v>1.016</v>
      </c>
      <c r="P73" s="105">
        <f t="shared" si="8"/>
        <v>7.1120000000000116</v>
      </c>
    </row>
    <row r="74" spans="2:16" x14ac:dyDescent="0.25">
      <c r="B74" s="88" t="str">
        <f t="shared" si="4"/>
        <v>Fazenda Altenor</v>
      </c>
      <c r="C74" s="106">
        <f t="shared" si="5"/>
        <v>2019</v>
      </c>
      <c r="D74" s="101">
        <v>43633</v>
      </c>
      <c r="E74" s="102">
        <v>0.3125</v>
      </c>
      <c r="F74" s="103">
        <v>0.33333333333333331</v>
      </c>
      <c r="G74" s="103">
        <v>0.3125</v>
      </c>
      <c r="H74" s="103">
        <v>0.35416666666666669</v>
      </c>
      <c r="I74" s="90">
        <f t="shared" si="6"/>
        <v>0.49999999999999956</v>
      </c>
      <c r="J74" s="90">
        <f t="shared" si="1"/>
        <v>1.0000000000000004</v>
      </c>
      <c r="K74" s="91">
        <f t="shared" si="9"/>
        <v>0.66666666666666663</v>
      </c>
      <c r="L74" s="91">
        <f t="shared" si="10"/>
        <v>4.375</v>
      </c>
      <c r="M74" s="29">
        <f t="shared" si="7"/>
        <v>20</v>
      </c>
      <c r="N74" s="92">
        <f t="shared" si="2"/>
        <v>0.49999999999999956</v>
      </c>
      <c r="O74" s="104">
        <f t="shared" si="3"/>
        <v>1.016</v>
      </c>
      <c r="P74" s="105">
        <f t="shared" si="8"/>
        <v>7.111999999999993</v>
      </c>
    </row>
    <row r="75" spans="2:16" x14ac:dyDescent="0.25">
      <c r="B75" s="88" t="str">
        <f t="shared" si="4"/>
        <v>Fazenda Altenor</v>
      </c>
      <c r="C75" s="106">
        <f t="shared" si="5"/>
        <v>2019</v>
      </c>
      <c r="D75" s="101">
        <v>43634</v>
      </c>
      <c r="E75" s="102">
        <v>0.29166666666666669</v>
      </c>
      <c r="F75" s="103">
        <v>0.33333333333333331</v>
      </c>
      <c r="G75" s="103">
        <v>0.29166666666666669</v>
      </c>
      <c r="H75" s="103">
        <v>0.35416666666666669</v>
      </c>
      <c r="I75" s="90">
        <f t="shared" si="6"/>
        <v>0.99999999999999911</v>
      </c>
      <c r="J75" s="90">
        <f t="shared" si="1"/>
        <v>1.5</v>
      </c>
      <c r="K75" s="91">
        <f t="shared" si="9"/>
        <v>0.66666666666666663</v>
      </c>
      <c r="L75" s="91">
        <f t="shared" si="10"/>
        <v>4.375</v>
      </c>
      <c r="M75" s="29">
        <f t="shared" si="7"/>
        <v>20</v>
      </c>
      <c r="N75" s="92">
        <f t="shared" si="2"/>
        <v>0.99999999999999911</v>
      </c>
      <c r="O75" s="104">
        <f t="shared" si="3"/>
        <v>1.016</v>
      </c>
      <c r="P75" s="105">
        <f t="shared" si="8"/>
        <v>14.223999999999986</v>
      </c>
    </row>
    <row r="76" spans="2:16" x14ac:dyDescent="0.25">
      <c r="B76" s="88" t="str">
        <f t="shared" si="4"/>
        <v>Fazenda Altenor</v>
      </c>
      <c r="C76" s="106">
        <f t="shared" si="5"/>
        <v>2019</v>
      </c>
      <c r="D76" s="101">
        <v>43635</v>
      </c>
      <c r="E76" s="102">
        <v>0.33333333333333331</v>
      </c>
      <c r="F76" s="103">
        <v>0.35416666666666669</v>
      </c>
      <c r="G76" s="103">
        <v>0.33333333333333331</v>
      </c>
      <c r="H76" s="103">
        <v>0.375</v>
      </c>
      <c r="I76" s="90">
        <f t="shared" si="6"/>
        <v>0.50000000000000089</v>
      </c>
      <c r="J76" s="90">
        <f t="shared" si="1"/>
        <v>1.0000000000000004</v>
      </c>
      <c r="K76" s="91">
        <f t="shared" si="9"/>
        <v>0.66666666666666663</v>
      </c>
      <c r="L76" s="91">
        <f t="shared" si="10"/>
        <v>4.375</v>
      </c>
      <c r="M76" s="29">
        <f t="shared" si="7"/>
        <v>20</v>
      </c>
      <c r="N76" s="92">
        <f t="shared" si="2"/>
        <v>0.50000000000000089</v>
      </c>
      <c r="O76" s="104">
        <f t="shared" si="3"/>
        <v>1.016</v>
      </c>
      <c r="P76" s="105">
        <f t="shared" si="8"/>
        <v>7.1120000000000116</v>
      </c>
    </row>
    <row r="77" spans="2:16" x14ac:dyDescent="0.25">
      <c r="B77" s="88" t="str">
        <f t="shared" si="4"/>
        <v>Fazenda Altenor</v>
      </c>
      <c r="C77" s="106">
        <f t="shared" si="5"/>
        <v>2019</v>
      </c>
      <c r="D77" s="101">
        <v>43636</v>
      </c>
      <c r="E77" s="102">
        <v>0.375</v>
      </c>
      <c r="F77" s="103">
        <v>0.40625</v>
      </c>
      <c r="G77" s="103">
        <v>0.375</v>
      </c>
      <c r="H77" s="103">
        <v>0.41666666666666669</v>
      </c>
      <c r="I77" s="90">
        <f t="shared" si="6"/>
        <v>0.75</v>
      </c>
      <c r="J77" s="90">
        <f t="shared" si="1"/>
        <v>1.0000000000000004</v>
      </c>
      <c r="K77" s="91">
        <f t="shared" si="9"/>
        <v>0.66666666666666663</v>
      </c>
      <c r="L77" s="91">
        <f t="shared" si="10"/>
        <v>4.375</v>
      </c>
      <c r="M77" s="29">
        <f t="shared" si="7"/>
        <v>20</v>
      </c>
      <c r="N77" s="92">
        <f t="shared" si="2"/>
        <v>0.75</v>
      </c>
      <c r="O77" s="104">
        <f t="shared" si="3"/>
        <v>1.016</v>
      </c>
      <c r="P77" s="105">
        <f t="shared" si="8"/>
        <v>10.667999999999999</v>
      </c>
    </row>
    <row r="78" spans="2:16" x14ac:dyDescent="0.25">
      <c r="B78" s="88" t="str">
        <f t="shared" si="4"/>
        <v>Fazenda Altenor</v>
      </c>
      <c r="C78" s="106">
        <f t="shared" si="5"/>
        <v>2019</v>
      </c>
      <c r="D78" s="101">
        <v>43637</v>
      </c>
      <c r="E78" s="102">
        <v>0.39583333333333331</v>
      </c>
      <c r="F78" s="103">
        <v>0.41666666666666669</v>
      </c>
      <c r="G78" s="103">
        <v>0.39583333333333331</v>
      </c>
      <c r="H78" s="103">
        <v>0.4375</v>
      </c>
      <c r="I78" s="90">
        <f t="shared" si="6"/>
        <v>0.50000000000000089</v>
      </c>
      <c r="J78" s="90">
        <f t="shared" si="1"/>
        <v>1.0000000000000004</v>
      </c>
      <c r="K78" s="91">
        <f t="shared" si="9"/>
        <v>0.66666666666666663</v>
      </c>
      <c r="L78" s="91">
        <f t="shared" si="10"/>
        <v>4.375</v>
      </c>
      <c r="M78" s="29">
        <f t="shared" si="7"/>
        <v>20</v>
      </c>
      <c r="N78" s="92">
        <f t="shared" si="2"/>
        <v>0.50000000000000089</v>
      </c>
      <c r="O78" s="104">
        <f t="shared" si="3"/>
        <v>1.016</v>
      </c>
      <c r="P78" s="105">
        <f t="shared" si="8"/>
        <v>7.1120000000000116</v>
      </c>
    </row>
    <row r="79" spans="2:16" x14ac:dyDescent="0.25">
      <c r="B79" s="88" t="str">
        <f t="shared" si="4"/>
        <v>Fazenda Altenor</v>
      </c>
      <c r="C79" s="106">
        <f t="shared" si="5"/>
        <v>2019</v>
      </c>
      <c r="D79" s="101">
        <v>43638</v>
      </c>
      <c r="E79" s="102">
        <v>0.41666666666666669</v>
      </c>
      <c r="F79" s="103">
        <v>0.4375</v>
      </c>
      <c r="G79" s="103">
        <v>0.41666666666666669</v>
      </c>
      <c r="H79" s="103">
        <v>0.45833333333333331</v>
      </c>
      <c r="I79" s="90">
        <f t="shared" si="6"/>
        <v>0.49999999999999956</v>
      </c>
      <c r="J79" s="90">
        <f t="shared" si="1"/>
        <v>0.99999999999999911</v>
      </c>
      <c r="K79" s="91">
        <f t="shared" si="9"/>
        <v>0.66666666666666663</v>
      </c>
      <c r="L79" s="91">
        <f t="shared" si="10"/>
        <v>4.375</v>
      </c>
      <c r="M79" s="29">
        <f t="shared" si="7"/>
        <v>20</v>
      </c>
      <c r="N79" s="92">
        <f t="shared" si="2"/>
        <v>0.49999999999999956</v>
      </c>
      <c r="O79" s="104">
        <f t="shared" si="3"/>
        <v>1.016</v>
      </c>
      <c r="P79" s="105">
        <f t="shared" si="8"/>
        <v>7.111999999999993</v>
      </c>
    </row>
    <row r="80" spans="2:16" x14ac:dyDescent="0.25">
      <c r="B80" s="88" t="str">
        <f t="shared" si="4"/>
        <v>Fazenda Altenor</v>
      </c>
      <c r="C80" s="106">
        <f t="shared" si="5"/>
        <v>2019</v>
      </c>
      <c r="D80" s="101">
        <v>43639</v>
      </c>
      <c r="E80" s="102">
        <v>0.4375</v>
      </c>
      <c r="F80" s="103">
        <v>0.45833333333333331</v>
      </c>
      <c r="G80" s="103">
        <v>0.4375</v>
      </c>
      <c r="H80" s="103">
        <v>0.47916666666666669</v>
      </c>
      <c r="I80" s="90">
        <f t="shared" si="6"/>
        <v>0.49999999999999956</v>
      </c>
      <c r="J80" s="90">
        <f t="shared" si="1"/>
        <v>1.0000000000000004</v>
      </c>
      <c r="K80" s="91">
        <f t="shared" si="9"/>
        <v>0.66666666666666663</v>
      </c>
      <c r="L80" s="91">
        <f t="shared" si="10"/>
        <v>4.375</v>
      </c>
      <c r="M80" s="29">
        <f t="shared" si="7"/>
        <v>20</v>
      </c>
      <c r="N80" s="92">
        <f t="shared" si="2"/>
        <v>0.49999999999999956</v>
      </c>
      <c r="O80" s="104">
        <f t="shared" si="3"/>
        <v>1.016</v>
      </c>
      <c r="P80" s="105">
        <f t="shared" si="8"/>
        <v>7.111999999999993</v>
      </c>
    </row>
    <row r="81" spans="2:16" x14ac:dyDescent="0.25">
      <c r="B81" s="88" t="str">
        <f t="shared" si="4"/>
        <v>Fazenda Altenor</v>
      </c>
      <c r="C81" s="106">
        <f t="shared" si="5"/>
        <v>2019</v>
      </c>
      <c r="D81" s="101">
        <v>43640</v>
      </c>
      <c r="E81" s="102">
        <v>0.29166666666666669</v>
      </c>
      <c r="F81" s="103">
        <v>0.3125</v>
      </c>
      <c r="G81" s="103">
        <v>0.29166666666666669</v>
      </c>
      <c r="H81" s="103">
        <v>0.33333333333333331</v>
      </c>
      <c r="I81" s="90">
        <f t="shared" si="6"/>
        <v>0.49999999999999956</v>
      </c>
      <c r="J81" s="90">
        <f t="shared" si="1"/>
        <v>0.99999999999999911</v>
      </c>
      <c r="K81" s="91">
        <f t="shared" si="9"/>
        <v>0.66666666666666663</v>
      </c>
      <c r="L81" s="91">
        <f t="shared" si="10"/>
        <v>4.375</v>
      </c>
      <c r="M81" s="29">
        <f t="shared" si="7"/>
        <v>20</v>
      </c>
      <c r="N81" s="92">
        <f t="shared" si="2"/>
        <v>0.49999999999999956</v>
      </c>
      <c r="O81" s="104">
        <f t="shared" si="3"/>
        <v>1.016</v>
      </c>
      <c r="P81" s="105">
        <f t="shared" si="8"/>
        <v>7.111999999999993</v>
      </c>
    </row>
    <row r="82" spans="2:16" x14ac:dyDescent="0.25">
      <c r="B82" s="88" t="str">
        <f t="shared" si="4"/>
        <v>Fazenda Altenor</v>
      </c>
      <c r="C82" s="106">
        <f t="shared" si="5"/>
        <v>2019</v>
      </c>
      <c r="D82" s="101">
        <v>43641</v>
      </c>
      <c r="E82" s="102"/>
      <c r="F82" s="103"/>
      <c r="G82" s="103"/>
      <c r="H82" s="103"/>
      <c r="I82" s="90">
        <f t="shared" si="6"/>
        <v>0</v>
      </c>
      <c r="J82" s="90">
        <f t="shared" si="1"/>
        <v>0</v>
      </c>
      <c r="K82" s="91">
        <f t="shared" si="9"/>
        <v>0.66666666666666663</v>
      </c>
      <c r="L82" s="91">
        <f t="shared" si="10"/>
        <v>4.375</v>
      </c>
      <c r="M82" s="29">
        <f t="shared" si="7"/>
        <v>20</v>
      </c>
      <c r="N82" s="92">
        <f t="shared" si="2"/>
        <v>0</v>
      </c>
      <c r="O82" s="104">
        <f t="shared" si="3"/>
        <v>1.016</v>
      </c>
      <c r="P82" s="105">
        <f t="shared" si="8"/>
        <v>0</v>
      </c>
    </row>
    <row r="83" spans="2:16" x14ac:dyDescent="0.25">
      <c r="B83" s="88" t="str">
        <f t="shared" si="4"/>
        <v>Fazenda Altenor</v>
      </c>
      <c r="C83" s="106">
        <f t="shared" si="5"/>
        <v>2019</v>
      </c>
      <c r="D83" s="101">
        <v>43642</v>
      </c>
      <c r="E83" s="102">
        <v>0.3125</v>
      </c>
      <c r="F83" s="103">
        <v>0.33333333333333331</v>
      </c>
      <c r="G83" s="103">
        <v>0.3125</v>
      </c>
      <c r="H83" s="103">
        <v>0.35416666666666669</v>
      </c>
      <c r="I83" s="90">
        <f t="shared" si="6"/>
        <v>0.49999999999999956</v>
      </c>
      <c r="J83" s="90">
        <f t="shared" si="1"/>
        <v>1.0000000000000004</v>
      </c>
      <c r="K83" s="91">
        <f t="shared" si="9"/>
        <v>0.66666666666666663</v>
      </c>
      <c r="L83" s="91">
        <f t="shared" si="10"/>
        <v>4.375</v>
      </c>
      <c r="M83" s="29">
        <f t="shared" si="7"/>
        <v>20</v>
      </c>
      <c r="N83" s="92">
        <f t="shared" si="2"/>
        <v>0.49999999999999956</v>
      </c>
      <c r="O83" s="104">
        <f t="shared" si="3"/>
        <v>1.016</v>
      </c>
      <c r="P83" s="105">
        <f t="shared" si="8"/>
        <v>7.111999999999993</v>
      </c>
    </row>
    <row r="84" spans="2:16" x14ac:dyDescent="0.25">
      <c r="B84" s="88" t="str">
        <f t="shared" si="4"/>
        <v>Fazenda Altenor</v>
      </c>
      <c r="C84" s="106">
        <f t="shared" si="5"/>
        <v>2019</v>
      </c>
      <c r="D84" s="101">
        <v>43643</v>
      </c>
      <c r="E84" s="102">
        <v>0.33333333333333331</v>
      </c>
      <c r="F84" s="103">
        <v>0.35416666666666669</v>
      </c>
      <c r="G84" s="103">
        <v>0.33333333333333331</v>
      </c>
      <c r="H84" s="103">
        <v>0.375</v>
      </c>
      <c r="I84" s="90">
        <f t="shared" si="6"/>
        <v>0.50000000000000089</v>
      </c>
      <c r="J84" s="90">
        <f t="shared" si="1"/>
        <v>1.0000000000000004</v>
      </c>
      <c r="K84" s="91">
        <f t="shared" si="9"/>
        <v>0.66666666666666663</v>
      </c>
      <c r="L84" s="91">
        <f t="shared" si="10"/>
        <v>4.375</v>
      </c>
      <c r="M84" s="29">
        <f t="shared" si="7"/>
        <v>20</v>
      </c>
      <c r="N84" s="92">
        <f t="shared" si="2"/>
        <v>0.50000000000000089</v>
      </c>
      <c r="O84" s="104">
        <f t="shared" si="3"/>
        <v>1.016</v>
      </c>
      <c r="P84" s="105">
        <f t="shared" si="8"/>
        <v>7.1120000000000116</v>
      </c>
    </row>
    <row r="85" spans="2:16" x14ac:dyDescent="0.25">
      <c r="B85" s="88" t="str">
        <f t="shared" si="4"/>
        <v>Fazenda Altenor</v>
      </c>
      <c r="C85" s="106">
        <f t="shared" si="5"/>
        <v>2019</v>
      </c>
      <c r="D85" s="101">
        <v>43644</v>
      </c>
      <c r="E85" s="102">
        <v>0.29166666666666669</v>
      </c>
      <c r="F85" s="103">
        <v>0.3125</v>
      </c>
      <c r="G85" s="103">
        <v>0.29166666666666669</v>
      </c>
      <c r="H85" s="103">
        <v>0.33333333333333331</v>
      </c>
      <c r="I85" s="90">
        <f t="shared" si="6"/>
        <v>0.49999999999999956</v>
      </c>
      <c r="J85" s="90">
        <f t="shared" si="1"/>
        <v>0.99999999999999911</v>
      </c>
      <c r="K85" s="91">
        <f t="shared" si="9"/>
        <v>0.66666666666666663</v>
      </c>
      <c r="L85" s="91">
        <f t="shared" si="10"/>
        <v>4.375</v>
      </c>
      <c r="M85" s="29">
        <f t="shared" si="7"/>
        <v>20</v>
      </c>
      <c r="N85" s="92">
        <f t="shared" si="2"/>
        <v>0.49999999999999956</v>
      </c>
      <c r="O85" s="104">
        <f t="shared" si="3"/>
        <v>1.016</v>
      </c>
      <c r="P85" s="105">
        <f t="shared" si="8"/>
        <v>7.111999999999993</v>
      </c>
    </row>
    <row r="86" spans="2:16" x14ac:dyDescent="0.25">
      <c r="B86" s="88" t="str">
        <f t="shared" si="4"/>
        <v>Fazenda Altenor</v>
      </c>
      <c r="C86" s="106">
        <f t="shared" si="5"/>
        <v>2019</v>
      </c>
      <c r="D86" s="101">
        <v>43645</v>
      </c>
      <c r="E86" s="102">
        <v>0.35416666666666669</v>
      </c>
      <c r="F86" s="103">
        <v>0.375</v>
      </c>
      <c r="G86" s="103">
        <v>0.35416666666666669</v>
      </c>
      <c r="H86" s="103">
        <v>0.39583333333333331</v>
      </c>
      <c r="I86" s="90">
        <f t="shared" si="6"/>
        <v>0.49999999999999956</v>
      </c>
      <c r="J86" s="90">
        <f t="shared" si="1"/>
        <v>0.99999999999999911</v>
      </c>
      <c r="K86" s="91">
        <f t="shared" si="9"/>
        <v>0.66666666666666663</v>
      </c>
      <c r="L86" s="91">
        <f t="shared" si="10"/>
        <v>4.375</v>
      </c>
      <c r="M86" s="29">
        <f t="shared" si="7"/>
        <v>20</v>
      </c>
      <c r="N86" s="92">
        <f t="shared" si="2"/>
        <v>0.49999999999999956</v>
      </c>
      <c r="O86" s="104">
        <f t="shared" si="3"/>
        <v>1.016</v>
      </c>
      <c r="P86" s="105">
        <f t="shared" si="8"/>
        <v>7.111999999999993</v>
      </c>
    </row>
    <row r="87" spans="2:16" x14ac:dyDescent="0.25">
      <c r="B87" s="88" t="str">
        <f t="shared" si="4"/>
        <v>Fazenda Altenor</v>
      </c>
      <c r="C87" s="106">
        <f t="shared" si="5"/>
        <v>2019</v>
      </c>
      <c r="D87" s="101">
        <v>43646</v>
      </c>
      <c r="E87" s="102">
        <v>0.3125</v>
      </c>
      <c r="F87" s="103">
        <v>0.33333333333333331</v>
      </c>
      <c r="G87" s="103">
        <v>0.3125</v>
      </c>
      <c r="H87" s="103">
        <v>0.375</v>
      </c>
      <c r="I87" s="90">
        <f t="shared" si="6"/>
        <v>0.49999999999999956</v>
      </c>
      <c r="J87" s="90">
        <f t="shared" si="1"/>
        <v>1.5</v>
      </c>
      <c r="K87" s="91">
        <f t="shared" si="9"/>
        <v>0.66666666666666663</v>
      </c>
      <c r="L87" s="91">
        <f t="shared" si="10"/>
        <v>4.375</v>
      </c>
      <c r="M87" s="29">
        <f t="shared" si="7"/>
        <v>20</v>
      </c>
      <c r="N87" s="92">
        <f t="shared" si="2"/>
        <v>0.49999999999999956</v>
      </c>
      <c r="O87" s="104">
        <f t="shared" si="3"/>
        <v>1.016</v>
      </c>
      <c r="P87" s="105">
        <f t="shared" si="8"/>
        <v>7.111999999999993</v>
      </c>
    </row>
    <row r="88" spans="2:16" x14ac:dyDescent="0.25">
      <c r="B88" s="88" t="str">
        <f t="shared" si="4"/>
        <v>Fazenda Altenor</v>
      </c>
      <c r="C88" s="106">
        <f t="shared" si="5"/>
        <v>2019</v>
      </c>
      <c r="D88" s="101">
        <v>43647</v>
      </c>
      <c r="E88" s="102">
        <v>0.375</v>
      </c>
      <c r="F88" s="103">
        <v>0.39583333333333331</v>
      </c>
      <c r="G88" s="103">
        <v>0.375</v>
      </c>
      <c r="H88" s="103">
        <v>0.41666666666666669</v>
      </c>
      <c r="I88" s="90">
        <f t="shared" si="6"/>
        <v>0.49999999999999956</v>
      </c>
      <c r="J88" s="90">
        <f t="shared" si="1"/>
        <v>1.0000000000000004</v>
      </c>
      <c r="K88" s="91">
        <f t="shared" si="9"/>
        <v>0.66666666666666663</v>
      </c>
      <c r="L88" s="91">
        <f t="shared" si="10"/>
        <v>4.375</v>
      </c>
      <c r="M88" s="29">
        <f t="shared" si="7"/>
        <v>20</v>
      </c>
      <c r="N88" s="92">
        <f t="shared" si="2"/>
        <v>0.49999999999999956</v>
      </c>
      <c r="O88" s="104">
        <f t="shared" si="3"/>
        <v>1.016</v>
      </c>
      <c r="P88" s="105">
        <f t="shared" si="8"/>
        <v>7.111999999999993</v>
      </c>
    </row>
    <row r="89" spans="2:16" x14ac:dyDescent="0.25">
      <c r="B89" s="88" t="str">
        <f t="shared" si="4"/>
        <v>Fazenda Altenor</v>
      </c>
      <c r="C89" s="106">
        <f t="shared" si="5"/>
        <v>2019</v>
      </c>
      <c r="D89" s="101">
        <v>43648</v>
      </c>
      <c r="E89" s="102">
        <v>0.39583333333333331</v>
      </c>
      <c r="F89" s="103">
        <v>0.41666666666666669</v>
      </c>
      <c r="G89" s="103">
        <v>0.39583333333333331</v>
      </c>
      <c r="H89" s="103">
        <v>0.44791666666666669</v>
      </c>
      <c r="I89" s="90">
        <f t="shared" si="6"/>
        <v>0.50000000000000089</v>
      </c>
      <c r="J89" s="90">
        <f t="shared" si="1"/>
        <v>1.2500000000000009</v>
      </c>
      <c r="K89" s="91">
        <f t="shared" si="9"/>
        <v>0.66666666666666663</v>
      </c>
      <c r="L89" s="91">
        <f t="shared" si="10"/>
        <v>4.375</v>
      </c>
      <c r="M89" s="29">
        <f t="shared" si="7"/>
        <v>20</v>
      </c>
      <c r="N89" s="92">
        <f t="shared" si="2"/>
        <v>0.50000000000000089</v>
      </c>
      <c r="O89" s="104">
        <f t="shared" si="3"/>
        <v>1.016</v>
      </c>
      <c r="P89" s="105">
        <f t="shared" si="8"/>
        <v>7.1120000000000116</v>
      </c>
    </row>
    <row r="90" spans="2:16" x14ac:dyDescent="0.25">
      <c r="B90" s="88" t="str">
        <f t="shared" si="4"/>
        <v>Fazenda Altenor</v>
      </c>
      <c r="C90" s="106">
        <f t="shared" si="5"/>
        <v>2019</v>
      </c>
      <c r="D90" s="101">
        <v>43649</v>
      </c>
      <c r="E90" s="102">
        <v>0.41666666666666669</v>
      </c>
      <c r="F90" s="103">
        <v>0.44791666666666669</v>
      </c>
      <c r="G90" s="103">
        <v>0.41666666666666669</v>
      </c>
      <c r="H90" s="103">
        <v>0.46875</v>
      </c>
      <c r="I90" s="90">
        <f t="shared" si="6"/>
        <v>0.75</v>
      </c>
      <c r="J90" s="90">
        <f t="shared" si="1"/>
        <v>1.2499999999999996</v>
      </c>
      <c r="K90" s="91">
        <f t="shared" si="9"/>
        <v>0.66666666666666663</v>
      </c>
      <c r="L90" s="91">
        <f t="shared" si="10"/>
        <v>4.375</v>
      </c>
      <c r="M90" s="29">
        <f t="shared" si="7"/>
        <v>20</v>
      </c>
      <c r="N90" s="92">
        <f t="shared" si="2"/>
        <v>0.75</v>
      </c>
      <c r="O90" s="104">
        <f t="shared" si="3"/>
        <v>1.016</v>
      </c>
      <c r="P90" s="105">
        <f t="shared" si="8"/>
        <v>10.667999999999999</v>
      </c>
    </row>
    <row r="91" spans="2:16" x14ac:dyDescent="0.25">
      <c r="B91" s="88" t="str">
        <f t="shared" si="4"/>
        <v>Fazenda Altenor</v>
      </c>
      <c r="C91" s="106">
        <f t="shared" si="5"/>
        <v>2019</v>
      </c>
      <c r="D91" s="101">
        <v>43650</v>
      </c>
      <c r="E91" s="102">
        <v>0.29166666666666669</v>
      </c>
      <c r="F91" s="103">
        <v>0.33333333333333331</v>
      </c>
      <c r="G91" s="103">
        <v>0.29166666666666669</v>
      </c>
      <c r="H91" s="103">
        <v>0.35416666666666669</v>
      </c>
      <c r="I91" s="90">
        <f t="shared" si="6"/>
        <v>0.99999999999999911</v>
      </c>
      <c r="J91" s="90">
        <f t="shared" ref="J91:J154" si="11">((H91-G91)-INT($D$20))*24</f>
        <v>1.5</v>
      </c>
      <c r="K91" s="91">
        <f t="shared" si="9"/>
        <v>0.66666666666666663</v>
      </c>
      <c r="L91" s="91">
        <f t="shared" si="10"/>
        <v>4.375</v>
      </c>
      <c r="M91" s="29">
        <f t="shared" si="7"/>
        <v>20</v>
      </c>
      <c r="N91" s="92">
        <f t="shared" ref="N91:N154" si="12">I91</f>
        <v>0.99999999999999911</v>
      </c>
      <c r="O91" s="104">
        <f t="shared" ref="O91:O154" si="13">$D$21/1000</f>
        <v>1.016</v>
      </c>
      <c r="P91" s="105">
        <f t="shared" ref="P91:P154" si="14">M91*N91*O91*0.7</f>
        <v>14.223999999999986</v>
      </c>
    </row>
    <row r="92" spans="2:16" x14ac:dyDescent="0.25">
      <c r="B92" s="88" t="str">
        <f t="shared" ref="B92:B155" si="15">$B$5</f>
        <v>Fazenda Altenor</v>
      </c>
      <c r="C92" s="106">
        <f>YEAR(D92)</f>
        <v>2019</v>
      </c>
      <c r="D92" s="101">
        <v>43651</v>
      </c>
      <c r="E92" s="102">
        <v>0.33333333333333331</v>
      </c>
      <c r="F92" s="103">
        <v>0.375</v>
      </c>
      <c r="G92" s="103">
        <v>0.33333333333333331</v>
      </c>
      <c r="H92" s="103">
        <v>0.39583333333333331</v>
      </c>
      <c r="I92" s="90">
        <f t="shared" ref="I92:I155" si="16">((F92-E92)-INT($D$20))*24</f>
        <v>1.0000000000000004</v>
      </c>
      <c r="J92" s="90">
        <f t="shared" si="11"/>
        <v>1.5</v>
      </c>
      <c r="K92" s="91">
        <f t="shared" si="9"/>
        <v>0.66666666666666663</v>
      </c>
      <c r="L92" s="91">
        <f t="shared" si="10"/>
        <v>4.375</v>
      </c>
      <c r="M92" s="29">
        <f t="shared" ref="M92:M155" si="17">VLOOKUP(B92,$I$5:$J$17,2,FALSE)</f>
        <v>20</v>
      </c>
      <c r="N92" s="92">
        <f t="shared" si="12"/>
        <v>1.0000000000000004</v>
      </c>
      <c r="O92" s="104">
        <f t="shared" si="13"/>
        <v>1.016</v>
      </c>
      <c r="P92" s="105">
        <f t="shared" si="14"/>
        <v>14.224000000000004</v>
      </c>
    </row>
    <row r="93" spans="2:16" x14ac:dyDescent="0.25">
      <c r="B93" s="88" t="str">
        <f t="shared" si="15"/>
        <v>Fazenda Altenor</v>
      </c>
      <c r="C93" s="106">
        <f t="shared" ref="C93:C156" si="18">YEAR(D93)</f>
        <v>2019</v>
      </c>
      <c r="D93" s="101">
        <v>43652</v>
      </c>
      <c r="E93" s="102">
        <v>0.3125</v>
      </c>
      <c r="F93" s="103">
        <v>0.33333333333333331</v>
      </c>
      <c r="G93" s="103">
        <v>0.33333333333333331</v>
      </c>
      <c r="H93" s="103">
        <v>0.39583333333333331</v>
      </c>
      <c r="I93" s="90">
        <f t="shared" si="16"/>
        <v>0.49999999999999956</v>
      </c>
      <c r="J93" s="90">
        <f t="shared" si="11"/>
        <v>1.5</v>
      </c>
      <c r="K93" s="91">
        <f t="shared" ref="K93:K156" si="19">VLOOKUP(B93,$B$5:$J$17,5,FALSE)</f>
        <v>0.66666666666666663</v>
      </c>
      <c r="L93" s="91">
        <f t="shared" ref="L93:L156" si="20">VLOOKUP(B93,$B$5:$J$17,6,FALSE)</f>
        <v>4.375</v>
      </c>
      <c r="M93" s="29">
        <f t="shared" si="17"/>
        <v>20</v>
      </c>
      <c r="N93" s="92">
        <f t="shared" si="12"/>
        <v>0.49999999999999956</v>
      </c>
      <c r="O93" s="104">
        <f t="shared" si="13"/>
        <v>1.016</v>
      </c>
      <c r="P93" s="105">
        <f t="shared" si="14"/>
        <v>7.111999999999993</v>
      </c>
    </row>
    <row r="94" spans="2:16" x14ac:dyDescent="0.25">
      <c r="B94" s="88" t="str">
        <f t="shared" si="15"/>
        <v>Fazenda Altenor</v>
      </c>
      <c r="C94" s="106">
        <f t="shared" si="18"/>
        <v>2019</v>
      </c>
      <c r="D94" s="101">
        <v>43653</v>
      </c>
      <c r="E94" s="102">
        <v>0.375</v>
      </c>
      <c r="F94" s="103">
        <v>0.39583333333333331</v>
      </c>
      <c r="G94" s="103">
        <v>0.375</v>
      </c>
      <c r="H94" s="103">
        <v>0.41666666666666669</v>
      </c>
      <c r="I94" s="90">
        <f t="shared" si="16"/>
        <v>0.49999999999999956</v>
      </c>
      <c r="J94" s="90">
        <f t="shared" si="11"/>
        <v>1.0000000000000004</v>
      </c>
      <c r="K94" s="91">
        <f t="shared" si="19"/>
        <v>0.66666666666666663</v>
      </c>
      <c r="L94" s="91">
        <f t="shared" si="20"/>
        <v>4.375</v>
      </c>
      <c r="M94" s="29">
        <f t="shared" si="17"/>
        <v>20</v>
      </c>
      <c r="N94" s="92">
        <f t="shared" si="12"/>
        <v>0.49999999999999956</v>
      </c>
      <c r="O94" s="104">
        <f t="shared" si="13"/>
        <v>1.016</v>
      </c>
      <c r="P94" s="105">
        <f t="shared" si="14"/>
        <v>7.111999999999993</v>
      </c>
    </row>
    <row r="95" spans="2:16" x14ac:dyDescent="0.25">
      <c r="B95" s="88" t="str">
        <f t="shared" si="15"/>
        <v>Fazenda Altenor</v>
      </c>
      <c r="C95" s="106">
        <f t="shared" si="18"/>
        <v>2019</v>
      </c>
      <c r="D95" s="101">
        <v>43654</v>
      </c>
      <c r="E95" s="102">
        <v>0.41666666666666669</v>
      </c>
      <c r="F95" s="103">
        <v>0.4375</v>
      </c>
      <c r="G95" s="103">
        <v>0.41666666666666669</v>
      </c>
      <c r="H95" s="103">
        <v>0.45833333333333331</v>
      </c>
      <c r="I95" s="90">
        <f t="shared" si="16"/>
        <v>0.49999999999999956</v>
      </c>
      <c r="J95" s="90">
        <f t="shared" si="11"/>
        <v>0.99999999999999911</v>
      </c>
      <c r="K95" s="91">
        <f t="shared" si="19"/>
        <v>0.66666666666666663</v>
      </c>
      <c r="L95" s="91">
        <f t="shared" si="20"/>
        <v>4.375</v>
      </c>
      <c r="M95" s="29">
        <f t="shared" si="17"/>
        <v>20</v>
      </c>
      <c r="N95" s="92">
        <f t="shared" si="12"/>
        <v>0.49999999999999956</v>
      </c>
      <c r="O95" s="104">
        <f t="shared" si="13"/>
        <v>1.016</v>
      </c>
      <c r="P95" s="105">
        <f t="shared" si="14"/>
        <v>7.111999999999993</v>
      </c>
    </row>
    <row r="96" spans="2:16" x14ac:dyDescent="0.25">
      <c r="B96" s="88" t="str">
        <f t="shared" si="15"/>
        <v>Fazenda Altenor</v>
      </c>
      <c r="C96" s="106">
        <f t="shared" si="18"/>
        <v>2019</v>
      </c>
      <c r="D96" s="101">
        <v>43655</v>
      </c>
      <c r="E96" s="102">
        <v>0.29166666666666669</v>
      </c>
      <c r="F96" s="103">
        <v>0.33333333333333331</v>
      </c>
      <c r="G96" s="103">
        <v>0.29166666666666669</v>
      </c>
      <c r="H96" s="103">
        <v>0.35416666666666669</v>
      </c>
      <c r="I96" s="90">
        <f t="shared" si="16"/>
        <v>0.99999999999999911</v>
      </c>
      <c r="J96" s="90">
        <f t="shared" si="11"/>
        <v>1.5</v>
      </c>
      <c r="K96" s="91">
        <f t="shared" si="19"/>
        <v>0.66666666666666663</v>
      </c>
      <c r="L96" s="91">
        <f t="shared" si="20"/>
        <v>4.375</v>
      </c>
      <c r="M96" s="29">
        <f t="shared" si="17"/>
        <v>20</v>
      </c>
      <c r="N96" s="92">
        <f t="shared" si="12"/>
        <v>0.99999999999999911</v>
      </c>
      <c r="O96" s="104">
        <f t="shared" si="13"/>
        <v>1.016</v>
      </c>
      <c r="P96" s="105">
        <f t="shared" si="14"/>
        <v>14.223999999999986</v>
      </c>
    </row>
    <row r="97" spans="2:16" x14ac:dyDescent="0.25">
      <c r="B97" s="88" t="str">
        <f t="shared" si="15"/>
        <v>Fazenda Altenor</v>
      </c>
      <c r="C97" s="106">
        <f t="shared" si="18"/>
        <v>2019</v>
      </c>
      <c r="D97" s="101">
        <v>43656</v>
      </c>
      <c r="E97" s="102">
        <v>0.32291666666666669</v>
      </c>
      <c r="F97" s="103">
        <v>0.33333333333333331</v>
      </c>
      <c r="G97" s="103">
        <v>0.32291666666666669</v>
      </c>
      <c r="H97" s="103">
        <v>0.36458333333333331</v>
      </c>
      <c r="I97" s="90">
        <f t="shared" si="16"/>
        <v>0.24999999999999911</v>
      </c>
      <c r="J97" s="90">
        <f t="shared" si="11"/>
        <v>0.99999999999999911</v>
      </c>
      <c r="K97" s="91">
        <f t="shared" si="19"/>
        <v>0.66666666666666663</v>
      </c>
      <c r="L97" s="91">
        <f t="shared" si="20"/>
        <v>4.375</v>
      </c>
      <c r="M97" s="29">
        <f t="shared" si="17"/>
        <v>20</v>
      </c>
      <c r="N97" s="92">
        <f t="shared" si="12"/>
        <v>0.24999999999999911</v>
      </c>
      <c r="O97" s="104">
        <f t="shared" si="13"/>
        <v>1.016</v>
      </c>
      <c r="P97" s="105">
        <f t="shared" si="14"/>
        <v>3.5559999999999872</v>
      </c>
    </row>
    <row r="98" spans="2:16" x14ac:dyDescent="0.25">
      <c r="B98" s="88" t="str">
        <f t="shared" si="15"/>
        <v>Fazenda Altenor</v>
      </c>
      <c r="C98" s="106">
        <f t="shared" si="18"/>
        <v>2019</v>
      </c>
      <c r="D98" s="101">
        <v>43657</v>
      </c>
      <c r="E98" s="102"/>
      <c r="F98" s="103"/>
      <c r="G98" s="103"/>
      <c r="H98" s="103"/>
      <c r="I98" s="90">
        <f t="shared" si="16"/>
        <v>0</v>
      </c>
      <c r="J98" s="90">
        <f t="shared" si="11"/>
        <v>0</v>
      </c>
      <c r="K98" s="91">
        <f t="shared" si="19"/>
        <v>0.66666666666666663</v>
      </c>
      <c r="L98" s="91">
        <f t="shared" si="20"/>
        <v>4.375</v>
      </c>
      <c r="M98" s="29">
        <f t="shared" si="17"/>
        <v>20</v>
      </c>
      <c r="N98" s="92">
        <f t="shared" si="12"/>
        <v>0</v>
      </c>
      <c r="O98" s="104">
        <f t="shared" si="13"/>
        <v>1.016</v>
      </c>
      <c r="P98" s="105">
        <f t="shared" si="14"/>
        <v>0</v>
      </c>
    </row>
    <row r="99" spans="2:16" x14ac:dyDescent="0.25">
      <c r="B99" s="88" t="str">
        <f t="shared" si="15"/>
        <v>Fazenda Altenor</v>
      </c>
      <c r="C99" s="106">
        <f t="shared" si="18"/>
        <v>2019</v>
      </c>
      <c r="D99" s="101">
        <v>43658</v>
      </c>
      <c r="E99" s="102">
        <v>0.29166666666666669</v>
      </c>
      <c r="F99" s="103">
        <v>0.3125</v>
      </c>
      <c r="G99" s="103">
        <v>0.29166666666666669</v>
      </c>
      <c r="H99" s="103">
        <v>0.33333333333333331</v>
      </c>
      <c r="I99" s="90">
        <f t="shared" si="16"/>
        <v>0.49999999999999956</v>
      </c>
      <c r="J99" s="90">
        <f t="shared" si="11"/>
        <v>0.99999999999999911</v>
      </c>
      <c r="K99" s="91">
        <f t="shared" si="19"/>
        <v>0.66666666666666663</v>
      </c>
      <c r="L99" s="91">
        <f t="shared" si="20"/>
        <v>4.375</v>
      </c>
      <c r="M99" s="29">
        <f t="shared" si="17"/>
        <v>20</v>
      </c>
      <c r="N99" s="92">
        <f t="shared" si="12"/>
        <v>0.49999999999999956</v>
      </c>
      <c r="O99" s="104">
        <f t="shared" si="13"/>
        <v>1.016</v>
      </c>
      <c r="P99" s="105">
        <f t="shared" si="14"/>
        <v>7.111999999999993</v>
      </c>
    </row>
    <row r="100" spans="2:16" x14ac:dyDescent="0.25">
      <c r="B100" s="88" t="str">
        <f t="shared" si="15"/>
        <v>Fazenda Altenor</v>
      </c>
      <c r="C100" s="106">
        <f t="shared" si="18"/>
        <v>2019</v>
      </c>
      <c r="D100" s="101">
        <v>43659</v>
      </c>
      <c r="E100" s="102">
        <v>0.33333333333333331</v>
      </c>
      <c r="F100" s="103">
        <v>0.35416666666666669</v>
      </c>
      <c r="G100" s="103">
        <v>0.33333333333333331</v>
      </c>
      <c r="H100" s="103">
        <v>0.375</v>
      </c>
      <c r="I100" s="90">
        <f t="shared" si="16"/>
        <v>0.50000000000000089</v>
      </c>
      <c r="J100" s="90">
        <f t="shared" si="11"/>
        <v>1.0000000000000004</v>
      </c>
      <c r="K100" s="91">
        <f t="shared" si="19"/>
        <v>0.66666666666666663</v>
      </c>
      <c r="L100" s="91">
        <f t="shared" si="20"/>
        <v>4.375</v>
      </c>
      <c r="M100" s="29">
        <f t="shared" si="17"/>
        <v>20</v>
      </c>
      <c r="N100" s="92">
        <f t="shared" si="12"/>
        <v>0.50000000000000089</v>
      </c>
      <c r="O100" s="104">
        <f t="shared" si="13"/>
        <v>1.016</v>
      </c>
      <c r="P100" s="105">
        <f t="shared" si="14"/>
        <v>7.1120000000000116</v>
      </c>
    </row>
    <row r="101" spans="2:16" x14ac:dyDescent="0.25">
      <c r="B101" s="88" t="str">
        <f t="shared" si="15"/>
        <v>Fazenda Altenor</v>
      </c>
      <c r="C101" s="106">
        <f t="shared" si="18"/>
        <v>2019</v>
      </c>
      <c r="D101" s="101">
        <v>43660</v>
      </c>
      <c r="E101" s="102">
        <v>0.35416666666666669</v>
      </c>
      <c r="F101" s="103">
        <v>0.375</v>
      </c>
      <c r="G101" s="103">
        <v>0.35416666666666669</v>
      </c>
      <c r="H101" s="103">
        <v>0.39583333333333331</v>
      </c>
      <c r="I101" s="90">
        <f t="shared" si="16"/>
        <v>0.49999999999999956</v>
      </c>
      <c r="J101" s="90">
        <f t="shared" si="11"/>
        <v>0.99999999999999911</v>
      </c>
      <c r="K101" s="91">
        <f t="shared" si="19"/>
        <v>0.66666666666666663</v>
      </c>
      <c r="L101" s="91">
        <f t="shared" si="20"/>
        <v>4.375</v>
      </c>
      <c r="M101" s="29">
        <f t="shared" si="17"/>
        <v>20</v>
      </c>
      <c r="N101" s="92">
        <f t="shared" si="12"/>
        <v>0.49999999999999956</v>
      </c>
      <c r="O101" s="104">
        <f t="shared" si="13"/>
        <v>1.016</v>
      </c>
      <c r="P101" s="105">
        <f t="shared" si="14"/>
        <v>7.111999999999993</v>
      </c>
    </row>
    <row r="102" spans="2:16" x14ac:dyDescent="0.25">
      <c r="B102" s="88" t="str">
        <f t="shared" si="15"/>
        <v>Fazenda Altenor</v>
      </c>
      <c r="C102" s="106">
        <f t="shared" si="18"/>
        <v>2019</v>
      </c>
      <c r="D102" s="101">
        <v>43661</v>
      </c>
      <c r="E102" s="102">
        <v>0.3125</v>
      </c>
      <c r="F102" s="103">
        <v>0.33333333333333331</v>
      </c>
      <c r="G102" s="103">
        <v>0.3125</v>
      </c>
      <c r="H102" s="103">
        <v>0.35416666666666669</v>
      </c>
      <c r="I102" s="90">
        <f t="shared" si="16"/>
        <v>0.49999999999999956</v>
      </c>
      <c r="J102" s="90">
        <f t="shared" si="11"/>
        <v>1.0000000000000004</v>
      </c>
      <c r="K102" s="91">
        <f t="shared" si="19"/>
        <v>0.66666666666666663</v>
      </c>
      <c r="L102" s="91">
        <f t="shared" si="20"/>
        <v>4.375</v>
      </c>
      <c r="M102" s="29">
        <f t="shared" si="17"/>
        <v>20</v>
      </c>
      <c r="N102" s="92">
        <f t="shared" si="12"/>
        <v>0.49999999999999956</v>
      </c>
      <c r="O102" s="104">
        <f t="shared" si="13"/>
        <v>1.016</v>
      </c>
      <c r="P102" s="105">
        <f t="shared" si="14"/>
        <v>7.111999999999993</v>
      </c>
    </row>
    <row r="103" spans="2:16" x14ac:dyDescent="0.25">
      <c r="B103" s="88" t="str">
        <f t="shared" si="15"/>
        <v>Fazenda Altenor</v>
      </c>
      <c r="C103" s="106">
        <f t="shared" si="18"/>
        <v>2019</v>
      </c>
      <c r="D103" s="101">
        <v>43662</v>
      </c>
      <c r="E103" s="102">
        <v>0.375</v>
      </c>
      <c r="F103" s="103">
        <v>0.39583333333333331</v>
      </c>
      <c r="G103" s="103">
        <v>0.375</v>
      </c>
      <c r="H103" s="103">
        <v>0.41666666666666669</v>
      </c>
      <c r="I103" s="90">
        <f t="shared" si="16"/>
        <v>0.49999999999999956</v>
      </c>
      <c r="J103" s="90">
        <f t="shared" si="11"/>
        <v>1.0000000000000004</v>
      </c>
      <c r="K103" s="91">
        <f t="shared" si="19"/>
        <v>0.66666666666666663</v>
      </c>
      <c r="L103" s="91">
        <f t="shared" si="20"/>
        <v>4.375</v>
      </c>
      <c r="M103" s="29">
        <f t="shared" si="17"/>
        <v>20</v>
      </c>
      <c r="N103" s="92">
        <f t="shared" si="12"/>
        <v>0.49999999999999956</v>
      </c>
      <c r="O103" s="104">
        <f t="shared" si="13"/>
        <v>1.016</v>
      </c>
      <c r="P103" s="105">
        <f t="shared" si="14"/>
        <v>7.111999999999993</v>
      </c>
    </row>
    <row r="104" spans="2:16" x14ac:dyDescent="0.25">
      <c r="B104" s="88" t="str">
        <f t="shared" si="15"/>
        <v>Fazenda Altenor</v>
      </c>
      <c r="C104" s="106">
        <f t="shared" si="18"/>
        <v>2019</v>
      </c>
      <c r="D104" s="101">
        <v>43663</v>
      </c>
      <c r="E104" s="102">
        <v>0.29166666666666669</v>
      </c>
      <c r="F104" s="103">
        <v>0.3125</v>
      </c>
      <c r="G104" s="103">
        <v>0.29166666666666669</v>
      </c>
      <c r="H104" s="103">
        <v>0.33333333333333331</v>
      </c>
      <c r="I104" s="90">
        <f t="shared" si="16"/>
        <v>0.49999999999999956</v>
      </c>
      <c r="J104" s="90">
        <f t="shared" si="11"/>
        <v>0.99999999999999911</v>
      </c>
      <c r="K104" s="91">
        <f t="shared" si="19"/>
        <v>0.66666666666666663</v>
      </c>
      <c r="L104" s="91">
        <f t="shared" si="20"/>
        <v>4.375</v>
      </c>
      <c r="M104" s="29">
        <f t="shared" si="17"/>
        <v>20</v>
      </c>
      <c r="N104" s="92">
        <f t="shared" si="12"/>
        <v>0.49999999999999956</v>
      </c>
      <c r="O104" s="104">
        <f t="shared" si="13"/>
        <v>1.016</v>
      </c>
      <c r="P104" s="105">
        <f t="shared" si="14"/>
        <v>7.111999999999993</v>
      </c>
    </row>
    <row r="105" spans="2:16" x14ac:dyDescent="0.25">
      <c r="B105" s="88" t="str">
        <f t="shared" si="15"/>
        <v>Fazenda Altenor</v>
      </c>
      <c r="C105" s="106">
        <f t="shared" si="18"/>
        <v>2019</v>
      </c>
      <c r="D105" s="101">
        <v>43664</v>
      </c>
      <c r="E105" s="102">
        <v>0.33333333333333331</v>
      </c>
      <c r="F105" s="103">
        <v>0.36458333333333331</v>
      </c>
      <c r="G105" s="103">
        <v>0.33333333333333331</v>
      </c>
      <c r="H105" s="103">
        <v>0.375</v>
      </c>
      <c r="I105" s="90">
        <f t="shared" si="16"/>
        <v>0.75</v>
      </c>
      <c r="J105" s="90">
        <f t="shared" si="11"/>
        <v>1.0000000000000004</v>
      </c>
      <c r="K105" s="91">
        <f t="shared" si="19"/>
        <v>0.66666666666666663</v>
      </c>
      <c r="L105" s="91">
        <f t="shared" si="20"/>
        <v>4.375</v>
      </c>
      <c r="M105" s="29">
        <f t="shared" si="17"/>
        <v>20</v>
      </c>
      <c r="N105" s="92">
        <f t="shared" si="12"/>
        <v>0.75</v>
      </c>
      <c r="O105" s="104">
        <f t="shared" si="13"/>
        <v>1.016</v>
      </c>
      <c r="P105" s="105">
        <f t="shared" si="14"/>
        <v>10.667999999999999</v>
      </c>
    </row>
    <row r="106" spans="2:16" x14ac:dyDescent="0.25">
      <c r="B106" s="88" t="str">
        <f t="shared" si="15"/>
        <v>Fazenda Altenor</v>
      </c>
      <c r="C106" s="106">
        <f t="shared" si="18"/>
        <v>2019</v>
      </c>
      <c r="D106" s="101">
        <v>43665</v>
      </c>
      <c r="E106" s="102">
        <v>0.35416666666666669</v>
      </c>
      <c r="F106" s="103">
        <v>0.375</v>
      </c>
      <c r="G106" s="103">
        <v>0.35416666666666669</v>
      </c>
      <c r="H106" s="103">
        <v>0.40625</v>
      </c>
      <c r="I106" s="90">
        <f t="shared" si="16"/>
        <v>0.49999999999999956</v>
      </c>
      <c r="J106" s="90">
        <f t="shared" si="11"/>
        <v>1.2499999999999996</v>
      </c>
      <c r="K106" s="91">
        <f t="shared" si="19"/>
        <v>0.66666666666666663</v>
      </c>
      <c r="L106" s="91">
        <f t="shared" si="20"/>
        <v>4.375</v>
      </c>
      <c r="M106" s="29">
        <f t="shared" si="17"/>
        <v>20</v>
      </c>
      <c r="N106" s="92">
        <f t="shared" si="12"/>
        <v>0.49999999999999956</v>
      </c>
      <c r="O106" s="104">
        <f t="shared" si="13"/>
        <v>1.016</v>
      </c>
      <c r="P106" s="105">
        <f t="shared" si="14"/>
        <v>7.111999999999993</v>
      </c>
    </row>
    <row r="107" spans="2:16" x14ac:dyDescent="0.25">
      <c r="B107" s="88" t="str">
        <f t="shared" si="15"/>
        <v>Fazenda Altenor</v>
      </c>
      <c r="C107" s="106">
        <f t="shared" si="18"/>
        <v>2019</v>
      </c>
      <c r="D107" s="101">
        <v>43666</v>
      </c>
      <c r="E107" s="102">
        <v>0.29166666666666669</v>
      </c>
      <c r="F107" s="103">
        <v>0.3125</v>
      </c>
      <c r="G107" s="103">
        <v>0.29166666666666669</v>
      </c>
      <c r="H107" s="103">
        <v>0.33333333333333331</v>
      </c>
      <c r="I107" s="90">
        <f t="shared" si="16"/>
        <v>0.49999999999999956</v>
      </c>
      <c r="J107" s="90">
        <f t="shared" si="11"/>
        <v>0.99999999999999911</v>
      </c>
      <c r="K107" s="91">
        <f t="shared" si="19"/>
        <v>0.66666666666666663</v>
      </c>
      <c r="L107" s="91">
        <f t="shared" si="20"/>
        <v>4.375</v>
      </c>
      <c r="M107" s="29">
        <f t="shared" si="17"/>
        <v>20</v>
      </c>
      <c r="N107" s="92">
        <f t="shared" si="12"/>
        <v>0.49999999999999956</v>
      </c>
      <c r="O107" s="104">
        <f t="shared" si="13"/>
        <v>1.016</v>
      </c>
      <c r="P107" s="105">
        <f t="shared" si="14"/>
        <v>7.111999999999993</v>
      </c>
    </row>
    <row r="108" spans="2:16" x14ac:dyDescent="0.25">
      <c r="B108" s="88" t="str">
        <f t="shared" si="15"/>
        <v>Fazenda Altenor</v>
      </c>
      <c r="C108" s="106">
        <f t="shared" si="18"/>
        <v>2019</v>
      </c>
      <c r="D108" s="101">
        <v>43667</v>
      </c>
      <c r="E108" s="102">
        <v>0.3125</v>
      </c>
      <c r="F108" s="103">
        <v>0.33333333333333331</v>
      </c>
      <c r="G108" s="103">
        <v>0.3125</v>
      </c>
      <c r="H108" s="103">
        <v>0.35416666666666669</v>
      </c>
      <c r="I108" s="90">
        <f t="shared" si="16"/>
        <v>0.49999999999999956</v>
      </c>
      <c r="J108" s="90">
        <f t="shared" si="11"/>
        <v>1.0000000000000004</v>
      </c>
      <c r="K108" s="91">
        <f t="shared" si="19"/>
        <v>0.66666666666666663</v>
      </c>
      <c r="L108" s="91">
        <f t="shared" si="20"/>
        <v>4.375</v>
      </c>
      <c r="M108" s="29">
        <f t="shared" si="17"/>
        <v>20</v>
      </c>
      <c r="N108" s="92">
        <f t="shared" si="12"/>
        <v>0.49999999999999956</v>
      </c>
      <c r="O108" s="104">
        <f t="shared" si="13"/>
        <v>1.016</v>
      </c>
      <c r="P108" s="105">
        <f t="shared" si="14"/>
        <v>7.111999999999993</v>
      </c>
    </row>
    <row r="109" spans="2:16" x14ac:dyDescent="0.25">
      <c r="B109" s="88" t="str">
        <f t="shared" si="15"/>
        <v>Fazenda Altenor</v>
      </c>
      <c r="C109" s="106">
        <f t="shared" si="18"/>
        <v>2019</v>
      </c>
      <c r="D109" s="101">
        <v>43668</v>
      </c>
      <c r="E109" s="102">
        <v>0.33333333333333331</v>
      </c>
      <c r="F109" s="103">
        <v>0.35416666666666669</v>
      </c>
      <c r="G109" s="103">
        <v>0.33333333333333331</v>
      </c>
      <c r="H109" s="103">
        <v>0.375</v>
      </c>
      <c r="I109" s="90">
        <f t="shared" si="16"/>
        <v>0.50000000000000089</v>
      </c>
      <c r="J109" s="90">
        <f t="shared" si="11"/>
        <v>1.0000000000000004</v>
      </c>
      <c r="K109" s="91">
        <f t="shared" si="19"/>
        <v>0.66666666666666663</v>
      </c>
      <c r="L109" s="91">
        <f t="shared" si="20"/>
        <v>4.375</v>
      </c>
      <c r="M109" s="29">
        <f t="shared" si="17"/>
        <v>20</v>
      </c>
      <c r="N109" s="92">
        <f t="shared" si="12"/>
        <v>0.50000000000000089</v>
      </c>
      <c r="O109" s="104">
        <f t="shared" si="13"/>
        <v>1.016</v>
      </c>
      <c r="P109" s="105">
        <f t="shared" si="14"/>
        <v>7.1120000000000116</v>
      </c>
    </row>
    <row r="110" spans="2:16" x14ac:dyDescent="0.25">
      <c r="B110" s="88" t="str">
        <f t="shared" si="15"/>
        <v>Fazenda Altenor</v>
      </c>
      <c r="C110" s="106">
        <f t="shared" si="18"/>
        <v>2019</v>
      </c>
      <c r="D110" s="101">
        <v>43669</v>
      </c>
      <c r="E110" s="102">
        <v>0.375</v>
      </c>
      <c r="F110" s="103">
        <v>0.39583333333333331</v>
      </c>
      <c r="G110" s="103">
        <v>0.375</v>
      </c>
      <c r="H110" s="103">
        <v>0.41666666666666669</v>
      </c>
      <c r="I110" s="90">
        <f t="shared" si="16"/>
        <v>0.49999999999999956</v>
      </c>
      <c r="J110" s="90">
        <f t="shared" si="11"/>
        <v>1.0000000000000004</v>
      </c>
      <c r="K110" s="91">
        <f t="shared" si="19"/>
        <v>0.66666666666666663</v>
      </c>
      <c r="L110" s="91">
        <f t="shared" si="20"/>
        <v>4.375</v>
      </c>
      <c r="M110" s="29">
        <f t="shared" si="17"/>
        <v>20</v>
      </c>
      <c r="N110" s="92">
        <f t="shared" si="12"/>
        <v>0.49999999999999956</v>
      </c>
      <c r="O110" s="104">
        <f t="shared" si="13"/>
        <v>1.016</v>
      </c>
      <c r="P110" s="105">
        <f t="shared" si="14"/>
        <v>7.111999999999993</v>
      </c>
    </row>
    <row r="111" spans="2:16" x14ac:dyDescent="0.25">
      <c r="B111" s="88" t="str">
        <f t="shared" si="15"/>
        <v>Fazenda Altenor</v>
      </c>
      <c r="C111" s="106">
        <f t="shared" si="18"/>
        <v>2019</v>
      </c>
      <c r="D111" s="101">
        <v>43670</v>
      </c>
      <c r="E111" s="102">
        <v>0.35416666666666669</v>
      </c>
      <c r="F111" s="103">
        <v>0.375</v>
      </c>
      <c r="G111" s="103">
        <v>0.29166666666666669</v>
      </c>
      <c r="H111" s="103">
        <v>0.33333333333333331</v>
      </c>
      <c r="I111" s="90">
        <f t="shared" si="16"/>
        <v>0.49999999999999956</v>
      </c>
      <c r="J111" s="90">
        <f t="shared" si="11"/>
        <v>0.99999999999999911</v>
      </c>
      <c r="K111" s="91">
        <f t="shared" si="19"/>
        <v>0.66666666666666663</v>
      </c>
      <c r="L111" s="91">
        <f t="shared" si="20"/>
        <v>4.375</v>
      </c>
      <c r="M111" s="29">
        <f t="shared" si="17"/>
        <v>20</v>
      </c>
      <c r="N111" s="92">
        <f t="shared" si="12"/>
        <v>0.49999999999999956</v>
      </c>
      <c r="O111" s="104">
        <f t="shared" si="13"/>
        <v>1.016</v>
      </c>
      <c r="P111" s="105">
        <f t="shared" si="14"/>
        <v>7.111999999999993</v>
      </c>
    </row>
    <row r="112" spans="2:16" x14ac:dyDescent="0.25">
      <c r="B112" s="88" t="str">
        <f t="shared" si="15"/>
        <v>Fazenda Altenor</v>
      </c>
      <c r="C112" s="106">
        <f t="shared" si="18"/>
        <v>2019</v>
      </c>
      <c r="D112" s="101">
        <v>43671</v>
      </c>
      <c r="E112" s="102">
        <v>0.29166666666666669</v>
      </c>
      <c r="F112" s="103">
        <v>0.3125</v>
      </c>
      <c r="G112" s="103">
        <v>0.29166666666666669</v>
      </c>
      <c r="H112" s="103">
        <v>0.33333333333333331</v>
      </c>
      <c r="I112" s="90">
        <f t="shared" si="16"/>
        <v>0.49999999999999956</v>
      </c>
      <c r="J112" s="90">
        <f t="shared" si="11"/>
        <v>0.99999999999999911</v>
      </c>
      <c r="K112" s="91">
        <f t="shared" si="19"/>
        <v>0.66666666666666663</v>
      </c>
      <c r="L112" s="91">
        <f t="shared" si="20"/>
        <v>4.375</v>
      </c>
      <c r="M112" s="29">
        <f t="shared" si="17"/>
        <v>20</v>
      </c>
      <c r="N112" s="92">
        <f t="shared" si="12"/>
        <v>0.49999999999999956</v>
      </c>
      <c r="O112" s="104">
        <f t="shared" si="13"/>
        <v>1.016</v>
      </c>
      <c r="P112" s="105">
        <f t="shared" si="14"/>
        <v>7.111999999999993</v>
      </c>
    </row>
    <row r="113" spans="2:16" x14ac:dyDescent="0.25">
      <c r="B113" s="88" t="str">
        <f t="shared" si="15"/>
        <v>Fazenda Altenor</v>
      </c>
      <c r="C113" s="106">
        <f t="shared" si="18"/>
        <v>2019</v>
      </c>
      <c r="D113" s="101">
        <v>43672</v>
      </c>
      <c r="E113" s="102">
        <v>0.33333333333333331</v>
      </c>
      <c r="F113" s="103">
        <v>0.35416666666666669</v>
      </c>
      <c r="G113" s="103">
        <v>0.33333333333333331</v>
      </c>
      <c r="H113" s="103">
        <v>0.375</v>
      </c>
      <c r="I113" s="90">
        <f t="shared" si="16"/>
        <v>0.50000000000000089</v>
      </c>
      <c r="J113" s="90">
        <f t="shared" si="11"/>
        <v>1.0000000000000004</v>
      </c>
      <c r="K113" s="91">
        <f t="shared" si="19"/>
        <v>0.66666666666666663</v>
      </c>
      <c r="L113" s="91">
        <f t="shared" si="20"/>
        <v>4.375</v>
      </c>
      <c r="M113" s="29">
        <f t="shared" si="17"/>
        <v>20</v>
      </c>
      <c r="N113" s="92">
        <f t="shared" si="12"/>
        <v>0.50000000000000089</v>
      </c>
      <c r="O113" s="104">
        <f t="shared" si="13"/>
        <v>1.016</v>
      </c>
      <c r="P113" s="105">
        <f t="shared" si="14"/>
        <v>7.1120000000000116</v>
      </c>
    </row>
    <row r="114" spans="2:16" x14ac:dyDescent="0.25">
      <c r="B114" s="88" t="str">
        <f t="shared" si="15"/>
        <v>Fazenda Altenor</v>
      </c>
      <c r="C114" s="106">
        <f t="shared" si="18"/>
        <v>2019</v>
      </c>
      <c r="D114" s="101">
        <v>43673</v>
      </c>
      <c r="E114" s="102">
        <v>0.3125</v>
      </c>
      <c r="F114" s="103">
        <v>0.33333333333333331</v>
      </c>
      <c r="G114" s="103">
        <v>0.3125</v>
      </c>
      <c r="H114" s="103">
        <v>0.36458333333333331</v>
      </c>
      <c r="I114" s="90">
        <f t="shared" si="16"/>
        <v>0.49999999999999956</v>
      </c>
      <c r="J114" s="90">
        <f t="shared" si="11"/>
        <v>1.2499999999999996</v>
      </c>
      <c r="K114" s="91">
        <f t="shared" si="19"/>
        <v>0.66666666666666663</v>
      </c>
      <c r="L114" s="91">
        <f t="shared" si="20"/>
        <v>4.375</v>
      </c>
      <c r="M114" s="29">
        <f t="shared" si="17"/>
        <v>20</v>
      </c>
      <c r="N114" s="92">
        <f t="shared" si="12"/>
        <v>0.49999999999999956</v>
      </c>
      <c r="O114" s="104">
        <f t="shared" si="13"/>
        <v>1.016</v>
      </c>
      <c r="P114" s="105">
        <f t="shared" si="14"/>
        <v>7.111999999999993</v>
      </c>
    </row>
    <row r="115" spans="2:16" x14ac:dyDescent="0.25">
      <c r="B115" s="88" t="str">
        <f t="shared" si="15"/>
        <v>Fazenda Altenor</v>
      </c>
      <c r="C115" s="106">
        <f t="shared" si="18"/>
        <v>2019</v>
      </c>
      <c r="D115" s="101">
        <v>43674</v>
      </c>
      <c r="E115" s="102"/>
      <c r="F115" s="103"/>
      <c r="G115" s="103"/>
      <c r="H115" s="103"/>
      <c r="I115" s="90">
        <f t="shared" si="16"/>
        <v>0</v>
      </c>
      <c r="J115" s="90">
        <f t="shared" si="11"/>
        <v>0</v>
      </c>
      <c r="K115" s="91">
        <f t="shared" si="19"/>
        <v>0.66666666666666663</v>
      </c>
      <c r="L115" s="91">
        <f t="shared" si="20"/>
        <v>4.375</v>
      </c>
      <c r="M115" s="29">
        <f t="shared" si="17"/>
        <v>20</v>
      </c>
      <c r="N115" s="92">
        <f t="shared" si="12"/>
        <v>0</v>
      </c>
      <c r="O115" s="104">
        <f t="shared" si="13"/>
        <v>1.016</v>
      </c>
      <c r="P115" s="105">
        <f t="shared" si="14"/>
        <v>0</v>
      </c>
    </row>
    <row r="116" spans="2:16" x14ac:dyDescent="0.25">
      <c r="B116" s="88" t="str">
        <f t="shared" si="15"/>
        <v>Fazenda Altenor</v>
      </c>
      <c r="C116" s="106">
        <f t="shared" si="18"/>
        <v>2019</v>
      </c>
      <c r="D116" s="101">
        <v>43675</v>
      </c>
      <c r="E116" s="102">
        <v>0.375</v>
      </c>
      <c r="F116" s="103">
        <v>0.39583333333333331</v>
      </c>
      <c r="G116" s="103">
        <v>0.375</v>
      </c>
      <c r="H116" s="103">
        <v>0.41666666666666669</v>
      </c>
      <c r="I116" s="90">
        <f t="shared" si="16"/>
        <v>0.49999999999999956</v>
      </c>
      <c r="J116" s="90">
        <f t="shared" si="11"/>
        <v>1.0000000000000004</v>
      </c>
      <c r="K116" s="91">
        <f t="shared" si="19"/>
        <v>0.66666666666666663</v>
      </c>
      <c r="L116" s="91">
        <f t="shared" si="20"/>
        <v>4.375</v>
      </c>
      <c r="M116" s="29">
        <f t="shared" si="17"/>
        <v>20</v>
      </c>
      <c r="N116" s="92">
        <f t="shared" si="12"/>
        <v>0.49999999999999956</v>
      </c>
      <c r="O116" s="104">
        <f t="shared" si="13"/>
        <v>1.016</v>
      </c>
      <c r="P116" s="105">
        <f t="shared" si="14"/>
        <v>7.111999999999993</v>
      </c>
    </row>
    <row r="117" spans="2:16" x14ac:dyDescent="0.25">
      <c r="B117" s="88" t="str">
        <f t="shared" si="15"/>
        <v>Fazenda Altenor</v>
      </c>
      <c r="C117" s="106">
        <f t="shared" si="18"/>
        <v>2019</v>
      </c>
      <c r="D117" s="101">
        <v>43676</v>
      </c>
      <c r="E117" s="102">
        <v>0.29166666666666669</v>
      </c>
      <c r="F117" s="103">
        <v>0.33333333333333331</v>
      </c>
      <c r="G117" s="103">
        <v>0.29166666666666669</v>
      </c>
      <c r="H117" s="103">
        <v>0.375</v>
      </c>
      <c r="I117" s="90">
        <f t="shared" si="16"/>
        <v>0.99999999999999911</v>
      </c>
      <c r="J117" s="90">
        <f t="shared" si="11"/>
        <v>1.9999999999999996</v>
      </c>
      <c r="K117" s="91">
        <f t="shared" si="19"/>
        <v>0.66666666666666663</v>
      </c>
      <c r="L117" s="91">
        <f t="shared" si="20"/>
        <v>4.375</v>
      </c>
      <c r="M117" s="29">
        <f t="shared" si="17"/>
        <v>20</v>
      </c>
      <c r="N117" s="92">
        <f t="shared" si="12"/>
        <v>0.99999999999999911</v>
      </c>
      <c r="O117" s="104">
        <f t="shared" si="13"/>
        <v>1.016</v>
      </c>
      <c r="P117" s="105">
        <f t="shared" si="14"/>
        <v>14.223999999999986</v>
      </c>
    </row>
    <row r="118" spans="2:16" x14ac:dyDescent="0.25">
      <c r="B118" s="88" t="str">
        <f t="shared" si="15"/>
        <v>Fazenda Altenor</v>
      </c>
      <c r="C118" s="106">
        <f t="shared" si="18"/>
        <v>2019</v>
      </c>
      <c r="D118" s="101">
        <v>43677</v>
      </c>
      <c r="E118" s="102">
        <v>0.33333333333333331</v>
      </c>
      <c r="F118" s="103">
        <v>0.35416666666666669</v>
      </c>
      <c r="G118" s="103">
        <v>0.33333333333333331</v>
      </c>
      <c r="H118" s="103">
        <v>0.38541666666666669</v>
      </c>
      <c r="I118" s="90">
        <f t="shared" si="16"/>
        <v>0.50000000000000089</v>
      </c>
      <c r="J118" s="90">
        <f t="shared" si="11"/>
        <v>1.2500000000000009</v>
      </c>
      <c r="K118" s="91">
        <f t="shared" si="19"/>
        <v>0.66666666666666663</v>
      </c>
      <c r="L118" s="91">
        <f t="shared" si="20"/>
        <v>4.375</v>
      </c>
      <c r="M118" s="29">
        <f t="shared" si="17"/>
        <v>20</v>
      </c>
      <c r="N118" s="92">
        <f t="shared" si="12"/>
        <v>0.50000000000000089</v>
      </c>
      <c r="O118" s="104">
        <f t="shared" si="13"/>
        <v>1.016</v>
      </c>
      <c r="P118" s="105">
        <f t="shared" si="14"/>
        <v>7.1120000000000116</v>
      </c>
    </row>
    <row r="119" spans="2:16" x14ac:dyDescent="0.25">
      <c r="B119" s="88" t="str">
        <f t="shared" si="15"/>
        <v>Fazenda Altenor</v>
      </c>
      <c r="C119" s="106">
        <f t="shared" si="18"/>
        <v>2019</v>
      </c>
      <c r="D119" s="101">
        <v>43678</v>
      </c>
      <c r="E119" s="102">
        <v>0.41666666666666669</v>
      </c>
      <c r="F119" s="103">
        <v>0.4375</v>
      </c>
      <c r="G119" s="103">
        <v>0.3125</v>
      </c>
      <c r="H119" s="103">
        <v>0.36458333333333331</v>
      </c>
      <c r="I119" s="90">
        <f t="shared" si="16"/>
        <v>0.49999999999999956</v>
      </c>
      <c r="J119" s="90">
        <f t="shared" si="11"/>
        <v>1.2499999999999996</v>
      </c>
      <c r="K119" s="91">
        <f t="shared" si="19"/>
        <v>0.66666666666666663</v>
      </c>
      <c r="L119" s="91">
        <f t="shared" si="20"/>
        <v>4.375</v>
      </c>
      <c r="M119" s="29">
        <f t="shared" si="17"/>
        <v>20</v>
      </c>
      <c r="N119" s="92">
        <f t="shared" si="12"/>
        <v>0.49999999999999956</v>
      </c>
      <c r="O119" s="104">
        <f t="shared" si="13"/>
        <v>1.016</v>
      </c>
      <c r="P119" s="105">
        <f t="shared" si="14"/>
        <v>7.111999999999993</v>
      </c>
    </row>
    <row r="120" spans="2:16" x14ac:dyDescent="0.25">
      <c r="B120" s="88" t="str">
        <f t="shared" si="15"/>
        <v>Fazenda Altenor</v>
      </c>
      <c r="C120" s="106">
        <f t="shared" si="18"/>
        <v>2019</v>
      </c>
      <c r="D120" s="101">
        <v>43679</v>
      </c>
      <c r="E120" s="102">
        <v>0.41666666666666669</v>
      </c>
      <c r="F120" s="103">
        <v>0.4375</v>
      </c>
      <c r="G120" s="103">
        <v>0.41666666666666669</v>
      </c>
      <c r="H120" s="103">
        <v>0.45833333333333331</v>
      </c>
      <c r="I120" s="90">
        <f t="shared" si="16"/>
        <v>0.49999999999999956</v>
      </c>
      <c r="J120" s="90">
        <f t="shared" si="11"/>
        <v>0.99999999999999911</v>
      </c>
      <c r="K120" s="91">
        <f t="shared" si="19"/>
        <v>0.66666666666666663</v>
      </c>
      <c r="L120" s="91">
        <f t="shared" si="20"/>
        <v>4.375</v>
      </c>
      <c r="M120" s="29">
        <f t="shared" si="17"/>
        <v>20</v>
      </c>
      <c r="N120" s="92">
        <f t="shared" si="12"/>
        <v>0.49999999999999956</v>
      </c>
      <c r="O120" s="104">
        <f t="shared" si="13"/>
        <v>1.016</v>
      </c>
      <c r="P120" s="105">
        <f t="shared" si="14"/>
        <v>7.111999999999993</v>
      </c>
    </row>
    <row r="121" spans="2:16" x14ac:dyDescent="0.25">
      <c r="B121" s="88" t="str">
        <f t="shared" si="15"/>
        <v>Fazenda Altenor</v>
      </c>
      <c r="C121" s="106">
        <f t="shared" si="18"/>
        <v>2019</v>
      </c>
      <c r="D121" s="101">
        <v>43680</v>
      </c>
      <c r="E121" s="102">
        <v>0.3125</v>
      </c>
      <c r="F121" s="103">
        <v>0.33333333333333331</v>
      </c>
      <c r="G121" s="103">
        <v>0.3125</v>
      </c>
      <c r="H121" s="103">
        <v>0.3576388888888889</v>
      </c>
      <c r="I121" s="90">
        <f t="shared" si="16"/>
        <v>0.49999999999999956</v>
      </c>
      <c r="J121" s="90">
        <f t="shared" si="11"/>
        <v>1.0833333333333335</v>
      </c>
      <c r="K121" s="91">
        <f t="shared" si="19"/>
        <v>0.66666666666666663</v>
      </c>
      <c r="L121" s="91">
        <f t="shared" si="20"/>
        <v>4.375</v>
      </c>
      <c r="M121" s="29">
        <f t="shared" si="17"/>
        <v>20</v>
      </c>
      <c r="N121" s="92">
        <f t="shared" si="12"/>
        <v>0.49999999999999956</v>
      </c>
      <c r="O121" s="104">
        <f t="shared" si="13"/>
        <v>1.016</v>
      </c>
      <c r="P121" s="105">
        <f t="shared" si="14"/>
        <v>7.111999999999993</v>
      </c>
    </row>
    <row r="122" spans="2:16" x14ac:dyDescent="0.25">
      <c r="B122" s="88" t="str">
        <f t="shared" si="15"/>
        <v>Fazenda Altenor</v>
      </c>
      <c r="C122" s="106">
        <f t="shared" si="18"/>
        <v>2019</v>
      </c>
      <c r="D122" s="101">
        <v>43681</v>
      </c>
      <c r="E122" s="102">
        <v>0.33333333333333331</v>
      </c>
      <c r="F122" s="103">
        <v>0.35416666666666669</v>
      </c>
      <c r="G122" s="103">
        <v>0.33333333333333331</v>
      </c>
      <c r="H122" s="103">
        <v>0.375</v>
      </c>
      <c r="I122" s="90">
        <f t="shared" si="16"/>
        <v>0.50000000000000089</v>
      </c>
      <c r="J122" s="90">
        <f t="shared" si="11"/>
        <v>1.0000000000000004</v>
      </c>
      <c r="K122" s="91">
        <f t="shared" si="19"/>
        <v>0.66666666666666663</v>
      </c>
      <c r="L122" s="91">
        <f t="shared" si="20"/>
        <v>4.375</v>
      </c>
      <c r="M122" s="29">
        <f t="shared" si="17"/>
        <v>20</v>
      </c>
      <c r="N122" s="92">
        <f t="shared" si="12"/>
        <v>0.50000000000000089</v>
      </c>
      <c r="O122" s="104">
        <f t="shared" si="13"/>
        <v>1.016</v>
      </c>
      <c r="P122" s="105">
        <f t="shared" si="14"/>
        <v>7.1120000000000116</v>
      </c>
    </row>
    <row r="123" spans="2:16" x14ac:dyDescent="0.25">
      <c r="B123" s="88" t="str">
        <f t="shared" si="15"/>
        <v>Fazenda Altenor</v>
      </c>
      <c r="C123" s="106">
        <f t="shared" si="18"/>
        <v>2019</v>
      </c>
      <c r="D123" s="101">
        <v>43682</v>
      </c>
      <c r="E123" s="102">
        <v>0.29166666666666669</v>
      </c>
      <c r="F123" s="103">
        <v>0.3125</v>
      </c>
      <c r="G123" s="103">
        <v>0.29166666666666669</v>
      </c>
      <c r="H123" s="103">
        <v>0.32291666666666669</v>
      </c>
      <c r="I123" s="90">
        <f t="shared" si="16"/>
        <v>0.49999999999999956</v>
      </c>
      <c r="J123" s="90">
        <f t="shared" si="11"/>
        <v>0.75</v>
      </c>
      <c r="K123" s="91">
        <f t="shared" si="19"/>
        <v>0.66666666666666663</v>
      </c>
      <c r="L123" s="91">
        <f t="shared" si="20"/>
        <v>4.375</v>
      </c>
      <c r="M123" s="29">
        <f t="shared" si="17"/>
        <v>20</v>
      </c>
      <c r="N123" s="92">
        <f t="shared" si="12"/>
        <v>0.49999999999999956</v>
      </c>
      <c r="O123" s="104">
        <f t="shared" si="13"/>
        <v>1.016</v>
      </c>
      <c r="P123" s="105">
        <f t="shared" si="14"/>
        <v>7.111999999999993</v>
      </c>
    </row>
    <row r="124" spans="2:16" x14ac:dyDescent="0.25">
      <c r="B124" s="88" t="str">
        <f t="shared" si="15"/>
        <v>Fazenda Altenor</v>
      </c>
      <c r="C124" s="106">
        <f t="shared" si="18"/>
        <v>2019</v>
      </c>
      <c r="D124" s="101">
        <v>43683</v>
      </c>
      <c r="E124" s="102">
        <v>0.3125</v>
      </c>
      <c r="F124" s="103">
        <v>0.33333333333333331</v>
      </c>
      <c r="G124" s="103">
        <v>0.29166666666666669</v>
      </c>
      <c r="H124" s="103">
        <v>0.32291666666666669</v>
      </c>
      <c r="I124" s="90">
        <f t="shared" si="16"/>
        <v>0.49999999999999956</v>
      </c>
      <c r="J124" s="90">
        <f t="shared" si="11"/>
        <v>0.75</v>
      </c>
      <c r="K124" s="91">
        <f t="shared" si="19"/>
        <v>0.66666666666666663</v>
      </c>
      <c r="L124" s="91">
        <f t="shared" si="20"/>
        <v>4.375</v>
      </c>
      <c r="M124" s="29">
        <f t="shared" si="17"/>
        <v>20</v>
      </c>
      <c r="N124" s="92">
        <f t="shared" si="12"/>
        <v>0.49999999999999956</v>
      </c>
      <c r="O124" s="104">
        <f t="shared" si="13"/>
        <v>1.016</v>
      </c>
      <c r="P124" s="105">
        <f t="shared" si="14"/>
        <v>7.111999999999993</v>
      </c>
    </row>
    <row r="125" spans="2:16" x14ac:dyDescent="0.25">
      <c r="B125" s="88" t="str">
        <f t="shared" si="15"/>
        <v>Fazenda Altenor</v>
      </c>
      <c r="C125" s="106">
        <f t="shared" si="18"/>
        <v>2019</v>
      </c>
      <c r="D125" s="101">
        <v>43684</v>
      </c>
      <c r="E125" s="102">
        <v>0.33333333333333331</v>
      </c>
      <c r="F125" s="103">
        <v>0.35416666666666669</v>
      </c>
      <c r="G125" s="103">
        <v>0.33333333333333331</v>
      </c>
      <c r="H125" s="103">
        <v>0.375</v>
      </c>
      <c r="I125" s="90">
        <f t="shared" si="16"/>
        <v>0.50000000000000089</v>
      </c>
      <c r="J125" s="90">
        <f t="shared" si="11"/>
        <v>1.0000000000000004</v>
      </c>
      <c r="K125" s="91">
        <f t="shared" si="19"/>
        <v>0.66666666666666663</v>
      </c>
      <c r="L125" s="91">
        <f t="shared" si="20"/>
        <v>4.375</v>
      </c>
      <c r="M125" s="29">
        <f t="shared" si="17"/>
        <v>20</v>
      </c>
      <c r="N125" s="92">
        <f t="shared" si="12"/>
        <v>0.50000000000000089</v>
      </c>
      <c r="O125" s="104">
        <f t="shared" si="13"/>
        <v>1.016</v>
      </c>
      <c r="P125" s="105">
        <f t="shared" si="14"/>
        <v>7.1120000000000116</v>
      </c>
    </row>
    <row r="126" spans="2:16" x14ac:dyDescent="0.25">
      <c r="B126" s="88" t="str">
        <f t="shared" si="15"/>
        <v>Fazenda Altenor</v>
      </c>
      <c r="C126" s="106">
        <f t="shared" si="18"/>
        <v>2019</v>
      </c>
      <c r="D126" s="101">
        <v>43685</v>
      </c>
      <c r="E126" s="102">
        <v>0.32291666666666669</v>
      </c>
      <c r="F126" s="103">
        <v>0.36805555555555558</v>
      </c>
      <c r="G126" s="103">
        <v>0.33333333333333331</v>
      </c>
      <c r="H126" s="103">
        <v>0.375</v>
      </c>
      <c r="I126" s="90">
        <f t="shared" si="16"/>
        <v>1.0833333333333335</v>
      </c>
      <c r="J126" s="90">
        <f t="shared" si="11"/>
        <v>1.0000000000000004</v>
      </c>
      <c r="K126" s="91">
        <f t="shared" si="19"/>
        <v>0.66666666666666663</v>
      </c>
      <c r="L126" s="91">
        <f t="shared" si="20"/>
        <v>4.375</v>
      </c>
      <c r="M126" s="29">
        <f t="shared" si="17"/>
        <v>20</v>
      </c>
      <c r="N126" s="92">
        <f t="shared" si="12"/>
        <v>1.0833333333333335</v>
      </c>
      <c r="O126" s="104">
        <f t="shared" si="13"/>
        <v>1.016</v>
      </c>
      <c r="P126" s="105">
        <f t="shared" si="14"/>
        <v>15.409333333333336</v>
      </c>
    </row>
    <row r="127" spans="2:16" x14ac:dyDescent="0.25">
      <c r="B127" s="88" t="str">
        <f t="shared" si="15"/>
        <v>Fazenda Altenor</v>
      </c>
      <c r="C127" s="106">
        <f t="shared" si="18"/>
        <v>2019</v>
      </c>
      <c r="D127" s="101">
        <v>43686</v>
      </c>
      <c r="E127" s="102">
        <v>0.35416666666666669</v>
      </c>
      <c r="F127" s="103">
        <v>0.375</v>
      </c>
      <c r="G127" s="103">
        <v>0.35416666666666669</v>
      </c>
      <c r="H127" s="103">
        <v>0.39583333333333331</v>
      </c>
      <c r="I127" s="90">
        <f t="shared" si="16"/>
        <v>0.49999999999999956</v>
      </c>
      <c r="J127" s="90">
        <f t="shared" si="11"/>
        <v>0.99999999999999911</v>
      </c>
      <c r="K127" s="91">
        <f t="shared" si="19"/>
        <v>0.66666666666666663</v>
      </c>
      <c r="L127" s="91">
        <f t="shared" si="20"/>
        <v>4.375</v>
      </c>
      <c r="M127" s="29">
        <f t="shared" si="17"/>
        <v>20</v>
      </c>
      <c r="N127" s="92">
        <f t="shared" si="12"/>
        <v>0.49999999999999956</v>
      </c>
      <c r="O127" s="104">
        <f t="shared" si="13"/>
        <v>1.016</v>
      </c>
      <c r="P127" s="105">
        <f t="shared" si="14"/>
        <v>7.111999999999993</v>
      </c>
    </row>
    <row r="128" spans="2:16" x14ac:dyDescent="0.25">
      <c r="B128" s="88" t="str">
        <f t="shared" si="15"/>
        <v>Fazenda Altenor</v>
      </c>
      <c r="C128" s="106">
        <f t="shared" si="18"/>
        <v>2019</v>
      </c>
      <c r="D128" s="101">
        <v>43687</v>
      </c>
      <c r="E128" s="102">
        <v>0.29166666666666669</v>
      </c>
      <c r="F128" s="103">
        <v>0.3125</v>
      </c>
      <c r="G128" s="103">
        <v>0.29166666666666669</v>
      </c>
      <c r="H128" s="103">
        <v>0.33333333333333331</v>
      </c>
      <c r="I128" s="90">
        <f t="shared" si="16"/>
        <v>0.49999999999999956</v>
      </c>
      <c r="J128" s="90">
        <f t="shared" si="11"/>
        <v>0.99999999999999911</v>
      </c>
      <c r="K128" s="91">
        <f t="shared" si="19"/>
        <v>0.66666666666666663</v>
      </c>
      <c r="L128" s="91">
        <f t="shared" si="20"/>
        <v>4.375</v>
      </c>
      <c r="M128" s="29">
        <f t="shared" si="17"/>
        <v>20</v>
      </c>
      <c r="N128" s="92">
        <f t="shared" si="12"/>
        <v>0.49999999999999956</v>
      </c>
      <c r="O128" s="104">
        <f t="shared" si="13"/>
        <v>1.016</v>
      </c>
      <c r="P128" s="105">
        <f t="shared" si="14"/>
        <v>7.111999999999993</v>
      </c>
    </row>
    <row r="129" spans="2:16" x14ac:dyDescent="0.25">
      <c r="B129" s="88" t="str">
        <f t="shared" si="15"/>
        <v>Fazenda Altenor</v>
      </c>
      <c r="C129" s="106">
        <f t="shared" si="18"/>
        <v>2019</v>
      </c>
      <c r="D129" s="101">
        <v>43688</v>
      </c>
      <c r="E129" s="102">
        <v>0.33333333333333331</v>
      </c>
      <c r="F129" s="103">
        <v>0.35416666666666669</v>
      </c>
      <c r="G129" s="103">
        <v>0.33333333333333331</v>
      </c>
      <c r="H129" s="103">
        <v>0.375</v>
      </c>
      <c r="I129" s="90">
        <f t="shared" si="16"/>
        <v>0.50000000000000089</v>
      </c>
      <c r="J129" s="90">
        <f t="shared" si="11"/>
        <v>1.0000000000000004</v>
      </c>
      <c r="K129" s="91">
        <f t="shared" si="19"/>
        <v>0.66666666666666663</v>
      </c>
      <c r="L129" s="91">
        <f t="shared" si="20"/>
        <v>4.375</v>
      </c>
      <c r="M129" s="29">
        <f t="shared" si="17"/>
        <v>20</v>
      </c>
      <c r="N129" s="92">
        <f t="shared" si="12"/>
        <v>0.50000000000000089</v>
      </c>
      <c r="O129" s="104">
        <f t="shared" si="13"/>
        <v>1.016</v>
      </c>
      <c r="P129" s="105">
        <f t="shared" si="14"/>
        <v>7.1120000000000116</v>
      </c>
    </row>
    <row r="130" spans="2:16" x14ac:dyDescent="0.25">
      <c r="B130" s="88" t="str">
        <f t="shared" si="15"/>
        <v>Fazenda Altenor</v>
      </c>
      <c r="C130" s="106">
        <f t="shared" si="18"/>
        <v>2019</v>
      </c>
      <c r="D130" s="101">
        <v>43689</v>
      </c>
      <c r="E130" s="102">
        <v>0.3125</v>
      </c>
      <c r="F130" s="103">
        <v>0.33333333333333331</v>
      </c>
      <c r="G130" s="103">
        <v>0.3125</v>
      </c>
      <c r="H130" s="103">
        <v>0.36458333333333331</v>
      </c>
      <c r="I130" s="90">
        <f t="shared" si="16"/>
        <v>0.49999999999999956</v>
      </c>
      <c r="J130" s="90">
        <f t="shared" si="11"/>
        <v>1.2499999999999996</v>
      </c>
      <c r="K130" s="91">
        <f t="shared" si="19"/>
        <v>0.66666666666666663</v>
      </c>
      <c r="L130" s="91">
        <f t="shared" si="20"/>
        <v>4.375</v>
      </c>
      <c r="M130" s="29">
        <f t="shared" si="17"/>
        <v>20</v>
      </c>
      <c r="N130" s="92">
        <f t="shared" si="12"/>
        <v>0.49999999999999956</v>
      </c>
      <c r="O130" s="104">
        <f t="shared" si="13"/>
        <v>1.016</v>
      </c>
      <c r="P130" s="105">
        <f t="shared" si="14"/>
        <v>7.111999999999993</v>
      </c>
    </row>
    <row r="131" spans="2:16" x14ac:dyDescent="0.25">
      <c r="B131" s="88" t="str">
        <f t="shared" si="15"/>
        <v>Fazenda Altenor</v>
      </c>
      <c r="C131" s="106">
        <f t="shared" si="18"/>
        <v>2019</v>
      </c>
      <c r="D131" s="101">
        <v>43690</v>
      </c>
      <c r="E131" s="102">
        <v>0.375</v>
      </c>
      <c r="F131" s="103">
        <v>0.39583333333333331</v>
      </c>
      <c r="G131" s="103">
        <v>0.375</v>
      </c>
      <c r="H131" s="103">
        <v>0.41666666666666669</v>
      </c>
      <c r="I131" s="90">
        <f t="shared" si="16"/>
        <v>0.49999999999999956</v>
      </c>
      <c r="J131" s="90">
        <f t="shared" si="11"/>
        <v>1.0000000000000004</v>
      </c>
      <c r="K131" s="91">
        <f t="shared" si="19"/>
        <v>0.66666666666666663</v>
      </c>
      <c r="L131" s="91">
        <f t="shared" si="20"/>
        <v>4.375</v>
      </c>
      <c r="M131" s="29">
        <f t="shared" si="17"/>
        <v>20</v>
      </c>
      <c r="N131" s="92">
        <f t="shared" si="12"/>
        <v>0.49999999999999956</v>
      </c>
      <c r="O131" s="104">
        <f t="shared" si="13"/>
        <v>1.016</v>
      </c>
      <c r="P131" s="105">
        <f t="shared" si="14"/>
        <v>7.111999999999993</v>
      </c>
    </row>
    <row r="132" spans="2:16" x14ac:dyDescent="0.25">
      <c r="B132" s="88" t="str">
        <f t="shared" si="15"/>
        <v>Fazenda Altenor</v>
      </c>
      <c r="C132" s="106">
        <f t="shared" si="18"/>
        <v>2019</v>
      </c>
      <c r="D132" s="101">
        <v>43691</v>
      </c>
      <c r="E132" s="102">
        <v>0.35416666666666669</v>
      </c>
      <c r="F132" s="103">
        <v>0.375</v>
      </c>
      <c r="G132" s="103">
        <v>0.35416666666666669</v>
      </c>
      <c r="H132" s="103">
        <v>0.39583333333333331</v>
      </c>
      <c r="I132" s="90">
        <f t="shared" si="16"/>
        <v>0.49999999999999956</v>
      </c>
      <c r="J132" s="90">
        <f t="shared" si="11"/>
        <v>0.99999999999999911</v>
      </c>
      <c r="K132" s="91">
        <f t="shared" si="19"/>
        <v>0.66666666666666663</v>
      </c>
      <c r="L132" s="91">
        <f t="shared" si="20"/>
        <v>4.375</v>
      </c>
      <c r="M132" s="29">
        <f t="shared" si="17"/>
        <v>20</v>
      </c>
      <c r="N132" s="92">
        <f t="shared" si="12"/>
        <v>0.49999999999999956</v>
      </c>
      <c r="O132" s="104">
        <f t="shared" si="13"/>
        <v>1.016</v>
      </c>
      <c r="P132" s="105">
        <f t="shared" si="14"/>
        <v>7.111999999999993</v>
      </c>
    </row>
    <row r="133" spans="2:16" x14ac:dyDescent="0.25">
      <c r="B133" s="88" t="str">
        <f t="shared" si="15"/>
        <v>Fazenda Altenor</v>
      </c>
      <c r="C133" s="106">
        <f t="shared" si="18"/>
        <v>2019</v>
      </c>
      <c r="D133" s="101">
        <v>43692</v>
      </c>
      <c r="E133" s="102">
        <v>0.39583333333333331</v>
      </c>
      <c r="F133" s="103">
        <v>0.41666666666666669</v>
      </c>
      <c r="G133" s="103">
        <v>0.39583333333333331</v>
      </c>
      <c r="H133" s="103">
        <v>0.4375</v>
      </c>
      <c r="I133" s="90">
        <f t="shared" si="16"/>
        <v>0.50000000000000089</v>
      </c>
      <c r="J133" s="90">
        <f t="shared" si="11"/>
        <v>1.0000000000000004</v>
      </c>
      <c r="K133" s="91">
        <f t="shared" si="19"/>
        <v>0.66666666666666663</v>
      </c>
      <c r="L133" s="91">
        <f t="shared" si="20"/>
        <v>4.375</v>
      </c>
      <c r="M133" s="29">
        <f t="shared" si="17"/>
        <v>20</v>
      </c>
      <c r="N133" s="92">
        <f t="shared" si="12"/>
        <v>0.50000000000000089</v>
      </c>
      <c r="O133" s="104">
        <f t="shared" si="13"/>
        <v>1.016</v>
      </c>
      <c r="P133" s="105">
        <f t="shared" si="14"/>
        <v>7.1120000000000116</v>
      </c>
    </row>
    <row r="134" spans="2:16" x14ac:dyDescent="0.25">
      <c r="B134" s="88" t="str">
        <f t="shared" si="15"/>
        <v>Fazenda Altenor</v>
      </c>
      <c r="C134" s="106">
        <f t="shared" si="18"/>
        <v>2019</v>
      </c>
      <c r="D134" s="101">
        <v>43693</v>
      </c>
      <c r="E134" s="102"/>
      <c r="F134" s="103"/>
      <c r="G134" s="103"/>
      <c r="H134" s="103"/>
      <c r="I134" s="90">
        <f t="shared" si="16"/>
        <v>0</v>
      </c>
      <c r="J134" s="90">
        <f t="shared" si="11"/>
        <v>0</v>
      </c>
      <c r="K134" s="91">
        <f t="shared" si="19"/>
        <v>0.66666666666666663</v>
      </c>
      <c r="L134" s="91">
        <f t="shared" si="20"/>
        <v>4.375</v>
      </c>
      <c r="M134" s="29">
        <f t="shared" si="17"/>
        <v>20</v>
      </c>
      <c r="N134" s="92">
        <f t="shared" si="12"/>
        <v>0</v>
      </c>
      <c r="O134" s="104">
        <f t="shared" si="13"/>
        <v>1.016</v>
      </c>
      <c r="P134" s="105">
        <f t="shared" si="14"/>
        <v>0</v>
      </c>
    </row>
    <row r="135" spans="2:16" x14ac:dyDescent="0.25">
      <c r="B135" s="88" t="str">
        <f t="shared" si="15"/>
        <v>Fazenda Altenor</v>
      </c>
      <c r="C135" s="106">
        <f t="shared" si="18"/>
        <v>2019</v>
      </c>
      <c r="D135" s="101">
        <v>43694</v>
      </c>
      <c r="E135" s="102">
        <v>0.29166666666666669</v>
      </c>
      <c r="F135" s="103">
        <v>0.3125</v>
      </c>
      <c r="G135" s="103">
        <v>0.29166666666666669</v>
      </c>
      <c r="H135" s="103">
        <v>0.33333333333333331</v>
      </c>
      <c r="I135" s="90">
        <f t="shared" si="16"/>
        <v>0.49999999999999956</v>
      </c>
      <c r="J135" s="90">
        <f t="shared" si="11"/>
        <v>0.99999999999999911</v>
      </c>
      <c r="K135" s="91">
        <f t="shared" si="19"/>
        <v>0.66666666666666663</v>
      </c>
      <c r="L135" s="91">
        <f t="shared" si="20"/>
        <v>4.375</v>
      </c>
      <c r="M135" s="29">
        <f t="shared" si="17"/>
        <v>20</v>
      </c>
      <c r="N135" s="92">
        <f t="shared" si="12"/>
        <v>0.49999999999999956</v>
      </c>
      <c r="O135" s="104">
        <f t="shared" si="13"/>
        <v>1.016</v>
      </c>
      <c r="P135" s="105">
        <f t="shared" si="14"/>
        <v>7.111999999999993</v>
      </c>
    </row>
    <row r="136" spans="2:16" x14ac:dyDescent="0.25">
      <c r="B136" s="88" t="str">
        <f t="shared" si="15"/>
        <v>Fazenda Altenor</v>
      </c>
      <c r="C136" s="106">
        <f t="shared" si="18"/>
        <v>2019</v>
      </c>
      <c r="D136" s="101">
        <v>43695</v>
      </c>
      <c r="E136" s="102">
        <v>0.33333333333333331</v>
      </c>
      <c r="F136" s="103">
        <v>0.35416666666666669</v>
      </c>
      <c r="G136" s="103">
        <v>0.33333333333333331</v>
      </c>
      <c r="H136" s="103">
        <v>0.375</v>
      </c>
      <c r="I136" s="90">
        <f t="shared" si="16"/>
        <v>0.50000000000000089</v>
      </c>
      <c r="J136" s="90">
        <f t="shared" si="11"/>
        <v>1.0000000000000004</v>
      </c>
      <c r="K136" s="91">
        <f t="shared" si="19"/>
        <v>0.66666666666666663</v>
      </c>
      <c r="L136" s="91">
        <f t="shared" si="20"/>
        <v>4.375</v>
      </c>
      <c r="M136" s="29">
        <f t="shared" si="17"/>
        <v>20</v>
      </c>
      <c r="N136" s="92">
        <f t="shared" si="12"/>
        <v>0.50000000000000089</v>
      </c>
      <c r="O136" s="104">
        <f t="shared" si="13"/>
        <v>1.016</v>
      </c>
      <c r="P136" s="105">
        <f t="shared" si="14"/>
        <v>7.1120000000000116</v>
      </c>
    </row>
    <row r="137" spans="2:16" x14ac:dyDescent="0.25">
      <c r="B137" s="88" t="str">
        <f t="shared" si="15"/>
        <v>Fazenda Altenor</v>
      </c>
      <c r="C137" s="106">
        <f t="shared" si="18"/>
        <v>2019</v>
      </c>
      <c r="D137" s="101">
        <v>43696</v>
      </c>
      <c r="E137" s="102">
        <v>0.35416666666666669</v>
      </c>
      <c r="F137" s="103">
        <v>0.375</v>
      </c>
      <c r="G137" s="103">
        <v>0.35416666666666669</v>
      </c>
      <c r="H137" s="103">
        <v>0.39583333333333331</v>
      </c>
      <c r="I137" s="90">
        <f t="shared" si="16"/>
        <v>0.49999999999999956</v>
      </c>
      <c r="J137" s="90">
        <f t="shared" si="11"/>
        <v>0.99999999999999911</v>
      </c>
      <c r="K137" s="91">
        <f t="shared" si="19"/>
        <v>0.66666666666666663</v>
      </c>
      <c r="L137" s="91">
        <f t="shared" si="20"/>
        <v>4.375</v>
      </c>
      <c r="M137" s="29">
        <f t="shared" si="17"/>
        <v>20</v>
      </c>
      <c r="N137" s="92">
        <f t="shared" si="12"/>
        <v>0.49999999999999956</v>
      </c>
      <c r="O137" s="104">
        <f t="shared" si="13"/>
        <v>1.016</v>
      </c>
      <c r="P137" s="105">
        <f t="shared" si="14"/>
        <v>7.111999999999993</v>
      </c>
    </row>
    <row r="138" spans="2:16" x14ac:dyDescent="0.25">
      <c r="B138" s="88" t="str">
        <f t="shared" si="15"/>
        <v>Fazenda Altenor</v>
      </c>
      <c r="C138" s="106">
        <f t="shared" si="18"/>
        <v>2019</v>
      </c>
      <c r="D138" s="101">
        <v>43697</v>
      </c>
      <c r="E138" s="102">
        <v>0.375</v>
      </c>
      <c r="F138" s="103">
        <v>0.39583333333333331</v>
      </c>
      <c r="G138" s="103">
        <v>0.375</v>
      </c>
      <c r="H138" s="103">
        <v>0.41666666666666669</v>
      </c>
      <c r="I138" s="90">
        <f t="shared" si="16"/>
        <v>0.49999999999999956</v>
      </c>
      <c r="J138" s="90">
        <f t="shared" si="11"/>
        <v>1.0000000000000004</v>
      </c>
      <c r="K138" s="91">
        <f t="shared" si="19"/>
        <v>0.66666666666666663</v>
      </c>
      <c r="L138" s="91">
        <f t="shared" si="20"/>
        <v>4.375</v>
      </c>
      <c r="M138" s="29">
        <f t="shared" si="17"/>
        <v>20</v>
      </c>
      <c r="N138" s="92">
        <f t="shared" si="12"/>
        <v>0.49999999999999956</v>
      </c>
      <c r="O138" s="104">
        <f t="shared" si="13"/>
        <v>1.016</v>
      </c>
      <c r="P138" s="105">
        <f t="shared" si="14"/>
        <v>7.111999999999993</v>
      </c>
    </row>
    <row r="139" spans="2:16" x14ac:dyDescent="0.25">
      <c r="B139" s="88" t="str">
        <f t="shared" si="15"/>
        <v>Fazenda Altenor</v>
      </c>
      <c r="C139" s="106">
        <f t="shared" si="18"/>
        <v>2019</v>
      </c>
      <c r="D139" s="101">
        <v>43698</v>
      </c>
      <c r="E139" s="102">
        <v>0.29166666666666669</v>
      </c>
      <c r="F139" s="103">
        <v>0.3125</v>
      </c>
      <c r="G139" s="103">
        <v>0.29166666666666669</v>
      </c>
      <c r="H139" s="103">
        <v>0.33333333333333331</v>
      </c>
      <c r="I139" s="90">
        <f t="shared" si="16"/>
        <v>0.49999999999999956</v>
      </c>
      <c r="J139" s="90">
        <f t="shared" si="11"/>
        <v>0.99999999999999911</v>
      </c>
      <c r="K139" s="91">
        <f t="shared" si="19"/>
        <v>0.66666666666666663</v>
      </c>
      <c r="L139" s="91">
        <f t="shared" si="20"/>
        <v>4.375</v>
      </c>
      <c r="M139" s="29">
        <f t="shared" si="17"/>
        <v>20</v>
      </c>
      <c r="N139" s="92">
        <f t="shared" si="12"/>
        <v>0.49999999999999956</v>
      </c>
      <c r="O139" s="104">
        <f t="shared" si="13"/>
        <v>1.016</v>
      </c>
      <c r="P139" s="105">
        <f t="shared" si="14"/>
        <v>7.111999999999993</v>
      </c>
    </row>
    <row r="140" spans="2:16" x14ac:dyDescent="0.25">
      <c r="B140" s="88" t="str">
        <f t="shared" si="15"/>
        <v>Fazenda Altenor</v>
      </c>
      <c r="C140" s="106">
        <f t="shared" si="18"/>
        <v>2019</v>
      </c>
      <c r="D140" s="101">
        <v>43699</v>
      </c>
      <c r="E140" s="102">
        <v>0.29166666666666669</v>
      </c>
      <c r="F140" s="103">
        <v>0.3125</v>
      </c>
      <c r="G140" s="103">
        <v>0.29166666666666669</v>
      </c>
      <c r="H140" s="103">
        <v>0.33333333333333331</v>
      </c>
      <c r="I140" s="90">
        <f t="shared" si="16"/>
        <v>0.49999999999999956</v>
      </c>
      <c r="J140" s="90">
        <f t="shared" si="11"/>
        <v>0.99999999999999911</v>
      </c>
      <c r="K140" s="91">
        <f t="shared" si="19"/>
        <v>0.66666666666666663</v>
      </c>
      <c r="L140" s="91">
        <f t="shared" si="20"/>
        <v>4.375</v>
      </c>
      <c r="M140" s="29">
        <f t="shared" si="17"/>
        <v>20</v>
      </c>
      <c r="N140" s="92">
        <f t="shared" si="12"/>
        <v>0.49999999999999956</v>
      </c>
      <c r="O140" s="104">
        <f t="shared" si="13"/>
        <v>1.016</v>
      </c>
      <c r="P140" s="105">
        <f t="shared" si="14"/>
        <v>7.111999999999993</v>
      </c>
    </row>
    <row r="141" spans="2:16" x14ac:dyDescent="0.25">
      <c r="B141" s="88" t="str">
        <f t="shared" si="15"/>
        <v>Fazenda Altenor</v>
      </c>
      <c r="C141" s="106">
        <f t="shared" si="18"/>
        <v>2019</v>
      </c>
      <c r="D141" s="101">
        <v>43700</v>
      </c>
      <c r="E141" s="102">
        <v>0.33333333333333331</v>
      </c>
      <c r="F141" s="103">
        <v>0.35416666666666669</v>
      </c>
      <c r="G141" s="103">
        <v>0.33333333333333331</v>
      </c>
      <c r="H141" s="103">
        <v>0.375</v>
      </c>
      <c r="I141" s="90">
        <f t="shared" si="16"/>
        <v>0.50000000000000089</v>
      </c>
      <c r="J141" s="90">
        <f t="shared" si="11"/>
        <v>1.0000000000000004</v>
      </c>
      <c r="K141" s="91">
        <f t="shared" si="19"/>
        <v>0.66666666666666663</v>
      </c>
      <c r="L141" s="91">
        <f t="shared" si="20"/>
        <v>4.375</v>
      </c>
      <c r="M141" s="29">
        <f t="shared" si="17"/>
        <v>20</v>
      </c>
      <c r="N141" s="92">
        <f t="shared" si="12"/>
        <v>0.50000000000000089</v>
      </c>
      <c r="O141" s="104">
        <f t="shared" si="13"/>
        <v>1.016</v>
      </c>
      <c r="P141" s="105">
        <f t="shared" si="14"/>
        <v>7.1120000000000116</v>
      </c>
    </row>
    <row r="142" spans="2:16" x14ac:dyDescent="0.25">
      <c r="B142" s="88" t="str">
        <f t="shared" si="15"/>
        <v>Fazenda Altenor</v>
      </c>
      <c r="C142" s="106">
        <f t="shared" si="18"/>
        <v>2019</v>
      </c>
      <c r="D142" s="101">
        <v>43701</v>
      </c>
      <c r="E142" s="102">
        <v>0.3125</v>
      </c>
      <c r="F142" s="103">
        <v>0.33333333333333331</v>
      </c>
      <c r="G142" s="103">
        <v>0.3125</v>
      </c>
      <c r="H142" s="103">
        <v>0.35416666666666669</v>
      </c>
      <c r="I142" s="90">
        <f t="shared" si="16"/>
        <v>0.49999999999999956</v>
      </c>
      <c r="J142" s="90">
        <f t="shared" si="11"/>
        <v>1.0000000000000004</v>
      </c>
      <c r="K142" s="91">
        <f t="shared" si="19"/>
        <v>0.66666666666666663</v>
      </c>
      <c r="L142" s="91">
        <f t="shared" si="20"/>
        <v>4.375</v>
      </c>
      <c r="M142" s="29">
        <f t="shared" si="17"/>
        <v>20</v>
      </c>
      <c r="N142" s="92">
        <f t="shared" si="12"/>
        <v>0.49999999999999956</v>
      </c>
      <c r="O142" s="104">
        <f t="shared" si="13"/>
        <v>1.016</v>
      </c>
      <c r="P142" s="105">
        <f t="shared" si="14"/>
        <v>7.111999999999993</v>
      </c>
    </row>
    <row r="143" spans="2:16" x14ac:dyDescent="0.25">
      <c r="B143" s="88" t="str">
        <f t="shared" si="15"/>
        <v>Fazenda Altenor</v>
      </c>
      <c r="C143" s="106">
        <f t="shared" si="18"/>
        <v>2019</v>
      </c>
      <c r="D143" s="101">
        <v>43702</v>
      </c>
      <c r="E143" s="102">
        <v>0.33333333333333331</v>
      </c>
      <c r="F143" s="103">
        <v>0.35416666666666669</v>
      </c>
      <c r="G143" s="103">
        <v>0.35416666666666669</v>
      </c>
      <c r="H143" s="103">
        <v>0.375</v>
      </c>
      <c r="I143" s="90">
        <f t="shared" si="16"/>
        <v>0.50000000000000089</v>
      </c>
      <c r="J143" s="90">
        <f t="shared" si="11"/>
        <v>0.49999999999999956</v>
      </c>
      <c r="K143" s="91">
        <f t="shared" si="19"/>
        <v>0.66666666666666663</v>
      </c>
      <c r="L143" s="91">
        <f t="shared" si="20"/>
        <v>4.375</v>
      </c>
      <c r="M143" s="29">
        <f t="shared" si="17"/>
        <v>20</v>
      </c>
      <c r="N143" s="92">
        <f t="shared" si="12"/>
        <v>0.50000000000000089</v>
      </c>
      <c r="O143" s="104">
        <f t="shared" si="13"/>
        <v>1.016</v>
      </c>
      <c r="P143" s="105">
        <f t="shared" si="14"/>
        <v>7.1120000000000116</v>
      </c>
    </row>
    <row r="144" spans="2:16" x14ac:dyDescent="0.25">
      <c r="B144" s="88" t="str">
        <f t="shared" si="15"/>
        <v>Fazenda Altenor</v>
      </c>
      <c r="C144" s="106">
        <f t="shared" si="18"/>
        <v>2019</v>
      </c>
      <c r="D144" s="101">
        <v>43703</v>
      </c>
      <c r="E144" s="102">
        <v>0.375</v>
      </c>
      <c r="F144" s="103">
        <v>0.39583333333333331</v>
      </c>
      <c r="G144" s="103">
        <v>0.375</v>
      </c>
      <c r="H144" s="103">
        <v>0.41666666666666669</v>
      </c>
      <c r="I144" s="90">
        <f t="shared" si="16"/>
        <v>0.49999999999999956</v>
      </c>
      <c r="J144" s="90">
        <f t="shared" si="11"/>
        <v>1.0000000000000004</v>
      </c>
      <c r="K144" s="91">
        <f t="shared" si="19"/>
        <v>0.66666666666666663</v>
      </c>
      <c r="L144" s="91">
        <f t="shared" si="20"/>
        <v>4.375</v>
      </c>
      <c r="M144" s="29">
        <f t="shared" si="17"/>
        <v>20</v>
      </c>
      <c r="N144" s="92">
        <f t="shared" si="12"/>
        <v>0.49999999999999956</v>
      </c>
      <c r="O144" s="104">
        <f t="shared" si="13"/>
        <v>1.016</v>
      </c>
      <c r="P144" s="105">
        <f t="shared" si="14"/>
        <v>7.111999999999993</v>
      </c>
    </row>
    <row r="145" spans="2:16" x14ac:dyDescent="0.25">
      <c r="B145" s="88" t="str">
        <f t="shared" si="15"/>
        <v>Fazenda Altenor</v>
      </c>
      <c r="C145" s="106">
        <f t="shared" si="18"/>
        <v>2019</v>
      </c>
      <c r="D145" s="101">
        <v>43704</v>
      </c>
      <c r="E145" s="102">
        <v>0.29166666666666669</v>
      </c>
      <c r="F145" s="103">
        <v>0.3125</v>
      </c>
      <c r="G145" s="103">
        <v>0.29166666666666669</v>
      </c>
      <c r="H145" s="103">
        <v>0.33333333333333331</v>
      </c>
      <c r="I145" s="90">
        <f t="shared" si="16"/>
        <v>0.49999999999999956</v>
      </c>
      <c r="J145" s="90">
        <f t="shared" si="11"/>
        <v>0.99999999999999911</v>
      </c>
      <c r="K145" s="91">
        <f t="shared" si="19"/>
        <v>0.66666666666666663</v>
      </c>
      <c r="L145" s="91">
        <f t="shared" si="20"/>
        <v>4.375</v>
      </c>
      <c r="M145" s="29">
        <f t="shared" si="17"/>
        <v>20</v>
      </c>
      <c r="N145" s="92">
        <f t="shared" si="12"/>
        <v>0.49999999999999956</v>
      </c>
      <c r="O145" s="104">
        <f t="shared" si="13"/>
        <v>1.016</v>
      </c>
      <c r="P145" s="105">
        <f t="shared" si="14"/>
        <v>7.111999999999993</v>
      </c>
    </row>
    <row r="146" spans="2:16" x14ac:dyDescent="0.25">
      <c r="B146" s="88" t="str">
        <f t="shared" si="15"/>
        <v>Fazenda Altenor</v>
      </c>
      <c r="C146" s="106">
        <f t="shared" si="18"/>
        <v>2019</v>
      </c>
      <c r="D146" s="101">
        <v>43705</v>
      </c>
      <c r="E146" s="102">
        <v>0.35416666666666669</v>
      </c>
      <c r="F146" s="103">
        <v>0.375</v>
      </c>
      <c r="G146" s="103">
        <v>0.35416666666666669</v>
      </c>
      <c r="H146" s="103">
        <v>0.39583333333333331</v>
      </c>
      <c r="I146" s="90">
        <f t="shared" si="16"/>
        <v>0.49999999999999956</v>
      </c>
      <c r="J146" s="90">
        <f t="shared" si="11"/>
        <v>0.99999999999999911</v>
      </c>
      <c r="K146" s="91">
        <f t="shared" si="19"/>
        <v>0.66666666666666663</v>
      </c>
      <c r="L146" s="91">
        <f t="shared" si="20"/>
        <v>4.375</v>
      </c>
      <c r="M146" s="29">
        <f t="shared" si="17"/>
        <v>20</v>
      </c>
      <c r="N146" s="92">
        <f t="shared" si="12"/>
        <v>0.49999999999999956</v>
      </c>
      <c r="O146" s="104">
        <f t="shared" si="13"/>
        <v>1.016</v>
      </c>
      <c r="P146" s="105">
        <f t="shared" si="14"/>
        <v>7.111999999999993</v>
      </c>
    </row>
    <row r="147" spans="2:16" x14ac:dyDescent="0.25">
      <c r="B147" s="88" t="str">
        <f t="shared" si="15"/>
        <v>Fazenda Altenor</v>
      </c>
      <c r="C147" s="106">
        <f t="shared" si="18"/>
        <v>2019</v>
      </c>
      <c r="D147" s="101">
        <v>43706</v>
      </c>
      <c r="E147" s="102"/>
      <c r="F147" s="103"/>
      <c r="G147" s="103"/>
      <c r="H147" s="103"/>
      <c r="I147" s="90">
        <f t="shared" si="16"/>
        <v>0</v>
      </c>
      <c r="J147" s="90">
        <f t="shared" si="11"/>
        <v>0</v>
      </c>
      <c r="K147" s="91">
        <f t="shared" si="19"/>
        <v>0.66666666666666663</v>
      </c>
      <c r="L147" s="91">
        <f t="shared" si="20"/>
        <v>4.375</v>
      </c>
      <c r="M147" s="29">
        <f t="shared" si="17"/>
        <v>20</v>
      </c>
      <c r="N147" s="92">
        <f t="shared" si="12"/>
        <v>0</v>
      </c>
      <c r="O147" s="104">
        <f t="shared" si="13"/>
        <v>1.016</v>
      </c>
      <c r="P147" s="105">
        <f t="shared" si="14"/>
        <v>0</v>
      </c>
    </row>
    <row r="148" spans="2:16" x14ac:dyDescent="0.25">
      <c r="B148" s="88" t="str">
        <f t="shared" si="15"/>
        <v>Fazenda Altenor</v>
      </c>
      <c r="C148" s="106">
        <f t="shared" si="18"/>
        <v>2019</v>
      </c>
      <c r="D148" s="101">
        <v>43707</v>
      </c>
      <c r="E148" s="102">
        <v>0.3125</v>
      </c>
      <c r="F148" s="103">
        <v>0.33333333333333331</v>
      </c>
      <c r="G148" s="103">
        <v>0.3125</v>
      </c>
      <c r="H148" s="103">
        <v>0.35416666666666669</v>
      </c>
      <c r="I148" s="90">
        <f t="shared" si="16"/>
        <v>0.49999999999999956</v>
      </c>
      <c r="J148" s="90">
        <f t="shared" si="11"/>
        <v>1.0000000000000004</v>
      </c>
      <c r="K148" s="91">
        <f t="shared" si="19"/>
        <v>0.66666666666666663</v>
      </c>
      <c r="L148" s="91">
        <f t="shared" si="20"/>
        <v>4.375</v>
      </c>
      <c r="M148" s="29">
        <f t="shared" si="17"/>
        <v>20</v>
      </c>
      <c r="N148" s="92">
        <f t="shared" si="12"/>
        <v>0.49999999999999956</v>
      </c>
      <c r="O148" s="104">
        <f t="shared" si="13"/>
        <v>1.016</v>
      </c>
      <c r="P148" s="105">
        <f t="shared" si="14"/>
        <v>7.111999999999993</v>
      </c>
    </row>
    <row r="149" spans="2:16" x14ac:dyDescent="0.25">
      <c r="B149" s="88" t="str">
        <f t="shared" si="15"/>
        <v>Fazenda Altenor</v>
      </c>
      <c r="C149" s="106">
        <f t="shared" si="18"/>
        <v>2019</v>
      </c>
      <c r="D149" s="101">
        <v>43708</v>
      </c>
      <c r="E149" s="102">
        <v>0.375</v>
      </c>
      <c r="F149" s="103">
        <v>0.39583333333333331</v>
      </c>
      <c r="G149" s="103">
        <v>0.375</v>
      </c>
      <c r="H149" s="103">
        <v>0.41666666666666669</v>
      </c>
      <c r="I149" s="90">
        <f t="shared" si="16"/>
        <v>0.49999999999999956</v>
      </c>
      <c r="J149" s="90">
        <f t="shared" si="11"/>
        <v>1.0000000000000004</v>
      </c>
      <c r="K149" s="91">
        <f t="shared" si="19"/>
        <v>0.66666666666666663</v>
      </c>
      <c r="L149" s="91">
        <f t="shared" si="20"/>
        <v>4.375</v>
      </c>
      <c r="M149" s="29">
        <f t="shared" si="17"/>
        <v>20</v>
      </c>
      <c r="N149" s="92">
        <f t="shared" si="12"/>
        <v>0.49999999999999956</v>
      </c>
      <c r="O149" s="104">
        <f t="shared" si="13"/>
        <v>1.016</v>
      </c>
      <c r="P149" s="105">
        <f t="shared" si="14"/>
        <v>7.111999999999993</v>
      </c>
    </row>
    <row r="150" spans="2:16" x14ac:dyDescent="0.25">
      <c r="B150" s="88" t="str">
        <f t="shared" si="15"/>
        <v>Fazenda Altenor</v>
      </c>
      <c r="C150" s="106">
        <f t="shared" si="18"/>
        <v>2019</v>
      </c>
      <c r="D150" s="101">
        <v>43709</v>
      </c>
      <c r="E150" s="102">
        <v>0.33333333333333331</v>
      </c>
      <c r="F150" s="103">
        <v>0.35416666666666669</v>
      </c>
      <c r="G150" s="103">
        <v>0.33333333333333331</v>
      </c>
      <c r="H150" s="103">
        <v>0.375</v>
      </c>
      <c r="I150" s="90">
        <f t="shared" si="16"/>
        <v>0.50000000000000089</v>
      </c>
      <c r="J150" s="90">
        <f t="shared" si="11"/>
        <v>1.0000000000000004</v>
      </c>
      <c r="K150" s="91">
        <f t="shared" si="19"/>
        <v>0.66666666666666663</v>
      </c>
      <c r="L150" s="91">
        <f t="shared" si="20"/>
        <v>4.375</v>
      </c>
      <c r="M150" s="29">
        <f t="shared" si="17"/>
        <v>20</v>
      </c>
      <c r="N150" s="92">
        <f t="shared" si="12"/>
        <v>0.50000000000000089</v>
      </c>
      <c r="O150" s="104">
        <f t="shared" si="13"/>
        <v>1.016</v>
      </c>
      <c r="P150" s="105">
        <f t="shared" si="14"/>
        <v>7.1120000000000116</v>
      </c>
    </row>
    <row r="151" spans="2:16" x14ac:dyDescent="0.25">
      <c r="B151" s="88" t="str">
        <f t="shared" si="15"/>
        <v>Fazenda Altenor</v>
      </c>
      <c r="C151" s="106">
        <f t="shared" si="18"/>
        <v>2019</v>
      </c>
      <c r="D151" s="101">
        <v>43710</v>
      </c>
      <c r="E151" s="102">
        <v>0.35416666666666669</v>
      </c>
      <c r="F151" s="103">
        <v>0.375</v>
      </c>
      <c r="G151" s="103">
        <v>0.35416666666666669</v>
      </c>
      <c r="H151" s="103">
        <v>0.39583333333333331</v>
      </c>
      <c r="I151" s="90">
        <f t="shared" si="16"/>
        <v>0.49999999999999956</v>
      </c>
      <c r="J151" s="90">
        <f t="shared" si="11"/>
        <v>0.99999999999999911</v>
      </c>
      <c r="K151" s="91">
        <f t="shared" si="19"/>
        <v>0.66666666666666663</v>
      </c>
      <c r="L151" s="91">
        <f t="shared" si="20"/>
        <v>4.375</v>
      </c>
      <c r="M151" s="29">
        <f t="shared" si="17"/>
        <v>20</v>
      </c>
      <c r="N151" s="92">
        <f t="shared" si="12"/>
        <v>0.49999999999999956</v>
      </c>
      <c r="O151" s="104">
        <f t="shared" si="13"/>
        <v>1.016</v>
      </c>
      <c r="P151" s="105">
        <f t="shared" si="14"/>
        <v>7.111999999999993</v>
      </c>
    </row>
    <row r="152" spans="2:16" x14ac:dyDescent="0.25">
      <c r="B152" s="88" t="str">
        <f t="shared" si="15"/>
        <v>Fazenda Altenor</v>
      </c>
      <c r="C152" s="106">
        <f t="shared" si="18"/>
        <v>2019</v>
      </c>
      <c r="D152" s="101">
        <v>43711</v>
      </c>
      <c r="E152" s="102">
        <v>0.29166666666666669</v>
      </c>
      <c r="F152" s="103">
        <v>0.3125</v>
      </c>
      <c r="G152" s="103">
        <v>0.29166666666666669</v>
      </c>
      <c r="H152" s="103">
        <v>0.34375</v>
      </c>
      <c r="I152" s="90">
        <f t="shared" si="16"/>
        <v>0.49999999999999956</v>
      </c>
      <c r="J152" s="90">
        <f t="shared" si="11"/>
        <v>1.2499999999999996</v>
      </c>
      <c r="K152" s="91">
        <f t="shared" si="19"/>
        <v>0.66666666666666663</v>
      </c>
      <c r="L152" s="91">
        <f t="shared" si="20"/>
        <v>4.375</v>
      </c>
      <c r="M152" s="29">
        <f t="shared" si="17"/>
        <v>20</v>
      </c>
      <c r="N152" s="92">
        <f t="shared" si="12"/>
        <v>0.49999999999999956</v>
      </c>
      <c r="O152" s="104">
        <f t="shared" si="13"/>
        <v>1.016</v>
      </c>
      <c r="P152" s="105">
        <f t="shared" si="14"/>
        <v>7.111999999999993</v>
      </c>
    </row>
    <row r="153" spans="2:16" x14ac:dyDescent="0.25">
      <c r="B153" s="88" t="str">
        <f t="shared" si="15"/>
        <v>Fazenda Altenor</v>
      </c>
      <c r="C153" s="106">
        <f t="shared" si="18"/>
        <v>2019</v>
      </c>
      <c r="D153" s="101">
        <v>43712</v>
      </c>
      <c r="E153" s="102">
        <v>0.33333333333333331</v>
      </c>
      <c r="F153" s="103">
        <v>0.35416666666666669</v>
      </c>
      <c r="G153" s="103">
        <v>0.33333333333333331</v>
      </c>
      <c r="H153" s="103">
        <v>0.375</v>
      </c>
      <c r="I153" s="90">
        <f t="shared" si="16"/>
        <v>0.50000000000000089</v>
      </c>
      <c r="J153" s="90">
        <f t="shared" si="11"/>
        <v>1.0000000000000004</v>
      </c>
      <c r="K153" s="91">
        <f t="shared" si="19"/>
        <v>0.66666666666666663</v>
      </c>
      <c r="L153" s="91">
        <f t="shared" si="20"/>
        <v>4.375</v>
      </c>
      <c r="M153" s="29">
        <f t="shared" si="17"/>
        <v>20</v>
      </c>
      <c r="N153" s="92">
        <f t="shared" si="12"/>
        <v>0.50000000000000089</v>
      </c>
      <c r="O153" s="104">
        <f t="shared" si="13"/>
        <v>1.016</v>
      </c>
      <c r="P153" s="105">
        <f t="shared" si="14"/>
        <v>7.1120000000000116</v>
      </c>
    </row>
    <row r="154" spans="2:16" x14ac:dyDescent="0.25">
      <c r="B154" s="88" t="str">
        <f t="shared" si="15"/>
        <v>Fazenda Altenor</v>
      </c>
      <c r="C154" s="106">
        <f t="shared" si="18"/>
        <v>2019</v>
      </c>
      <c r="D154" s="101">
        <v>43713</v>
      </c>
      <c r="E154" s="102">
        <v>0.375</v>
      </c>
      <c r="F154" s="103">
        <v>0.39583333333333331</v>
      </c>
      <c r="G154" s="103">
        <v>0.375</v>
      </c>
      <c r="H154" s="103">
        <v>0.41666666666666669</v>
      </c>
      <c r="I154" s="90">
        <f t="shared" si="16"/>
        <v>0.49999999999999956</v>
      </c>
      <c r="J154" s="90">
        <f t="shared" si="11"/>
        <v>1.0000000000000004</v>
      </c>
      <c r="K154" s="91">
        <f t="shared" si="19"/>
        <v>0.66666666666666663</v>
      </c>
      <c r="L154" s="91">
        <f t="shared" si="20"/>
        <v>4.375</v>
      </c>
      <c r="M154" s="29">
        <f t="shared" si="17"/>
        <v>20</v>
      </c>
      <c r="N154" s="92">
        <f t="shared" si="12"/>
        <v>0.49999999999999956</v>
      </c>
      <c r="O154" s="104">
        <f t="shared" si="13"/>
        <v>1.016</v>
      </c>
      <c r="P154" s="105">
        <f t="shared" si="14"/>
        <v>7.111999999999993</v>
      </c>
    </row>
    <row r="155" spans="2:16" x14ac:dyDescent="0.25">
      <c r="B155" s="88" t="str">
        <f t="shared" si="15"/>
        <v>Fazenda Altenor</v>
      </c>
      <c r="C155" s="106">
        <f t="shared" si="18"/>
        <v>2019</v>
      </c>
      <c r="D155" s="101">
        <v>43714</v>
      </c>
      <c r="E155" s="102">
        <v>0.3125</v>
      </c>
      <c r="F155" s="103">
        <v>0.33333333333333331</v>
      </c>
      <c r="G155" s="103">
        <v>0.3125</v>
      </c>
      <c r="H155" s="103">
        <v>0.36458333333333331</v>
      </c>
      <c r="I155" s="90">
        <f t="shared" si="16"/>
        <v>0.49999999999999956</v>
      </c>
      <c r="J155" s="90">
        <f t="shared" ref="J155:J218" si="21">((H155-G155)-INT($D$20))*24</f>
        <v>1.2499999999999996</v>
      </c>
      <c r="K155" s="91">
        <f t="shared" si="19"/>
        <v>0.66666666666666663</v>
      </c>
      <c r="L155" s="91">
        <f t="shared" si="20"/>
        <v>4.375</v>
      </c>
      <c r="M155" s="29">
        <f t="shared" si="17"/>
        <v>20</v>
      </c>
      <c r="N155" s="92">
        <f t="shared" ref="N155:N218" si="22">I155</f>
        <v>0.49999999999999956</v>
      </c>
      <c r="O155" s="104">
        <f t="shared" ref="O155:O218" si="23">$D$21/1000</f>
        <v>1.016</v>
      </c>
      <c r="P155" s="105">
        <f t="shared" ref="P155:P218" si="24">M155*N155*O155*0.7</f>
        <v>7.111999999999993</v>
      </c>
    </row>
    <row r="156" spans="2:16" x14ac:dyDescent="0.25">
      <c r="B156" s="88" t="str">
        <f t="shared" ref="B156:B219" si="25">$B$5</f>
        <v>Fazenda Altenor</v>
      </c>
      <c r="C156" s="106">
        <f t="shared" si="18"/>
        <v>2019</v>
      </c>
      <c r="D156" s="101">
        <v>43715</v>
      </c>
      <c r="E156" s="102">
        <v>0.29166666666666669</v>
      </c>
      <c r="F156" s="103">
        <v>0.3125</v>
      </c>
      <c r="G156" s="103">
        <v>0.29166666666666669</v>
      </c>
      <c r="H156" s="103">
        <v>0.33333333333333331</v>
      </c>
      <c r="I156" s="90">
        <f t="shared" ref="I156:I219" si="26">((F156-E156)-INT($D$20))*24</f>
        <v>0.49999999999999956</v>
      </c>
      <c r="J156" s="90">
        <f t="shared" si="21"/>
        <v>0.99999999999999911</v>
      </c>
      <c r="K156" s="91">
        <f t="shared" si="19"/>
        <v>0.66666666666666663</v>
      </c>
      <c r="L156" s="91">
        <f t="shared" si="20"/>
        <v>4.375</v>
      </c>
      <c r="M156" s="29">
        <f t="shared" ref="M156:M219" si="27">VLOOKUP(B156,$I$5:$J$17,2,FALSE)</f>
        <v>20</v>
      </c>
      <c r="N156" s="92">
        <f t="shared" si="22"/>
        <v>0.49999999999999956</v>
      </c>
      <c r="O156" s="104">
        <f t="shared" si="23"/>
        <v>1.016</v>
      </c>
      <c r="P156" s="105">
        <f t="shared" si="24"/>
        <v>7.111999999999993</v>
      </c>
    </row>
    <row r="157" spans="2:16" x14ac:dyDescent="0.25">
      <c r="B157" s="88" t="str">
        <f t="shared" si="25"/>
        <v>Fazenda Altenor</v>
      </c>
      <c r="C157" s="106">
        <f t="shared" ref="C157:C220" si="28">YEAR(D157)</f>
        <v>2019</v>
      </c>
      <c r="D157" s="101">
        <v>43716</v>
      </c>
      <c r="E157" s="102">
        <v>0.3125</v>
      </c>
      <c r="F157" s="103">
        <v>0.33333333333333331</v>
      </c>
      <c r="G157" s="103">
        <v>0.3125</v>
      </c>
      <c r="H157" s="103">
        <v>0.35416666666666669</v>
      </c>
      <c r="I157" s="90">
        <f t="shared" si="26"/>
        <v>0.49999999999999956</v>
      </c>
      <c r="J157" s="90">
        <f t="shared" si="21"/>
        <v>1.0000000000000004</v>
      </c>
      <c r="K157" s="91">
        <f t="shared" ref="K157:K220" si="29">VLOOKUP(B157,$B$5:$J$17,5,FALSE)</f>
        <v>0.66666666666666663</v>
      </c>
      <c r="L157" s="91">
        <f t="shared" ref="L157:L220" si="30">VLOOKUP(B157,$B$5:$J$17,6,FALSE)</f>
        <v>4.375</v>
      </c>
      <c r="M157" s="29">
        <f t="shared" si="27"/>
        <v>20</v>
      </c>
      <c r="N157" s="92">
        <f t="shared" si="22"/>
        <v>0.49999999999999956</v>
      </c>
      <c r="O157" s="104">
        <f t="shared" si="23"/>
        <v>1.016</v>
      </c>
      <c r="P157" s="105">
        <f t="shared" si="24"/>
        <v>7.111999999999993</v>
      </c>
    </row>
    <row r="158" spans="2:16" x14ac:dyDescent="0.25">
      <c r="B158" s="88" t="str">
        <f t="shared" si="25"/>
        <v>Fazenda Altenor</v>
      </c>
      <c r="C158" s="106">
        <f t="shared" si="28"/>
        <v>2019</v>
      </c>
      <c r="D158" s="101">
        <v>43717</v>
      </c>
      <c r="E158" s="102">
        <v>0.33333333333333331</v>
      </c>
      <c r="F158" s="103">
        <v>0.35416666666666669</v>
      </c>
      <c r="G158" s="103">
        <v>0.3125</v>
      </c>
      <c r="H158" s="103">
        <v>0.35416666666666669</v>
      </c>
      <c r="I158" s="90">
        <f t="shared" si="26"/>
        <v>0.50000000000000089</v>
      </c>
      <c r="J158" s="90">
        <f t="shared" si="21"/>
        <v>1.0000000000000004</v>
      </c>
      <c r="K158" s="91">
        <f t="shared" si="29"/>
        <v>0.66666666666666663</v>
      </c>
      <c r="L158" s="91">
        <f t="shared" si="30"/>
        <v>4.375</v>
      </c>
      <c r="M158" s="29">
        <f t="shared" si="27"/>
        <v>20</v>
      </c>
      <c r="N158" s="92">
        <f t="shared" si="22"/>
        <v>0.50000000000000089</v>
      </c>
      <c r="O158" s="104">
        <f t="shared" si="23"/>
        <v>1.016</v>
      </c>
      <c r="P158" s="105">
        <f t="shared" si="24"/>
        <v>7.1120000000000116</v>
      </c>
    </row>
    <row r="159" spans="2:16" x14ac:dyDescent="0.25">
      <c r="B159" s="88" t="str">
        <f t="shared" si="25"/>
        <v>Fazenda Altenor</v>
      </c>
      <c r="C159" s="106">
        <f t="shared" si="28"/>
        <v>2019</v>
      </c>
      <c r="D159" s="101">
        <v>43718</v>
      </c>
      <c r="E159" s="102">
        <v>0.35416666666666669</v>
      </c>
      <c r="F159" s="103">
        <v>0.375</v>
      </c>
      <c r="G159" s="103">
        <v>0.35416666666666669</v>
      </c>
      <c r="H159" s="103">
        <v>0.39583333333333331</v>
      </c>
      <c r="I159" s="90">
        <f t="shared" si="26"/>
        <v>0.49999999999999956</v>
      </c>
      <c r="J159" s="90">
        <f t="shared" si="21"/>
        <v>0.99999999999999911</v>
      </c>
      <c r="K159" s="91">
        <f t="shared" si="29"/>
        <v>0.66666666666666663</v>
      </c>
      <c r="L159" s="91">
        <f t="shared" si="30"/>
        <v>4.375</v>
      </c>
      <c r="M159" s="29">
        <f t="shared" si="27"/>
        <v>20</v>
      </c>
      <c r="N159" s="92">
        <f t="shared" si="22"/>
        <v>0.49999999999999956</v>
      </c>
      <c r="O159" s="104">
        <f t="shared" si="23"/>
        <v>1.016</v>
      </c>
      <c r="P159" s="105">
        <f t="shared" si="24"/>
        <v>7.111999999999993</v>
      </c>
    </row>
    <row r="160" spans="2:16" x14ac:dyDescent="0.25">
      <c r="B160" s="88" t="str">
        <f t="shared" si="25"/>
        <v>Fazenda Altenor</v>
      </c>
      <c r="C160" s="106">
        <f t="shared" si="28"/>
        <v>2019</v>
      </c>
      <c r="D160" s="101">
        <v>43719</v>
      </c>
      <c r="E160" s="102">
        <v>0.375</v>
      </c>
      <c r="F160" s="103">
        <v>0.39583333333333331</v>
      </c>
      <c r="G160" s="103">
        <v>0.375</v>
      </c>
      <c r="H160" s="103">
        <v>0.41666666666666669</v>
      </c>
      <c r="I160" s="90">
        <f t="shared" si="26"/>
        <v>0.49999999999999956</v>
      </c>
      <c r="J160" s="90">
        <f t="shared" si="21"/>
        <v>1.0000000000000004</v>
      </c>
      <c r="K160" s="91">
        <f t="shared" si="29"/>
        <v>0.66666666666666663</v>
      </c>
      <c r="L160" s="91">
        <f t="shared" si="30"/>
        <v>4.375</v>
      </c>
      <c r="M160" s="29">
        <f t="shared" si="27"/>
        <v>20</v>
      </c>
      <c r="N160" s="92">
        <f t="shared" si="22"/>
        <v>0.49999999999999956</v>
      </c>
      <c r="O160" s="104">
        <f t="shared" si="23"/>
        <v>1.016</v>
      </c>
      <c r="P160" s="105">
        <f t="shared" si="24"/>
        <v>7.111999999999993</v>
      </c>
    </row>
    <row r="161" spans="2:16" x14ac:dyDescent="0.25">
      <c r="B161" s="88" t="str">
        <f t="shared" si="25"/>
        <v>Fazenda Altenor</v>
      </c>
      <c r="C161" s="106">
        <f t="shared" si="28"/>
        <v>2019</v>
      </c>
      <c r="D161" s="101">
        <v>43720</v>
      </c>
      <c r="E161" s="102">
        <v>0.29166666666666669</v>
      </c>
      <c r="F161" s="103">
        <v>0.3125</v>
      </c>
      <c r="G161" s="103">
        <v>0.29166666666666669</v>
      </c>
      <c r="H161" s="103">
        <v>0.33333333333333331</v>
      </c>
      <c r="I161" s="90">
        <f t="shared" si="26"/>
        <v>0.49999999999999956</v>
      </c>
      <c r="J161" s="90">
        <f t="shared" si="21"/>
        <v>0.99999999999999911</v>
      </c>
      <c r="K161" s="91">
        <f t="shared" si="29"/>
        <v>0.66666666666666663</v>
      </c>
      <c r="L161" s="91">
        <f t="shared" si="30"/>
        <v>4.375</v>
      </c>
      <c r="M161" s="29">
        <f t="shared" si="27"/>
        <v>20</v>
      </c>
      <c r="N161" s="92">
        <f t="shared" si="22"/>
        <v>0.49999999999999956</v>
      </c>
      <c r="O161" s="104">
        <f t="shared" si="23"/>
        <v>1.016</v>
      </c>
      <c r="P161" s="105">
        <f t="shared" si="24"/>
        <v>7.111999999999993</v>
      </c>
    </row>
    <row r="162" spans="2:16" x14ac:dyDescent="0.25">
      <c r="B162" s="88" t="str">
        <f t="shared" si="25"/>
        <v>Fazenda Altenor</v>
      </c>
      <c r="C162" s="106">
        <f t="shared" si="28"/>
        <v>2019</v>
      </c>
      <c r="D162" s="101">
        <v>43721</v>
      </c>
      <c r="E162" s="102">
        <v>0.3125</v>
      </c>
      <c r="F162" s="103">
        <v>0.33333333333333331</v>
      </c>
      <c r="G162" s="103">
        <v>0.3125</v>
      </c>
      <c r="H162" s="103">
        <v>0.35416666666666669</v>
      </c>
      <c r="I162" s="90">
        <f t="shared" si="26"/>
        <v>0.49999999999999956</v>
      </c>
      <c r="J162" s="90">
        <f t="shared" si="21"/>
        <v>1.0000000000000004</v>
      </c>
      <c r="K162" s="91">
        <f t="shared" si="29"/>
        <v>0.66666666666666663</v>
      </c>
      <c r="L162" s="91">
        <f t="shared" si="30"/>
        <v>4.375</v>
      </c>
      <c r="M162" s="29">
        <f t="shared" si="27"/>
        <v>20</v>
      </c>
      <c r="N162" s="92">
        <f t="shared" si="22"/>
        <v>0.49999999999999956</v>
      </c>
      <c r="O162" s="104">
        <f t="shared" si="23"/>
        <v>1.016</v>
      </c>
      <c r="P162" s="105">
        <f t="shared" si="24"/>
        <v>7.111999999999993</v>
      </c>
    </row>
    <row r="163" spans="2:16" x14ac:dyDescent="0.25">
      <c r="B163" s="88" t="str">
        <f t="shared" si="25"/>
        <v>Fazenda Altenor</v>
      </c>
      <c r="C163" s="106">
        <f t="shared" si="28"/>
        <v>2019</v>
      </c>
      <c r="D163" s="101">
        <v>43722</v>
      </c>
      <c r="E163" s="102">
        <v>0.375</v>
      </c>
      <c r="F163" s="103">
        <v>0.39583333333333331</v>
      </c>
      <c r="G163" s="103">
        <v>0.375</v>
      </c>
      <c r="H163" s="103">
        <v>0.41666666666666669</v>
      </c>
      <c r="I163" s="90">
        <f t="shared" si="26"/>
        <v>0.49999999999999956</v>
      </c>
      <c r="J163" s="90">
        <f t="shared" si="21"/>
        <v>1.0000000000000004</v>
      </c>
      <c r="K163" s="91">
        <f t="shared" si="29"/>
        <v>0.66666666666666663</v>
      </c>
      <c r="L163" s="91">
        <f t="shared" si="30"/>
        <v>4.375</v>
      </c>
      <c r="M163" s="29">
        <f t="shared" si="27"/>
        <v>20</v>
      </c>
      <c r="N163" s="92">
        <f t="shared" si="22"/>
        <v>0.49999999999999956</v>
      </c>
      <c r="O163" s="104">
        <f t="shared" si="23"/>
        <v>1.016</v>
      </c>
      <c r="P163" s="105">
        <f t="shared" si="24"/>
        <v>7.111999999999993</v>
      </c>
    </row>
    <row r="164" spans="2:16" x14ac:dyDescent="0.25">
      <c r="B164" s="88" t="str">
        <f t="shared" si="25"/>
        <v>Fazenda Altenor</v>
      </c>
      <c r="C164" s="106">
        <f t="shared" si="28"/>
        <v>2019</v>
      </c>
      <c r="D164" s="101">
        <v>43723</v>
      </c>
      <c r="E164" s="102"/>
      <c r="F164" s="103"/>
      <c r="G164" s="103"/>
      <c r="H164" s="103"/>
      <c r="I164" s="90">
        <f t="shared" si="26"/>
        <v>0</v>
      </c>
      <c r="J164" s="90">
        <f t="shared" si="21"/>
        <v>0</v>
      </c>
      <c r="K164" s="91">
        <f t="shared" si="29"/>
        <v>0.66666666666666663</v>
      </c>
      <c r="L164" s="91">
        <f t="shared" si="30"/>
        <v>4.375</v>
      </c>
      <c r="M164" s="29">
        <f t="shared" si="27"/>
        <v>20</v>
      </c>
      <c r="N164" s="92">
        <f t="shared" si="22"/>
        <v>0</v>
      </c>
      <c r="O164" s="104">
        <f t="shared" si="23"/>
        <v>1.016</v>
      </c>
      <c r="P164" s="105">
        <f t="shared" si="24"/>
        <v>0</v>
      </c>
    </row>
    <row r="165" spans="2:16" x14ac:dyDescent="0.25">
      <c r="B165" s="88" t="str">
        <f t="shared" si="25"/>
        <v>Fazenda Altenor</v>
      </c>
      <c r="C165" s="106">
        <f t="shared" si="28"/>
        <v>2019</v>
      </c>
      <c r="D165" s="101">
        <v>43724</v>
      </c>
      <c r="E165" s="102">
        <v>0.29166666666666669</v>
      </c>
      <c r="F165" s="103">
        <v>0.3125</v>
      </c>
      <c r="G165" s="103">
        <v>0.29166666666666669</v>
      </c>
      <c r="H165" s="103">
        <v>0.33333333333333331</v>
      </c>
      <c r="I165" s="90">
        <f t="shared" si="26"/>
        <v>0.49999999999999956</v>
      </c>
      <c r="J165" s="90">
        <f t="shared" si="21"/>
        <v>0.99999999999999911</v>
      </c>
      <c r="K165" s="91">
        <f t="shared" si="29"/>
        <v>0.66666666666666663</v>
      </c>
      <c r="L165" s="91">
        <f t="shared" si="30"/>
        <v>4.375</v>
      </c>
      <c r="M165" s="29">
        <f t="shared" si="27"/>
        <v>20</v>
      </c>
      <c r="N165" s="92">
        <f t="shared" si="22"/>
        <v>0.49999999999999956</v>
      </c>
      <c r="O165" s="104">
        <f t="shared" si="23"/>
        <v>1.016</v>
      </c>
      <c r="P165" s="105">
        <f t="shared" si="24"/>
        <v>7.111999999999993</v>
      </c>
    </row>
    <row r="166" spans="2:16" x14ac:dyDescent="0.25">
      <c r="B166" s="88" t="str">
        <f t="shared" si="25"/>
        <v>Fazenda Altenor</v>
      </c>
      <c r="C166" s="106">
        <f t="shared" si="28"/>
        <v>2019</v>
      </c>
      <c r="D166" s="101">
        <v>43725</v>
      </c>
      <c r="E166" s="102">
        <v>0.33333333333333331</v>
      </c>
      <c r="F166" s="103">
        <v>0.35416666666666669</v>
      </c>
      <c r="G166" s="103">
        <v>0.33333333333333331</v>
      </c>
      <c r="H166" s="103">
        <v>0.375</v>
      </c>
      <c r="I166" s="90">
        <f t="shared" si="26"/>
        <v>0.50000000000000089</v>
      </c>
      <c r="J166" s="90">
        <f t="shared" si="21"/>
        <v>1.0000000000000004</v>
      </c>
      <c r="K166" s="91">
        <f t="shared" si="29"/>
        <v>0.66666666666666663</v>
      </c>
      <c r="L166" s="91">
        <f t="shared" si="30"/>
        <v>4.375</v>
      </c>
      <c r="M166" s="29">
        <f t="shared" si="27"/>
        <v>20</v>
      </c>
      <c r="N166" s="92">
        <f t="shared" si="22"/>
        <v>0.50000000000000089</v>
      </c>
      <c r="O166" s="104">
        <f t="shared" si="23"/>
        <v>1.016</v>
      </c>
      <c r="P166" s="105">
        <f t="shared" si="24"/>
        <v>7.1120000000000116</v>
      </c>
    </row>
    <row r="167" spans="2:16" x14ac:dyDescent="0.25">
      <c r="B167" s="88" t="str">
        <f t="shared" si="25"/>
        <v>Fazenda Altenor</v>
      </c>
      <c r="C167" s="106">
        <f t="shared" si="28"/>
        <v>2019</v>
      </c>
      <c r="D167" s="101">
        <v>43726</v>
      </c>
      <c r="E167" s="102">
        <v>0.3125</v>
      </c>
      <c r="F167" s="103">
        <v>0.33333333333333331</v>
      </c>
      <c r="G167" s="103">
        <v>0.3125</v>
      </c>
      <c r="H167" s="103">
        <v>0.35416666666666669</v>
      </c>
      <c r="I167" s="90">
        <f t="shared" si="26"/>
        <v>0.49999999999999956</v>
      </c>
      <c r="J167" s="90">
        <f t="shared" si="21"/>
        <v>1.0000000000000004</v>
      </c>
      <c r="K167" s="91">
        <f t="shared" si="29"/>
        <v>0.66666666666666663</v>
      </c>
      <c r="L167" s="91">
        <f t="shared" si="30"/>
        <v>4.375</v>
      </c>
      <c r="M167" s="29">
        <f t="shared" si="27"/>
        <v>20</v>
      </c>
      <c r="N167" s="92">
        <f t="shared" si="22"/>
        <v>0.49999999999999956</v>
      </c>
      <c r="O167" s="104">
        <f t="shared" si="23"/>
        <v>1.016</v>
      </c>
      <c r="P167" s="105">
        <f t="shared" si="24"/>
        <v>7.111999999999993</v>
      </c>
    </row>
    <row r="168" spans="2:16" x14ac:dyDescent="0.25">
      <c r="B168" s="88" t="str">
        <f t="shared" si="25"/>
        <v>Fazenda Altenor</v>
      </c>
      <c r="C168" s="106">
        <f t="shared" si="28"/>
        <v>2019</v>
      </c>
      <c r="D168" s="101">
        <v>43727</v>
      </c>
      <c r="E168" s="102">
        <v>0.33333333333333331</v>
      </c>
      <c r="F168" s="103">
        <v>0.35416666666666669</v>
      </c>
      <c r="G168" s="103">
        <v>0.33333333333333331</v>
      </c>
      <c r="H168" s="103">
        <v>0.375</v>
      </c>
      <c r="I168" s="90">
        <f t="shared" si="26"/>
        <v>0.50000000000000089</v>
      </c>
      <c r="J168" s="90">
        <f t="shared" si="21"/>
        <v>1.0000000000000004</v>
      </c>
      <c r="K168" s="91">
        <f t="shared" si="29"/>
        <v>0.66666666666666663</v>
      </c>
      <c r="L168" s="91">
        <f t="shared" si="30"/>
        <v>4.375</v>
      </c>
      <c r="M168" s="29">
        <f t="shared" si="27"/>
        <v>20</v>
      </c>
      <c r="N168" s="92">
        <f t="shared" si="22"/>
        <v>0.50000000000000089</v>
      </c>
      <c r="O168" s="104">
        <f t="shared" si="23"/>
        <v>1.016</v>
      </c>
      <c r="P168" s="105">
        <f t="shared" si="24"/>
        <v>7.1120000000000116</v>
      </c>
    </row>
    <row r="169" spans="2:16" x14ac:dyDescent="0.25">
      <c r="B169" s="88" t="str">
        <f t="shared" si="25"/>
        <v>Fazenda Altenor</v>
      </c>
      <c r="C169" s="106">
        <f t="shared" si="28"/>
        <v>2019</v>
      </c>
      <c r="D169" s="101">
        <v>43728</v>
      </c>
      <c r="E169" s="102">
        <v>0.375</v>
      </c>
      <c r="F169" s="103">
        <v>0.41666666666666669</v>
      </c>
      <c r="G169" s="103">
        <v>0.375</v>
      </c>
      <c r="H169" s="103">
        <v>0.44791666666666669</v>
      </c>
      <c r="I169" s="90">
        <f t="shared" si="26"/>
        <v>1.0000000000000004</v>
      </c>
      <c r="J169" s="90">
        <f t="shared" si="21"/>
        <v>1.7500000000000004</v>
      </c>
      <c r="K169" s="91">
        <f t="shared" si="29"/>
        <v>0.66666666666666663</v>
      </c>
      <c r="L169" s="91">
        <f t="shared" si="30"/>
        <v>4.375</v>
      </c>
      <c r="M169" s="29">
        <f t="shared" si="27"/>
        <v>20</v>
      </c>
      <c r="N169" s="92">
        <f t="shared" si="22"/>
        <v>1.0000000000000004</v>
      </c>
      <c r="O169" s="104">
        <f t="shared" si="23"/>
        <v>1.016</v>
      </c>
      <c r="P169" s="105">
        <f t="shared" si="24"/>
        <v>14.224000000000004</v>
      </c>
    </row>
    <row r="170" spans="2:16" x14ac:dyDescent="0.25">
      <c r="B170" s="88" t="str">
        <f t="shared" si="25"/>
        <v>Fazenda Altenor</v>
      </c>
      <c r="C170" s="106">
        <f t="shared" si="28"/>
        <v>2019</v>
      </c>
      <c r="D170" s="101">
        <v>43729</v>
      </c>
      <c r="E170" s="102">
        <v>0.29166666666666669</v>
      </c>
      <c r="F170" s="103">
        <v>0.3125</v>
      </c>
      <c r="G170" s="103">
        <v>0.29166666666666669</v>
      </c>
      <c r="H170" s="103">
        <v>0.33333333333333331</v>
      </c>
      <c r="I170" s="90">
        <f t="shared" si="26"/>
        <v>0.49999999999999956</v>
      </c>
      <c r="J170" s="90">
        <f t="shared" si="21"/>
        <v>0.99999999999999911</v>
      </c>
      <c r="K170" s="91">
        <f t="shared" si="29"/>
        <v>0.66666666666666663</v>
      </c>
      <c r="L170" s="91">
        <f t="shared" si="30"/>
        <v>4.375</v>
      </c>
      <c r="M170" s="29">
        <f t="shared" si="27"/>
        <v>20</v>
      </c>
      <c r="N170" s="92">
        <f t="shared" si="22"/>
        <v>0.49999999999999956</v>
      </c>
      <c r="O170" s="104">
        <f t="shared" si="23"/>
        <v>1.016</v>
      </c>
      <c r="P170" s="105">
        <f t="shared" si="24"/>
        <v>7.111999999999993</v>
      </c>
    </row>
    <row r="171" spans="2:16" x14ac:dyDescent="0.25">
      <c r="B171" s="88" t="str">
        <f t="shared" si="25"/>
        <v>Fazenda Altenor</v>
      </c>
      <c r="C171" s="106">
        <f t="shared" si="28"/>
        <v>2019</v>
      </c>
      <c r="D171" s="101">
        <v>43730</v>
      </c>
      <c r="E171" s="102">
        <v>0.3125</v>
      </c>
      <c r="F171" s="103">
        <v>0.33333333333333331</v>
      </c>
      <c r="G171" s="103">
        <v>0.3125</v>
      </c>
      <c r="H171" s="103">
        <v>0.36458333333333331</v>
      </c>
      <c r="I171" s="90">
        <f t="shared" si="26"/>
        <v>0.49999999999999956</v>
      </c>
      <c r="J171" s="90">
        <f t="shared" si="21"/>
        <v>1.2499999999999996</v>
      </c>
      <c r="K171" s="91">
        <f t="shared" si="29"/>
        <v>0.66666666666666663</v>
      </c>
      <c r="L171" s="91">
        <f t="shared" si="30"/>
        <v>4.375</v>
      </c>
      <c r="M171" s="29">
        <f t="shared" si="27"/>
        <v>20</v>
      </c>
      <c r="N171" s="92">
        <f t="shared" si="22"/>
        <v>0.49999999999999956</v>
      </c>
      <c r="O171" s="104">
        <f t="shared" si="23"/>
        <v>1.016</v>
      </c>
      <c r="P171" s="105">
        <f t="shared" si="24"/>
        <v>7.111999999999993</v>
      </c>
    </row>
    <row r="172" spans="2:16" x14ac:dyDescent="0.25">
      <c r="B172" s="88" t="str">
        <f t="shared" si="25"/>
        <v>Fazenda Altenor</v>
      </c>
      <c r="C172" s="106">
        <f t="shared" si="28"/>
        <v>2019</v>
      </c>
      <c r="D172" s="101">
        <v>43731</v>
      </c>
      <c r="E172" s="102">
        <v>0.29166666666666669</v>
      </c>
      <c r="F172" s="103">
        <v>0.3125</v>
      </c>
      <c r="G172" s="103">
        <v>0.29166666666666669</v>
      </c>
      <c r="H172" s="103">
        <v>0.33333333333333331</v>
      </c>
      <c r="I172" s="90">
        <f t="shared" si="26"/>
        <v>0.49999999999999956</v>
      </c>
      <c r="J172" s="90">
        <f t="shared" si="21"/>
        <v>0.99999999999999911</v>
      </c>
      <c r="K172" s="91">
        <f t="shared" si="29"/>
        <v>0.66666666666666663</v>
      </c>
      <c r="L172" s="91">
        <f t="shared" si="30"/>
        <v>4.375</v>
      </c>
      <c r="M172" s="29">
        <f t="shared" si="27"/>
        <v>20</v>
      </c>
      <c r="N172" s="92">
        <f t="shared" si="22"/>
        <v>0.49999999999999956</v>
      </c>
      <c r="O172" s="104">
        <f t="shared" si="23"/>
        <v>1.016</v>
      </c>
      <c r="P172" s="105">
        <f t="shared" si="24"/>
        <v>7.111999999999993</v>
      </c>
    </row>
    <row r="173" spans="2:16" x14ac:dyDescent="0.25">
      <c r="B173" s="88" t="str">
        <f t="shared" si="25"/>
        <v>Fazenda Altenor</v>
      </c>
      <c r="C173" s="106">
        <f t="shared" si="28"/>
        <v>2019</v>
      </c>
      <c r="D173" s="101">
        <v>43732</v>
      </c>
      <c r="E173" s="102">
        <v>0.33333333333333331</v>
      </c>
      <c r="F173" s="103">
        <v>0.35416666666666669</v>
      </c>
      <c r="G173" s="103">
        <v>0.33333333333333331</v>
      </c>
      <c r="H173" s="103">
        <v>0.375</v>
      </c>
      <c r="I173" s="90">
        <f t="shared" si="26"/>
        <v>0.50000000000000089</v>
      </c>
      <c r="J173" s="90">
        <f t="shared" si="21"/>
        <v>1.0000000000000004</v>
      </c>
      <c r="K173" s="91">
        <f t="shared" si="29"/>
        <v>0.66666666666666663</v>
      </c>
      <c r="L173" s="91">
        <f t="shared" si="30"/>
        <v>4.375</v>
      </c>
      <c r="M173" s="29">
        <f t="shared" si="27"/>
        <v>20</v>
      </c>
      <c r="N173" s="92">
        <f t="shared" si="22"/>
        <v>0.50000000000000089</v>
      </c>
      <c r="O173" s="104">
        <f t="shared" si="23"/>
        <v>1.016</v>
      </c>
      <c r="P173" s="105">
        <f t="shared" si="24"/>
        <v>7.1120000000000116</v>
      </c>
    </row>
    <row r="174" spans="2:16" x14ac:dyDescent="0.25">
      <c r="B174" s="88" t="str">
        <f t="shared" si="25"/>
        <v>Fazenda Altenor</v>
      </c>
      <c r="C174" s="106">
        <f t="shared" si="28"/>
        <v>2019</v>
      </c>
      <c r="D174" s="101">
        <v>43733</v>
      </c>
      <c r="E174" s="102">
        <v>0.29166666666666669</v>
      </c>
      <c r="F174" s="103">
        <v>0.33333333333333331</v>
      </c>
      <c r="G174" s="103">
        <v>0.3125</v>
      </c>
      <c r="H174" s="103">
        <v>0.35416666666666669</v>
      </c>
      <c r="I174" s="90">
        <f t="shared" si="26"/>
        <v>0.99999999999999911</v>
      </c>
      <c r="J174" s="90">
        <f t="shared" si="21"/>
        <v>1.0000000000000004</v>
      </c>
      <c r="K174" s="91">
        <f t="shared" si="29"/>
        <v>0.66666666666666663</v>
      </c>
      <c r="L174" s="91">
        <f t="shared" si="30"/>
        <v>4.375</v>
      </c>
      <c r="M174" s="29">
        <f t="shared" si="27"/>
        <v>20</v>
      </c>
      <c r="N174" s="92">
        <f t="shared" si="22"/>
        <v>0.99999999999999911</v>
      </c>
      <c r="O174" s="104">
        <f t="shared" si="23"/>
        <v>1.016</v>
      </c>
      <c r="P174" s="105">
        <f t="shared" si="24"/>
        <v>14.223999999999986</v>
      </c>
    </row>
    <row r="175" spans="2:16" x14ac:dyDescent="0.25">
      <c r="B175" s="88" t="str">
        <f t="shared" si="25"/>
        <v>Fazenda Altenor</v>
      </c>
      <c r="C175" s="106">
        <f t="shared" si="28"/>
        <v>2019</v>
      </c>
      <c r="D175" s="101">
        <v>43734</v>
      </c>
      <c r="E175" s="102">
        <v>0.35416666666666669</v>
      </c>
      <c r="F175" s="103">
        <v>0.375</v>
      </c>
      <c r="G175" s="103">
        <v>0.35416666666666669</v>
      </c>
      <c r="H175" s="103">
        <v>0.39583333333333331</v>
      </c>
      <c r="I175" s="90">
        <f t="shared" si="26"/>
        <v>0.49999999999999956</v>
      </c>
      <c r="J175" s="90">
        <f t="shared" si="21"/>
        <v>0.99999999999999911</v>
      </c>
      <c r="K175" s="91">
        <f t="shared" si="29"/>
        <v>0.66666666666666663</v>
      </c>
      <c r="L175" s="91">
        <f t="shared" si="30"/>
        <v>4.375</v>
      </c>
      <c r="M175" s="29">
        <f t="shared" si="27"/>
        <v>20</v>
      </c>
      <c r="N175" s="92">
        <f t="shared" si="22"/>
        <v>0.49999999999999956</v>
      </c>
      <c r="O175" s="104">
        <f t="shared" si="23"/>
        <v>1.016</v>
      </c>
      <c r="P175" s="105">
        <f t="shared" si="24"/>
        <v>7.111999999999993</v>
      </c>
    </row>
    <row r="176" spans="2:16" x14ac:dyDescent="0.25">
      <c r="B176" s="88" t="str">
        <f t="shared" si="25"/>
        <v>Fazenda Altenor</v>
      </c>
      <c r="C176" s="106">
        <f t="shared" si="28"/>
        <v>2019</v>
      </c>
      <c r="D176" s="101">
        <v>43735</v>
      </c>
      <c r="E176" s="102">
        <v>0.375</v>
      </c>
      <c r="F176" s="103">
        <v>0.41666666666666669</v>
      </c>
      <c r="G176" s="103">
        <v>0.375</v>
      </c>
      <c r="H176" s="103">
        <v>0.4375</v>
      </c>
      <c r="I176" s="90">
        <f t="shared" si="26"/>
        <v>1.0000000000000004</v>
      </c>
      <c r="J176" s="90">
        <f t="shared" si="21"/>
        <v>1.5</v>
      </c>
      <c r="K176" s="91">
        <f t="shared" si="29"/>
        <v>0.66666666666666663</v>
      </c>
      <c r="L176" s="91">
        <f t="shared" si="30"/>
        <v>4.375</v>
      </c>
      <c r="M176" s="29">
        <f t="shared" si="27"/>
        <v>20</v>
      </c>
      <c r="N176" s="92">
        <f t="shared" si="22"/>
        <v>1.0000000000000004</v>
      </c>
      <c r="O176" s="104">
        <f t="shared" si="23"/>
        <v>1.016</v>
      </c>
      <c r="P176" s="105">
        <f t="shared" si="24"/>
        <v>14.224000000000004</v>
      </c>
    </row>
    <row r="177" spans="2:16" x14ac:dyDescent="0.25">
      <c r="B177" s="88" t="str">
        <f t="shared" si="25"/>
        <v>Fazenda Altenor</v>
      </c>
      <c r="C177" s="106">
        <f t="shared" si="28"/>
        <v>2019</v>
      </c>
      <c r="D177" s="101">
        <v>43736</v>
      </c>
      <c r="E177" s="102">
        <v>0.29166666666666669</v>
      </c>
      <c r="F177" s="103">
        <v>0.33333333333333331</v>
      </c>
      <c r="G177" s="103">
        <v>0.29166666666666669</v>
      </c>
      <c r="H177" s="103">
        <v>0.35416666666666669</v>
      </c>
      <c r="I177" s="90">
        <f t="shared" si="26"/>
        <v>0.99999999999999911</v>
      </c>
      <c r="J177" s="90">
        <f t="shared" si="21"/>
        <v>1.5</v>
      </c>
      <c r="K177" s="91">
        <f t="shared" si="29"/>
        <v>0.66666666666666663</v>
      </c>
      <c r="L177" s="91">
        <f t="shared" si="30"/>
        <v>4.375</v>
      </c>
      <c r="M177" s="29">
        <f t="shared" si="27"/>
        <v>20</v>
      </c>
      <c r="N177" s="92">
        <f t="shared" si="22"/>
        <v>0.99999999999999911</v>
      </c>
      <c r="O177" s="104">
        <f t="shared" si="23"/>
        <v>1.016</v>
      </c>
      <c r="P177" s="105">
        <f t="shared" si="24"/>
        <v>14.223999999999986</v>
      </c>
    </row>
    <row r="178" spans="2:16" x14ac:dyDescent="0.25">
      <c r="B178" s="88" t="str">
        <f t="shared" si="25"/>
        <v>Fazenda Altenor</v>
      </c>
      <c r="C178" s="106">
        <f t="shared" si="28"/>
        <v>2019</v>
      </c>
      <c r="D178" s="101">
        <v>43737</v>
      </c>
      <c r="E178" s="102">
        <v>0.3125</v>
      </c>
      <c r="F178" s="103">
        <v>0.33333333333333331</v>
      </c>
      <c r="G178" s="103">
        <v>0.3125</v>
      </c>
      <c r="H178" s="103">
        <v>0.35416666666666669</v>
      </c>
      <c r="I178" s="90">
        <f t="shared" si="26"/>
        <v>0.49999999999999956</v>
      </c>
      <c r="J178" s="90">
        <f t="shared" si="21"/>
        <v>1.0000000000000004</v>
      </c>
      <c r="K178" s="91">
        <f t="shared" si="29"/>
        <v>0.66666666666666663</v>
      </c>
      <c r="L178" s="91">
        <f t="shared" si="30"/>
        <v>4.375</v>
      </c>
      <c r="M178" s="29">
        <f t="shared" si="27"/>
        <v>20</v>
      </c>
      <c r="N178" s="92">
        <f t="shared" si="22"/>
        <v>0.49999999999999956</v>
      </c>
      <c r="O178" s="104">
        <f t="shared" si="23"/>
        <v>1.016</v>
      </c>
      <c r="P178" s="105">
        <f t="shared" si="24"/>
        <v>7.111999999999993</v>
      </c>
    </row>
    <row r="179" spans="2:16" x14ac:dyDescent="0.25">
      <c r="B179" s="88" t="str">
        <f t="shared" si="25"/>
        <v>Fazenda Altenor</v>
      </c>
      <c r="C179" s="106">
        <f t="shared" si="28"/>
        <v>2019</v>
      </c>
      <c r="D179" s="101">
        <v>43738</v>
      </c>
      <c r="E179" s="102">
        <v>0.35416666666666669</v>
      </c>
      <c r="F179" s="103">
        <v>0.375</v>
      </c>
      <c r="G179" s="103">
        <v>0.35416666666666669</v>
      </c>
      <c r="H179" s="103">
        <v>0.39583333333333331</v>
      </c>
      <c r="I179" s="90">
        <f t="shared" si="26"/>
        <v>0.49999999999999956</v>
      </c>
      <c r="J179" s="90">
        <f t="shared" si="21"/>
        <v>0.99999999999999911</v>
      </c>
      <c r="K179" s="91">
        <f t="shared" si="29"/>
        <v>0.66666666666666663</v>
      </c>
      <c r="L179" s="91">
        <f t="shared" si="30"/>
        <v>4.375</v>
      </c>
      <c r="M179" s="29">
        <f t="shared" si="27"/>
        <v>20</v>
      </c>
      <c r="N179" s="92">
        <f t="shared" si="22"/>
        <v>0.49999999999999956</v>
      </c>
      <c r="O179" s="104">
        <f t="shared" si="23"/>
        <v>1.016</v>
      </c>
      <c r="P179" s="105">
        <f t="shared" si="24"/>
        <v>7.111999999999993</v>
      </c>
    </row>
    <row r="180" spans="2:16" x14ac:dyDescent="0.25">
      <c r="B180" s="88" t="str">
        <f t="shared" si="25"/>
        <v>Fazenda Altenor</v>
      </c>
      <c r="C180" s="106">
        <f t="shared" si="28"/>
        <v>2019</v>
      </c>
      <c r="D180" s="101">
        <v>43739</v>
      </c>
      <c r="E180" s="102"/>
      <c r="F180" s="103"/>
      <c r="G180" s="103"/>
      <c r="H180" s="103"/>
      <c r="I180" s="90">
        <f t="shared" si="26"/>
        <v>0</v>
      </c>
      <c r="J180" s="90">
        <f t="shared" si="21"/>
        <v>0</v>
      </c>
      <c r="K180" s="91">
        <f t="shared" si="29"/>
        <v>0.66666666666666663</v>
      </c>
      <c r="L180" s="91">
        <f t="shared" si="30"/>
        <v>4.375</v>
      </c>
      <c r="M180" s="29">
        <f t="shared" si="27"/>
        <v>20</v>
      </c>
      <c r="N180" s="92">
        <f t="shared" si="22"/>
        <v>0</v>
      </c>
      <c r="O180" s="104">
        <f t="shared" si="23"/>
        <v>1.016</v>
      </c>
      <c r="P180" s="105">
        <f t="shared" si="24"/>
        <v>0</v>
      </c>
    </row>
    <row r="181" spans="2:16" x14ac:dyDescent="0.25">
      <c r="B181" s="88" t="str">
        <f t="shared" si="25"/>
        <v>Fazenda Altenor</v>
      </c>
      <c r="C181" s="106">
        <f t="shared" si="28"/>
        <v>2019</v>
      </c>
      <c r="D181" s="101">
        <v>43740</v>
      </c>
      <c r="E181" s="102">
        <v>0.29166666666666669</v>
      </c>
      <c r="F181" s="103">
        <v>0.3125</v>
      </c>
      <c r="G181" s="103">
        <v>0.29166666666666669</v>
      </c>
      <c r="H181" s="103">
        <v>0.33333333333333331</v>
      </c>
      <c r="I181" s="90">
        <f t="shared" si="26"/>
        <v>0.49999999999999956</v>
      </c>
      <c r="J181" s="90">
        <f t="shared" si="21"/>
        <v>0.99999999999999911</v>
      </c>
      <c r="K181" s="91">
        <f t="shared" si="29"/>
        <v>0.66666666666666663</v>
      </c>
      <c r="L181" s="91">
        <f t="shared" si="30"/>
        <v>4.375</v>
      </c>
      <c r="M181" s="29">
        <f t="shared" si="27"/>
        <v>20</v>
      </c>
      <c r="N181" s="92">
        <f t="shared" si="22"/>
        <v>0.49999999999999956</v>
      </c>
      <c r="O181" s="104">
        <f t="shared" si="23"/>
        <v>1.016</v>
      </c>
      <c r="P181" s="105">
        <f t="shared" si="24"/>
        <v>7.111999999999993</v>
      </c>
    </row>
    <row r="182" spans="2:16" x14ac:dyDescent="0.25">
      <c r="B182" s="88" t="str">
        <f t="shared" si="25"/>
        <v>Fazenda Altenor</v>
      </c>
      <c r="C182" s="106">
        <f t="shared" si="28"/>
        <v>2019</v>
      </c>
      <c r="D182" s="101">
        <v>43741</v>
      </c>
      <c r="E182" s="102">
        <v>0.3125</v>
      </c>
      <c r="F182" s="103">
        <v>0.33333333333333331</v>
      </c>
      <c r="G182" s="102">
        <v>0.3125</v>
      </c>
      <c r="H182" s="103">
        <v>0.33333333333333331</v>
      </c>
      <c r="I182" s="90">
        <f t="shared" si="26"/>
        <v>0.49999999999999956</v>
      </c>
      <c r="J182" s="90">
        <f t="shared" si="21"/>
        <v>0.49999999999999956</v>
      </c>
      <c r="K182" s="91">
        <f t="shared" si="29"/>
        <v>0.66666666666666663</v>
      </c>
      <c r="L182" s="91">
        <f t="shared" si="30"/>
        <v>4.375</v>
      </c>
      <c r="M182" s="29">
        <f t="shared" si="27"/>
        <v>20</v>
      </c>
      <c r="N182" s="92">
        <f t="shared" si="22"/>
        <v>0.49999999999999956</v>
      </c>
      <c r="O182" s="104">
        <f t="shared" si="23"/>
        <v>1.016</v>
      </c>
      <c r="P182" s="105">
        <f t="shared" si="24"/>
        <v>7.111999999999993</v>
      </c>
    </row>
    <row r="183" spans="2:16" x14ac:dyDescent="0.25">
      <c r="B183" s="88" t="str">
        <f t="shared" si="25"/>
        <v>Fazenda Altenor</v>
      </c>
      <c r="C183" s="106">
        <f t="shared" si="28"/>
        <v>2019</v>
      </c>
      <c r="D183" s="101">
        <v>43742</v>
      </c>
      <c r="E183" s="102">
        <v>0.375</v>
      </c>
      <c r="F183" s="103">
        <v>0.39583333333333331</v>
      </c>
      <c r="G183" s="103">
        <v>0.375</v>
      </c>
      <c r="H183" s="103">
        <v>0.41666666666666669</v>
      </c>
      <c r="I183" s="90">
        <f t="shared" si="26"/>
        <v>0.49999999999999956</v>
      </c>
      <c r="J183" s="90">
        <f t="shared" si="21"/>
        <v>1.0000000000000004</v>
      </c>
      <c r="K183" s="91">
        <f t="shared" si="29"/>
        <v>0.66666666666666663</v>
      </c>
      <c r="L183" s="91">
        <f t="shared" si="30"/>
        <v>4.375</v>
      </c>
      <c r="M183" s="29">
        <f t="shared" si="27"/>
        <v>20</v>
      </c>
      <c r="N183" s="92">
        <f t="shared" si="22"/>
        <v>0.49999999999999956</v>
      </c>
      <c r="O183" s="104">
        <f t="shared" si="23"/>
        <v>1.016</v>
      </c>
      <c r="P183" s="105">
        <f t="shared" si="24"/>
        <v>7.111999999999993</v>
      </c>
    </row>
    <row r="184" spans="2:16" x14ac:dyDescent="0.25">
      <c r="B184" s="88" t="str">
        <f t="shared" si="25"/>
        <v>Fazenda Altenor</v>
      </c>
      <c r="C184" s="106">
        <f t="shared" si="28"/>
        <v>2019</v>
      </c>
      <c r="D184" s="101">
        <v>43743</v>
      </c>
      <c r="E184" s="102">
        <v>0.33333333333333331</v>
      </c>
      <c r="F184" s="103">
        <v>0.35416666666666669</v>
      </c>
      <c r="G184" s="103">
        <v>0.33333333333333331</v>
      </c>
      <c r="H184" s="103">
        <v>0.375</v>
      </c>
      <c r="I184" s="90">
        <f t="shared" si="26"/>
        <v>0.50000000000000089</v>
      </c>
      <c r="J184" s="90">
        <f t="shared" si="21"/>
        <v>1.0000000000000004</v>
      </c>
      <c r="K184" s="91">
        <f t="shared" si="29"/>
        <v>0.66666666666666663</v>
      </c>
      <c r="L184" s="91">
        <f t="shared" si="30"/>
        <v>4.375</v>
      </c>
      <c r="M184" s="29">
        <f t="shared" si="27"/>
        <v>20</v>
      </c>
      <c r="N184" s="92">
        <f t="shared" si="22"/>
        <v>0.50000000000000089</v>
      </c>
      <c r="O184" s="104">
        <f t="shared" si="23"/>
        <v>1.016</v>
      </c>
      <c r="P184" s="105">
        <f t="shared" si="24"/>
        <v>7.1120000000000116</v>
      </c>
    </row>
    <row r="185" spans="2:16" x14ac:dyDescent="0.25">
      <c r="B185" s="88" t="str">
        <f t="shared" si="25"/>
        <v>Fazenda Altenor</v>
      </c>
      <c r="C185" s="106">
        <f t="shared" si="28"/>
        <v>2019</v>
      </c>
      <c r="D185" s="101">
        <v>43744</v>
      </c>
      <c r="E185" s="102">
        <v>0.29166666666666669</v>
      </c>
      <c r="F185" s="103">
        <v>0.3125</v>
      </c>
      <c r="G185" s="103">
        <v>0.29166666666666669</v>
      </c>
      <c r="H185" s="103">
        <v>0.33333333333333331</v>
      </c>
      <c r="I185" s="90">
        <f t="shared" si="26"/>
        <v>0.49999999999999956</v>
      </c>
      <c r="J185" s="90">
        <f t="shared" si="21"/>
        <v>0.99999999999999911</v>
      </c>
      <c r="K185" s="91">
        <f t="shared" si="29"/>
        <v>0.66666666666666663</v>
      </c>
      <c r="L185" s="91">
        <f t="shared" si="30"/>
        <v>4.375</v>
      </c>
      <c r="M185" s="29">
        <f t="shared" si="27"/>
        <v>20</v>
      </c>
      <c r="N185" s="92">
        <f t="shared" si="22"/>
        <v>0.49999999999999956</v>
      </c>
      <c r="O185" s="104">
        <f t="shared" si="23"/>
        <v>1.016</v>
      </c>
      <c r="P185" s="105">
        <f t="shared" si="24"/>
        <v>7.111999999999993</v>
      </c>
    </row>
    <row r="186" spans="2:16" x14ac:dyDescent="0.25">
      <c r="B186" s="88" t="str">
        <f t="shared" si="25"/>
        <v>Fazenda Altenor</v>
      </c>
      <c r="C186" s="106">
        <f t="shared" si="28"/>
        <v>2019</v>
      </c>
      <c r="D186" s="101">
        <v>43745</v>
      </c>
      <c r="E186" s="102">
        <v>0.3125</v>
      </c>
      <c r="F186" s="103">
        <v>0.33333333333333331</v>
      </c>
      <c r="G186" s="103">
        <v>0.3125</v>
      </c>
      <c r="H186" s="103">
        <v>0.35416666666666669</v>
      </c>
      <c r="I186" s="90">
        <f t="shared" si="26"/>
        <v>0.49999999999999956</v>
      </c>
      <c r="J186" s="90">
        <f t="shared" si="21"/>
        <v>1.0000000000000004</v>
      </c>
      <c r="K186" s="91">
        <f t="shared" si="29"/>
        <v>0.66666666666666663</v>
      </c>
      <c r="L186" s="91">
        <f t="shared" si="30"/>
        <v>4.375</v>
      </c>
      <c r="M186" s="29">
        <f t="shared" si="27"/>
        <v>20</v>
      </c>
      <c r="N186" s="92">
        <f t="shared" si="22"/>
        <v>0.49999999999999956</v>
      </c>
      <c r="O186" s="104">
        <f t="shared" si="23"/>
        <v>1.016</v>
      </c>
      <c r="P186" s="105">
        <f t="shared" si="24"/>
        <v>7.111999999999993</v>
      </c>
    </row>
    <row r="187" spans="2:16" x14ac:dyDescent="0.25">
      <c r="B187" s="88" t="str">
        <f t="shared" si="25"/>
        <v>Fazenda Altenor</v>
      </c>
      <c r="C187" s="106">
        <f t="shared" si="28"/>
        <v>2019</v>
      </c>
      <c r="D187" s="101">
        <v>43746</v>
      </c>
      <c r="E187" s="102">
        <v>0.33333333333333331</v>
      </c>
      <c r="F187" s="103">
        <v>0.35416666666666669</v>
      </c>
      <c r="G187" s="103">
        <v>0.33333333333333331</v>
      </c>
      <c r="H187" s="103">
        <v>0.375</v>
      </c>
      <c r="I187" s="90">
        <f t="shared" si="26"/>
        <v>0.50000000000000089</v>
      </c>
      <c r="J187" s="90">
        <f t="shared" si="21"/>
        <v>1.0000000000000004</v>
      </c>
      <c r="K187" s="91">
        <f t="shared" si="29"/>
        <v>0.66666666666666663</v>
      </c>
      <c r="L187" s="91">
        <f t="shared" si="30"/>
        <v>4.375</v>
      </c>
      <c r="M187" s="29">
        <f t="shared" si="27"/>
        <v>20</v>
      </c>
      <c r="N187" s="92">
        <f t="shared" si="22"/>
        <v>0.50000000000000089</v>
      </c>
      <c r="O187" s="104">
        <f t="shared" si="23"/>
        <v>1.016</v>
      </c>
      <c r="P187" s="105">
        <f t="shared" si="24"/>
        <v>7.1120000000000116</v>
      </c>
    </row>
    <row r="188" spans="2:16" x14ac:dyDescent="0.25">
      <c r="B188" s="88" t="str">
        <f t="shared" si="25"/>
        <v>Fazenda Altenor</v>
      </c>
      <c r="C188" s="106">
        <f t="shared" si="28"/>
        <v>2019</v>
      </c>
      <c r="D188" s="101">
        <v>43747</v>
      </c>
      <c r="E188" s="102">
        <v>0.29166666666666669</v>
      </c>
      <c r="F188" s="103">
        <v>0.3125</v>
      </c>
      <c r="G188" s="103">
        <v>0.29166666666666669</v>
      </c>
      <c r="H188" s="103">
        <v>0.33333333333333331</v>
      </c>
      <c r="I188" s="90">
        <f t="shared" si="26"/>
        <v>0.49999999999999956</v>
      </c>
      <c r="J188" s="90">
        <f t="shared" si="21"/>
        <v>0.99999999999999911</v>
      </c>
      <c r="K188" s="91">
        <f t="shared" si="29"/>
        <v>0.66666666666666663</v>
      </c>
      <c r="L188" s="91">
        <f t="shared" si="30"/>
        <v>4.375</v>
      </c>
      <c r="M188" s="29">
        <f t="shared" si="27"/>
        <v>20</v>
      </c>
      <c r="N188" s="92">
        <f t="shared" si="22"/>
        <v>0.49999999999999956</v>
      </c>
      <c r="O188" s="104">
        <f t="shared" si="23"/>
        <v>1.016</v>
      </c>
      <c r="P188" s="105">
        <f t="shared" si="24"/>
        <v>7.111999999999993</v>
      </c>
    </row>
    <row r="189" spans="2:16" x14ac:dyDescent="0.25">
      <c r="B189" s="88" t="str">
        <f t="shared" si="25"/>
        <v>Fazenda Altenor</v>
      </c>
      <c r="C189" s="106">
        <f t="shared" si="28"/>
        <v>2019</v>
      </c>
      <c r="D189" s="101">
        <v>43748</v>
      </c>
      <c r="E189" s="102">
        <v>0.3125</v>
      </c>
      <c r="F189" s="103">
        <v>0.33333333333333331</v>
      </c>
      <c r="G189" s="103">
        <v>0.29166666666666669</v>
      </c>
      <c r="H189" s="103">
        <v>0.33333333333333331</v>
      </c>
      <c r="I189" s="90">
        <f t="shared" si="26"/>
        <v>0.49999999999999956</v>
      </c>
      <c r="J189" s="90">
        <f t="shared" si="21"/>
        <v>0.99999999999999911</v>
      </c>
      <c r="K189" s="91">
        <f t="shared" si="29"/>
        <v>0.66666666666666663</v>
      </c>
      <c r="L189" s="91">
        <f t="shared" si="30"/>
        <v>4.375</v>
      </c>
      <c r="M189" s="29">
        <f t="shared" si="27"/>
        <v>20</v>
      </c>
      <c r="N189" s="92">
        <f t="shared" si="22"/>
        <v>0.49999999999999956</v>
      </c>
      <c r="O189" s="104">
        <f t="shared" si="23"/>
        <v>1.016</v>
      </c>
      <c r="P189" s="105">
        <f t="shared" si="24"/>
        <v>7.111999999999993</v>
      </c>
    </row>
    <row r="190" spans="2:16" x14ac:dyDescent="0.25">
      <c r="B190" s="88" t="str">
        <f t="shared" si="25"/>
        <v>Fazenda Altenor</v>
      </c>
      <c r="C190" s="106">
        <f t="shared" si="28"/>
        <v>2019</v>
      </c>
      <c r="D190" s="101">
        <v>43749</v>
      </c>
      <c r="E190" s="102">
        <v>0.33333333333333331</v>
      </c>
      <c r="F190" s="103">
        <v>0.35416666666666669</v>
      </c>
      <c r="G190" s="103">
        <v>0.3125</v>
      </c>
      <c r="H190" s="103">
        <v>0.35416666666666669</v>
      </c>
      <c r="I190" s="90">
        <f t="shared" si="26"/>
        <v>0.50000000000000089</v>
      </c>
      <c r="J190" s="90">
        <f t="shared" si="21"/>
        <v>1.0000000000000004</v>
      </c>
      <c r="K190" s="91">
        <f t="shared" si="29"/>
        <v>0.66666666666666663</v>
      </c>
      <c r="L190" s="91">
        <f t="shared" si="30"/>
        <v>4.375</v>
      </c>
      <c r="M190" s="29">
        <f t="shared" si="27"/>
        <v>20</v>
      </c>
      <c r="N190" s="92">
        <f t="shared" si="22"/>
        <v>0.50000000000000089</v>
      </c>
      <c r="O190" s="104">
        <f t="shared" si="23"/>
        <v>1.016</v>
      </c>
      <c r="P190" s="105">
        <f t="shared" si="24"/>
        <v>7.1120000000000116</v>
      </c>
    </row>
    <row r="191" spans="2:16" x14ac:dyDescent="0.25">
      <c r="B191" s="88" t="str">
        <f t="shared" si="25"/>
        <v>Fazenda Altenor</v>
      </c>
      <c r="C191" s="106">
        <f t="shared" si="28"/>
        <v>2019</v>
      </c>
      <c r="D191" s="101">
        <v>43750</v>
      </c>
      <c r="E191" s="102">
        <v>0.35416666666666669</v>
      </c>
      <c r="F191" s="103">
        <v>0.375</v>
      </c>
      <c r="G191" s="103">
        <v>0.35416666666666669</v>
      </c>
      <c r="H191" s="103">
        <v>0.39583333333333331</v>
      </c>
      <c r="I191" s="90">
        <f t="shared" si="26"/>
        <v>0.49999999999999956</v>
      </c>
      <c r="J191" s="90">
        <f t="shared" si="21"/>
        <v>0.99999999999999911</v>
      </c>
      <c r="K191" s="91">
        <f t="shared" si="29"/>
        <v>0.66666666666666663</v>
      </c>
      <c r="L191" s="91">
        <f t="shared" si="30"/>
        <v>4.375</v>
      </c>
      <c r="M191" s="29">
        <f t="shared" si="27"/>
        <v>20</v>
      </c>
      <c r="N191" s="92">
        <f t="shared" si="22"/>
        <v>0.49999999999999956</v>
      </c>
      <c r="O191" s="104">
        <f t="shared" si="23"/>
        <v>1.016</v>
      </c>
      <c r="P191" s="105">
        <f t="shared" si="24"/>
        <v>7.111999999999993</v>
      </c>
    </row>
    <row r="192" spans="2:16" x14ac:dyDescent="0.25">
      <c r="B192" s="88" t="str">
        <f t="shared" si="25"/>
        <v>Fazenda Altenor</v>
      </c>
      <c r="C192" s="106">
        <f t="shared" si="28"/>
        <v>2019</v>
      </c>
      <c r="D192" s="101">
        <v>43751</v>
      </c>
      <c r="E192" s="102">
        <v>0.29166666666666669</v>
      </c>
      <c r="F192" s="103">
        <v>0.3125</v>
      </c>
      <c r="G192" s="103">
        <v>0.29166666666666669</v>
      </c>
      <c r="H192" s="103">
        <v>0.33333333333333331</v>
      </c>
      <c r="I192" s="90">
        <f t="shared" si="26"/>
        <v>0.49999999999999956</v>
      </c>
      <c r="J192" s="90">
        <f t="shared" si="21"/>
        <v>0.99999999999999911</v>
      </c>
      <c r="K192" s="91">
        <f t="shared" si="29"/>
        <v>0.66666666666666663</v>
      </c>
      <c r="L192" s="91">
        <f t="shared" si="30"/>
        <v>4.375</v>
      </c>
      <c r="M192" s="29">
        <f t="shared" si="27"/>
        <v>20</v>
      </c>
      <c r="N192" s="92">
        <f t="shared" si="22"/>
        <v>0.49999999999999956</v>
      </c>
      <c r="O192" s="104">
        <f t="shared" si="23"/>
        <v>1.016</v>
      </c>
      <c r="P192" s="105">
        <f t="shared" si="24"/>
        <v>7.111999999999993</v>
      </c>
    </row>
    <row r="193" spans="2:16" x14ac:dyDescent="0.25">
      <c r="B193" s="88" t="str">
        <f t="shared" si="25"/>
        <v>Fazenda Altenor</v>
      </c>
      <c r="C193" s="106">
        <f t="shared" si="28"/>
        <v>2019</v>
      </c>
      <c r="D193" s="101">
        <v>43752</v>
      </c>
      <c r="E193" s="102">
        <v>0.35416666666666669</v>
      </c>
      <c r="F193" s="103">
        <v>0.375</v>
      </c>
      <c r="G193" s="103">
        <v>0.35416666666666669</v>
      </c>
      <c r="H193" s="103">
        <v>0.39583333333333331</v>
      </c>
      <c r="I193" s="90">
        <f t="shared" si="26"/>
        <v>0.49999999999999956</v>
      </c>
      <c r="J193" s="90">
        <f t="shared" si="21"/>
        <v>0.99999999999999911</v>
      </c>
      <c r="K193" s="91">
        <f t="shared" si="29"/>
        <v>0.66666666666666663</v>
      </c>
      <c r="L193" s="91">
        <f t="shared" si="30"/>
        <v>4.375</v>
      </c>
      <c r="M193" s="29">
        <f t="shared" si="27"/>
        <v>20</v>
      </c>
      <c r="N193" s="92">
        <f t="shared" si="22"/>
        <v>0.49999999999999956</v>
      </c>
      <c r="O193" s="104">
        <f t="shared" si="23"/>
        <v>1.016</v>
      </c>
      <c r="P193" s="105">
        <f t="shared" si="24"/>
        <v>7.111999999999993</v>
      </c>
    </row>
    <row r="194" spans="2:16" x14ac:dyDescent="0.25">
      <c r="B194" s="88" t="str">
        <f t="shared" si="25"/>
        <v>Fazenda Altenor</v>
      </c>
      <c r="C194" s="106">
        <f t="shared" si="28"/>
        <v>2019</v>
      </c>
      <c r="D194" s="101">
        <v>43753</v>
      </c>
      <c r="E194" s="102">
        <v>0.33333333333333331</v>
      </c>
      <c r="F194" s="103">
        <v>0.35416666666666669</v>
      </c>
      <c r="G194" s="103">
        <v>0.33333333333333331</v>
      </c>
      <c r="H194" s="103">
        <v>0.375</v>
      </c>
      <c r="I194" s="90">
        <f t="shared" si="26"/>
        <v>0.50000000000000089</v>
      </c>
      <c r="J194" s="90">
        <f t="shared" si="21"/>
        <v>1.0000000000000004</v>
      </c>
      <c r="K194" s="91">
        <f t="shared" si="29"/>
        <v>0.66666666666666663</v>
      </c>
      <c r="L194" s="91">
        <f t="shared" si="30"/>
        <v>4.375</v>
      </c>
      <c r="M194" s="29">
        <f t="shared" si="27"/>
        <v>20</v>
      </c>
      <c r="N194" s="92">
        <f t="shared" si="22"/>
        <v>0.50000000000000089</v>
      </c>
      <c r="O194" s="104">
        <f t="shared" si="23"/>
        <v>1.016</v>
      </c>
      <c r="P194" s="105">
        <f t="shared" si="24"/>
        <v>7.1120000000000116</v>
      </c>
    </row>
    <row r="195" spans="2:16" x14ac:dyDescent="0.25">
      <c r="B195" s="88" t="str">
        <f t="shared" si="25"/>
        <v>Fazenda Altenor</v>
      </c>
      <c r="C195" s="106">
        <f t="shared" si="28"/>
        <v>2019</v>
      </c>
      <c r="D195" s="101">
        <v>43754</v>
      </c>
      <c r="E195" s="102">
        <v>0.375</v>
      </c>
      <c r="F195" s="103">
        <v>0.39583333333333331</v>
      </c>
      <c r="G195" s="103">
        <v>0.375</v>
      </c>
      <c r="H195" s="103">
        <v>0.41666666666666669</v>
      </c>
      <c r="I195" s="90">
        <f t="shared" si="26"/>
        <v>0.49999999999999956</v>
      </c>
      <c r="J195" s="90">
        <f t="shared" si="21"/>
        <v>1.0000000000000004</v>
      </c>
      <c r="K195" s="91">
        <f t="shared" si="29"/>
        <v>0.66666666666666663</v>
      </c>
      <c r="L195" s="91">
        <f t="shared" si="30"/>
        <v>4.375</v>
      </c>
      <c r="M195" s="29">
        <f t="shared" si="27"/>
        <v>20</v>
      </c>
      <c r="N195" s="92">
        <f t="shared" si="22"/>
        <v>0.49999999999999956</v>
      </c>
      <c r="O195" s="104">
        <f t="shared" si="23"/>
        <v>1.016</v>
      </c>
      <c r="P195" s="105">
        <f t="shared" si="24"/>
        <v>7.111999999999993</v>
      </c>
    </row>
    <row r="196" spans="2:16" x14ac:dyDescent="0.25">
      <c r="B196" s="88" t="str">
        <f t="shared" si="25"/>
        <v>Fazenda Altenor</v>
      </c>
      <c r="C196" s="106">
        <f t="shared" si="28"/>
        <v>2019</v>
      </c>
      <c r="D196" s="101">
        <v>43755</v>
      </c>
      <c r="E196" s="102"/>
      <c r="F196" s="103"/>
      <c r="G196" s="103"/>
      <c r="H196" s="103"/>
      <c r="I196" s="90">
        <f t="shared" si="26"/>
        <v>0</v>
      </c>
      <c r="J196" s="90">
        <f t="shared" si="21"/>
        <v>0</v>
      </c>
      <c r="K196" s="91">
        <f t="shared" si="29"/>
        <v>0.66666666666666663</v>
      </c>
      <c r="L196" s="91">
        <f t="shared" si="30"/>
        <v>4.375</v>
      </c>
      <c r="M196" s="29">
        <f t="shared" si="27"/>
        <v>20</v>
      </c>
      <c r="N196" s="92">
        <f t="shared" si="22"/>
        <v>0</v>
      </c>
      <c r="O196" s="104">
        <f t="shared" si="23"/>
        <v>1.016</v>
      </c>
      <c r="P196" s="105">
        <f t="shared" si="24"/>
        <v>0</v>
      </c>
    </row>
    <row r="197" spans="2:16" x14ac:dyDescent="0.25">
      <c r="B197" s="88" t="str">
        <f t="shared" si="25"/>
        <v>Fazenda Altenor</v>
      </c>
      <c r="C197" s="106">
        <f t="shared" si="28"/>
        <v>2019</v>
      </c>
      <c r="D197" s="101">
        <v>43756</v>
      </c>
      <c r="E197" s="102">
        <v>0.29166666666666669</v>
      </c>
      <c r="F197" s="103">
        <v>0.3125</v>
      </c>
      <c r="G197" s="103">
        <v>0.29166666666666669</v>
      </c>
      <c r="H197" s="103">
        <v>0.33333333333333331</v>
      </c>
      <c r="I197" s="90">
        <f t="shared" si="26"/>
        <v>0.49999999999999956</v>
      </c>
      <c r="J197" s="90">
        <f t="shared" si="21"/>
        <v>0.99999999999999911</v>
      </c>
      <c r="K197" s="91">
        <f t="shared" si="29"/>
        <v>0.66666666666666663</v>
      </c>
      <c r="L197" s="91">
        <f t="shared" si="30"/>
        <v>4.375</v>
      </c>
      <c r="M197" s="29">
        <f t="shared" si="27"/>
        <v>20</v>
      </c>
      <c r="N197" s="92">
        <f t="shared" si="22"/>
        <v>0.49999999999999956</v>
      </c>
      <c r="O197" s="104">
        <f t="shared" si="23"/>
        <v>1.016</v>
      </c>
      <c r="P197" s="105">
        <f t="shared" si="24"/>
        <v>7.111999999999993</v>
      </c>
    </row>
    <row r="198" spans="2:16" x14ac:dyDescent="0.25">
      <c r="B198" s="88" t="str">
        <f t="shared" si="25"/>
        <v>Fazenda Altenor</v>
      </c>
      <c r="C198" s="106">
        <f t="shared" si="28"/>
        <v>2019</v>
      </c>
      <c r="D198" s="101">
        <v>43757</v>
      </c>
      <c r="E198" s="102">
        <v>0.3125</v>
      </c>
      <c r="F198" s="103">
        <v>0.33333333333333331</v>
      </c>
      <c r="G198" s="103">
        <v>0.3125</v>
      </c>
      <c r="H198" s="103">
        <v>0.35416666666666669</v>
      </c>
      <c r="I198" s="90">
        <f t="shared" si="26"/>
        <v>0.49999999999999956</v>
      </c>
      <c r="J198" s="90">
        <f t="shared" si="21"/>
        <v>1.0000000000000004</v>
      </c>
      <c r="K198" s="91">
        <f t="shared" si="29"/>
        <v>0.66666666666666663</v>
      </c>
      <c r="L198" s="91">
        <f t="shared" si="30"/>
        <v>4.375</v>
      </c>
      <c r="M198" s="29">
        <f t="shared" si="27"/>
        <v>20</v>
      </c>
      <c r="N198" s="92">
        <f t="shared" si="22"/>
        <v>0.49999999999999956</v>
      </c>
      <c r="O198" s="104">
        <f t="shared" si="23"/>
        <v>1.016</v>
      </c>
      <c r="P198" s="105">
        <f t="shared" si="24"/>
        <v>7.111999999999993</v>
      </c>
    </row>
    <row r="199" spans="2:16" x14ac:dyDescent="0.25">
      <c r="B199" s="88" t="str">
        <f t="shared" si="25"/>
        <v>Fazenda Altenor</v>
      </c>
      <c r="C199" s="106">
        <f t="shared" si="28"/>
        <v>2019</v>
      </c>
      <c r="D199" s="101">
        <v>43758</v>
      </c>
      <c r="E199" s="102">
        <v>0.3125</v>
      </c>
      <c r="F199" s="103">
        <v>0.33333333333333331</v>
      </c>
      <c r="G199" s="103">
        <v>0.33333333333333331</v>
      </c>
      <c r="H199" s="103">
        <v>0.375</v>
      </c>
      <c r="I199" s="90">
        <f t="shared" si="26"/>
        <v>0.49999999999999956</v>
      </c>
      <c r="J199" s="90">
        <f t="shared" si="21"/>
        <v>1.0000000000000004</v>
      </c>
      <c r="K199" s="91">
        <f t="shared" si="29"/>
        <v>0.66666666666666663</v>
      </c>
      <c r="L199" s="91">
        <f t="shared" si="30"/>
        <v>4.375</v>
      </c>
      <c r="M199" s="29">
        <f t="shared" si="27"/>
        <v>20</v>
      </c>
      <c r="N199" s="92">
        <f t="shared" si="22"/>
        <v>0.49999999999999956</v>
      </c>
      <c r="O199" s="104">
        <f t="shared" si="23"/>
        <v>1.016</v>
      </c>
      <c r="P199" s="105">
        <f t="shared" si="24"/>
        <v>7.111999999999993</v>
      </c>
    </row>
    <row r="200" spans="2:16" x14ac:dyDescent="0.25">
      <c r="B200" s="88" t="str">
        <f t="shared" si="25"/>
        <v>Fazenda Altenor</v>
      </c>
      <c r="C200" s="106">
        <f t="shared" si="28"/>
        <v>2019</v>
      </c>
      <c r="D200" s="101">
        <v>43759</v>
      </c>
      <c r="E200" s="102">
        <v>0.375</v>
      </c>
      <c r="F200" s="103">
        <v>0.39583333333333331</v>
      </c>
      <c r="G200" s="103">
        <v>0.375</v>
      </c>
      <c r="H200" s="103">
        <v>0.41666666666666669</v>
      </c>
      <c r="I200" s="90">
        <f t="shared" si="26"/>
        <v>0.49999999999999956</v>
      </c>
      <c r="J200" s="90">
        <f t="shared" si="21"/>
        <v>1.0000000000000004</v>
      </c>
      <c r="K200" s="91">
        <f t="shared" si="29"/>
        <v>0.66666666666666663</v>
      </c>
      <c r="L200" s="91">
        <f t="shared" si="30"/>
        <v>4.375</v>
      </c>
      <c r="M200" s="29">
        <f t="shared" si="27"/>
        <v>20</v>
      </c>
      <c r="N200" s="92">
        <f t="shared" si="22"/>
        <v>0.49999999999999956</v>
      </c>
      <c r="O200" s="104">
        <f t="shared" si="23"/>
        <v>1.016</v>
      </c>
      <c r="P200" s="105">
        <f t="shared" si="24"/>
        <v>7.111999999999993</v>
      </c>
    </row>
    <row r="201" spans="2:16" x14ac:dyDescent="0.25">
      <c r="B201" s="88" t="str">
        <f t="shared" si="25"/>
        <v>Fazenda Altenor</v>
      </c>
      <c r="C201" s="106">
        <f t="shared" si="28"/>
        <v>2019</v>
      </c>
      <c r="D201" s="101">
        <v>43760</v>
      </c>
      <c r="E201" s="102">
        <v>0.29166666666666669</v>
      </c>
      <c r="F201" s="103">
        <v>0.3125</v>
      </c>
      <c r="G201" s="103">
        <v>0.29166666666666669</v>
      </c>
      <c r="H201" s="103">
        <v>0.33333333333333331</v>
      </c>
      <c r="I201" s="90">
        <f t="shared" si="26"/>
        <v>0.49999999999999956</v>
      </c>
      <c r="J201" s="90">
        <f t="shared" si="21"/>
        <v>0.99999999999999911</v>
      </c>
      <c r="K201" s="91">
        <f t="shared" si="29"/>
        <v>0.66666666666666663</v>
      </c>
      <c r="L201" s="91">
        <f t="shared" si="30"/>
        <v>4.375</v>
      </c>
      <c r="M201" s="29">
        <f t="shared" si="27"/>
        <v>20</v>
      </c>
      <c r="N201" s="92">
        <f t="shared" si="22"/>
        <v>0.49999999999999956</v>
      </c>
      <c r="O201" s="104">
        <f t="shared" si="23"/>
        <v>1.016</v>
      </c>
      <c r="P201" s="105">
        <f t="shared" si="24"/>
        <v>7.111999999999993</v>
      </c>
    </row>
    <row r="202" spans="2:16" x14ac:dyDescent="0.25">
      <c r="B202" s="88" t="str">
        <f t="shared" si="25"/>
        <v>Fazenda Altenor</v>
      </c>
      <c r="C202" s="106">
        <f t="shared" si="28"/>
        <v>2019</v>
      </c>
      <c r="D202" s="101">
        <v>43761</v>
      </c>
      <c r="E202" s="102">
        <v>0.35416666666666669</v>
      </c>
      <c r="F202" s="103">
        <v>0.375</v>
      </c>
      <c r="G202" s="103">
        <v>0.35416666666666669</v>
      </c>
      <c r="H202" s="103">
        <v>0.40625</v>
      </c>
      <c r="I202" s="90">
        <f t="shared" si="26"/>
        <v>0.49999999999999956</v>
      </c>
      <c r="J202" s="90">
        <f t="shared" si="21"/>
        <v>1.2499999999999996</v>
      </c>
      <c r="K202" s="91">
        <f t="shared" si="29"/>
        <v>0.66666666666666663</v>
      </c>
      <c r="L202" s="91">
        <f t="shared" si="30"/>
        <v>4.375</v>
      </c>
      <c r="M202" s="29">
        <f t="shared" si="27"/>
        <v>20</v>
      </c>
      <c r="N202" s="92">
        <f t="shared" si="22"/>
        <v>0.49999999999999956</v>
      </c>
      <c r="O202" s="104">
        <f t="shared" si="23"/>
        <v>1.016</v>
      </c>
      <c r="P202" s="105">
        <f t="shared" si="24"/>
        <v>7.111999999999993</v>
      </c>
    </row>
    <row r="203" spans="2:16" x14ac:dyDescent="0.25">
      <c r="B203" s="88" t="str">
        <f t="shared" si="25"/>
        <v>Fazenda Altenor</v>
      </c>
      <c r="C203" s="106">
        <f t="shared" si="28"/>
        <v>2019</v>
      </c>
      <c r="D203" s="101">
        <v>43762</v>
      </c>
      <c r="E203" s="102">
        <v>0.33333333333333331</v>
      </c>
      <c r="F203" s="103">
        <v>0.35416666666666669</v>
      </c>
      <c r="G203" s="103">
        <v>0.33333333333333331</v>
      </c>
      <c r="H203" s="103">
        <v>0.375</v>
      </c>
      <c r="I203" s="90">
        <f t="shared" si="26"/>
        <v>0.50000000000000089</v>
      </c>
      <c r="J203" s="90">
        <f t="shared" si="21"/>
        <v>1.0000000000000004</v>
      </c>
      <c r="K203" s="91">
        <f t="shared" si="29"/>
        <v>0.66666666666666663</v>
      </c>
      <c r="L203" s="91">
        <f t="shared" si="30"/>
        <v>4.375</v>
      </c>
      <c r="M203" s="29">
        <f t="shared" si="27"/>
        <v>20</v>
      </c>
      <c r="N203" s="92">
        <f t="shared" si="22"/>
        <v>0.50000000000000089</v>
      </c>
      <c r="O203" s="104">
        <f t="shared" si="23"/>
        <v>1.016</v>
      </c>
      <c r="P203" s="105">
        <f t="shared" si="24"/>
        <v>7.1120000000000116</v>
      </c>
    </row>
    <row r="204" spans="2:16" x14ac:dyDescent="0.25">
      <c r="B204" s="88" t="str">
        <f t="shared" si="25"/>
        <v>Fazenda Altenor</v>
      </c>
      <c r="C204" s="106">
        <f t="shared" si="28"/>
        <v>2019</v>
      </c>
      <c r="D204" s="101">
        <v>43763</v>
      </c>
      <c r="E204" s="102">
        <v>0.29166666666666669</v>
      </c>
      <c r="F204" s="103">
        <v>0.3125</v>
      </c>
      <c r="G204" s="103">
        <v>0.29166666666666669</v>
      </c>
      <c r="H204" s="103">
        <v>0.33333333333333331</v>
      </c>
      <c r="I204" s="90">
        <f>((F204-E204)-INT($D$20))*24</f>
        <v>0.49999999999999956</v>
      </c>
      <c r="J204" s="90">
        <f t="shared" si="21"/>
        <v>0.99999999999999911</v>
      </c>
      <c r="K204" s="91">
        <f t="shared" si="29"/>
        <v>0.66666666666666663</v>
      </c>
      <c r="L204" s="91">
        <f t="shared" si="30"/>
        <v>4.375</v>
      </c>
      <c r="M204" s="29">
        <f t="shared" si="27"/>
        <v>20</v>
      </c>
      <c r="N204" s="92">
        <f t="shared" si="22"/>
        <v>0.49999999999999956</v>
      </c>
      <c r="O204" s="104">
        <f t="shared" si="23"/>
        <v>1.016</v>
      </c>
      <c r="P204" s="105">
        <f t="shared" si="24"/>
        <v>7.111999999999993</v>
      </c>
    </row>
    <row r="205" spans="2:16" x14ac:dyDescent="0.25">
      <c r="B205" s="88" t="str">
        <f t="shared" si="25"/>
        <v>Fazenda Altenor</v>
      </c>
      <c r="C205" s="106">
        <f t="shared" si="28"/>
        <v>2019</v>
      </c>
      <c r="D205" s="101">
        <v>43764</v>
      </c>
      <c r="E205" s="102">
        <v>0.29166666666666669</v>
      </c>
      <c r="F205" s="102">
        <v>0.3125</v>
      </c>
      <c r="G205" s="103">
        <v>0.3125</v>
      </c>
      <c r="H205" s="103">
        <v>0.36458333333333331</v>
      </c>
      <c r="I205" s="90">
        <f>((F205-E205)-INT($D$20))*24</f>
        <v>0.49999999999999956</v>
      </c>
      <c r="J205" s="90">
        <f t="shared" si="21"/>
        <v>1.2499999999999996</v>
      </c>
      <c r="K205" s="91">
        <f t="shared" si="29"/>
        <v>0.66666666666666663</v>
      </c>
      <c r="L205" s="91">
        <f t="shared" si="30"/>
        <v>4.375</v>
      </c>
      <c r="M205" s="29">
        <f t="shared" si="27"/>
        <v>20</v>
      </c>
      <c r="N205" s="92">
        <f t="shared" si="22"/>
        <v>0.49999999999999956</v>
      </c>
      <c r="O205" s="104">
        <f t="shared" si="23"/>
        <v>1.016</v>
      </c>
      <c r="P205" s="105">
        <f t="shared" si="24"/>
        <v>7.111999999999993</v>
      </c>
    </row>
    <row r="206" spans="2:16" x14ac:dyDescent="0.25">
      <c r="B206" s="88" t="str">
        <f t="shared" si="25"/>
        <v>Fazenda Altenor</v>
      </c>
      <c r="C206" s="106">
        <f t="shared" si="28"/>
        <v>2019</v>
      </c>
      <c r="D206" s="101">
        <v>43765</v>
      </c>
      <c r="E206" s="102">
        <v>0.33333333333333331</v>
      </c>
      <c r="F206" s="103">
        <v>0.35416666666666669</v>
      </c>
      <c r="G206" s="103">
        <v>0.3125</v>
      </c>
      <c r="H206" s="103">
        <v>0.36458333333333331</v>
      </c>
      <c r="I206" s="90">
        <f t="shared" si="26"/>
        <v>0.50000000000000089</v>
      </c>
      <c r="J206" s="90">
        <f t="shared" si="21"/>
        <v>1.2499999999999996</v>
      </c>
      <c r="K206" s="91">
        <f t="shared" si="29"/>
        <v>0.66666666666666663</v>
      </c>
      <c r="L206" s="91">
        <f t="shared" si="30"/>
        <v>4.375</v>
      </c>
      <c r="M206" s="29">
        <f t="shared" si="27"/>
        <v>20</v>
      </c>
      <c r="N206" s="92">
        <f t="shared" si="22"/>
        <v>0.50000000000000089</v>
      </c>
      <c r="O206" s="104">
        <f t="shared" si="23"/>
        <v>1.016</v>
      </c>
      <c r="P206" s="105">
        <f t="shared" si="24"/>
        <v>7.1120000000000116</v>
      </c>
    </row>
    <row r="207" spans="2:16" x14ac:dyDescent="0.25">
      <c r="B207" s="88" t="str">
        <f t="shared" si="25"/>
        <v>Fazenda Altenor</v>
      </c>
      <c r="C207" s="106">
        <f t="shared" si="28"/>
        <v>2019</v>
      </c>
      <c r="D207" s="101">
        <v>43766</v>
      </c>
      <c r="E207" s="102">
        <v>0.35416666666666669</v>
      </c>
      <c r="F207" s="103">
        <v>0.375</v>
      </c>
      <c r="G207" s="103">
        <v>0.35416666666666669</v>
      </c>
      <c r="H207" s="103">
        <v>0.39583333333333331</v>
      </c>
      <c r="I207" s="90">
        <f t="shared" si="26"/>
        <v>0.49999999999999956</v>
      </c>
      <c r="J207" s="90">
        <f t="shared" si="21"/>
        <v>0.99999999999999911</v>
      </c>
      <c r="K207" s="91">
        <f t="shared" si="29"/>
        <v>0.66666666666666663</v>
      </c>
      <c r="L207" s="91">
        <f t="shared" si="30"/>
        <v>4.375</v>
      </c>
      <c r="M207" s="29">
        <f t="shared" si="27"/>
        <v>20</v>
      </c>
      <c r="N207" s="92">
        <f t="shared" si="22"/>
        <v>0.49999999999999956</v>
      </c>
      <c r="O207" s="104">
        <f t="shared" si="23"/>
        <v>1.016</v>
      </c>
      <c r="P207" s="105">
        <f t="shared" si="24"/>
        <v>7.111999999999993</v>
      </c>
    </row>
    <row r="208" spans="2:16" x14ac:dyDescent="0.25">
      <c r="B208" s="88" t="str">
        <f t="shared" si="25"/>
        <v>Fazenda Altenor</v>
      </c>
      <c r="C208" s="106">
        <f t="shared" si="28"/>
        <v>2019</v>
      </c>
      <c r="D208" s="101">
        <v>43767</v>
      </c>
      <c r="E208" s="102">
        <v>0.29166666666666669</v>
      </c>
      <c r="F208" s="103">
        <v>0.3125</v>
      </c>
      <c r="G208" s="103">
        <v>0.29166666666666669</v>
      </c>
      <c r="H208" s="103">
        <v>0.33333333333333331</v>
      </c>
      <c r="I208" s="90">
        <f t="shared" si="26"/>
        <v>0.49999999999999956</v>
      </c>
      <c r="J208" s="90">
        <f t="shared" si="21"/>
        <v>0.99999999999999911</v>
      </c>
      <c r="K208" s="91">
        <f t="shared" si="29"/>
        <v>0.66666666666666663</v>
      </c>
      <c r="L208" s="91">
        <f t="shared" si="30"/>
        <v>4.375</v>
      </c>
      <c r="M208" s="29">
        <f t="shared" si="27"/>
        <v>20</v>
      </c>
      <c r="N208" s="92">
        <f t="shared" si="22"/>
        <v>0.49999999999999956</v>
      </c>
      <c r="O208" s="104">
        <f t="shared" si="23"/>
        <v>1.016</v>
      </c>
      <c r="P208" s="105">
        <f t="shared" si="24"/>
        <v>7.111999999999993</v>
      </c>
    </row>
    <row r="209" spans="2:16" x14ac:dyDescent="0.25">
      <c r="B209" s="88" t="str">
        <f t="shared" si="25"/>
        <v>Fazenda Altenor</v>
      </c>
      <c r="C209" s="106">
        <f t="shared" si="28"/>
        <v>2019</v>
      </c>
      <c r="D209" s="101">
        <v>43768</v>
      </c>
      <c r="E209" s="102">
        <v>0.33333333333333331</v>
      </c>
      <c r="F209" s="103">
        <v>0.35416666666666669</v>
      </c>
      <c r="G209" s="103">
        <v>0.33333333333333331</v>
      </c>
      <c r="H209" s="103">
        <v>0.375</v>
      </c>
      <c r="I209" s="90">
        <f t="shared" si="26"/>
        <v>0.50000000000000089</v>
      </c>
      <c r="J209" s="90">
        <f t="shared" si="21"/>
        <v>1.0000000000000004</v>
      </c>
      <c r="K209" s="91">
        <f t="shared" si="29"/>
        <v>0.66666666666666663</v>
      </c>
      <c r="L209" s="91">
        <f t="shared" si="30"/>
        <v>4.375</v>
      </c>
      <c r="M209" s="29">
        <f t="shared" si="27"/>
        <v>20</v>
      </c>
      <c r="N209" s="92">
        <f t="shared" si="22"/>
        <v>0.50000000000000089</v>
      </c>
      <c r="O209" s="104">
        <f t="shared" si="23"/>
        <v>1.016</v>
      </c>
      <c r="P209" s="105">
        <f t="shared" si="24"/>
        <v>7.1120000000000116</v>
      </c>
    </row>
    <row r="210" spans="2:16" x14ac:dyDescent="0.25">
      <c r="B210" s="88" t="str">
        <f t="shared" si="25"/>
        <v>Fazenda Altenor</v>
      </c>
      <c r="C210" s="106">
        <f t="shared" si="28"/>
        <v>2019</v>
      </c>
      <c r="D210" s="101">
        <v>43769</v>
      </c>
      <c r="E210" s="102">
        <v>0.3125</v>
      </c>
      <c r="F210" s="103">
        <v>0.33333333333333331</v>
      </c>
      <c r="G210" s="103">
        <v>0.3125</v>
      </c>
      <c r="H210" s="103">
        <v>0.36458333333333331</v>
      </c>
      <c r="I210" s="90">
        <f t="shared" si="26"/>
        <v>0.49999999999999956</v>
      </c>
      <c r="J210" s="90">
        <f t="shared" si="21"/>
        <v>1.2499999999999996</v>
      </c>
      <c r="K210" s="91">
        <f t="shared" si="29"/>
        <v>0.66666666666666663</v>
      </c>
      <c r="L210" s="91">
        <f t="shared" si="30"/>
        <v>4.375</v>
      </c>
      <c r="M210" s="29">
        <f t="shared" si="27"/>
        <v>20</v>
      </c>
      <c r="N210" s="92">
        <f t="shared" si="22"/>
        <v>0.49999999999999956</v>
      </c>
      <c r="O210" s="104">
        <f t="shared" si="23"/>
        <v>1.016</v>
      </c>
      <c r="P210" s="105">
        <f t="shared" si="24"/>
        <v>7.111999999999993</v>
      </c>
    </row>
    <row r="211" spans="2:16" x14ac:dyDescent="0.25">
      <c r="B211" s="88" t="str">
        <f t="shared" si="25"/>
        <v>Fazenda Altenor</v>
      </c>
      <c r="C211" s="106">
        <f t="shared" si="28"/>
        <v>2019</v>
      </c>
      <c r="D211" s="101">
        <v>43770</v>
      </c>
      <c r="E211" s="102"/>
      <c r="F211" s="103"/>
      <c r="G211" s="103"/>
      <c r="H211" s="103"/>
      <c r="I211" s="90">
        <f t="shared" si="26"/>
        <v>0</v>
      </c>
      <c r="J211" s="90">
        <f t="shared" si="21"/>
        <v>0</v>
      </c>
      <c r="K211" s="91">
        <f t="shared" si="29"/>
        <v>0.66666666666666663</v>
      </c>
      <c r="L211" s="91">
        <f t="shared" si="30"/>
        <v>4.375</v>
      </c>
      <c r="M211" s="29">
        <f t="shared" si="27"/>
        <v>20</v>
      </c>
      <c r="N211" s="92">
        <f t="shared" si="22"/>
        <v>0</v>
      </c>
      <c r="O211" s="104">
        <f t="shared" si="23"/>
        <v>1.016</v>
      </c>
      <c r="P211" s="105">
        <f t="shared" si="24"/>
        <v>0</v>
      </c>
    </row>
    <row r="212" spans="2:16" x14ac:dyDescent="0.25">
      <c r="B212" s="88" t="str">
        <f t="shared" si="25"/>
        <v>Fazenda Altenor</v>
      </c>
      <c r="C212" s="106">
        <f t="shared" si="28"/>
        <v>2019</v>
      </c>
      <c r="D212" s="101">
        <v>43771</v>
      </c>
      <c r="E212" s="102">
        <v>0.375</v>
      </c>
      <c r="F212" s="103">
        <v>0.39583333333333331</v>
      </c>
      <c r="G212" s="103">
        <v>0.375</v>
      </c>
      <c r="H212" s="103">
        <v>0.41666666666666669</v>
      </c>
      <c r="I212" s="90">
        <f t="shared" si="26"/>
        <v>0.49999999999999956</v>
      </c>
      <c r="J212" s="90">
        <f t="shared" si="21"/>
        <v>1.0000000000000004</v>
      </c>
      <c r="K212" s="91">
        <f t="shared" si="29"/>
        <v>0.66666666666666663</v>
      </c>
      <c r="L212" s="91">
        <f t="shared" si="30"/>
        <v>4.375</v>
      </c>
      <c r="M212" s="29">
        <f t="shared" si="27"/>
        <v>20</v>
      </c>
      <c r="N212" s="92">
        <f t="shared" si="22"/>
        <v>0.49999999999999956</v>
      </c>
      <c r="O212" s="104">
        <f t="shared" si="23"/>
        <v>1.016</v>
      </c>
      <c r="P212" s="105">
        <f t="shared" si="24"/>
        <v>7.111999999999993</v>
      </c>
    </row>
    <row r="213" spans="2:16" x14ac:dyDescent="0.25">
      <c r="B213" s="88" t="str">
        <f t="shared" si="25"/>
        <v>Fazenda Altenor</v>
      </c>
      <c r="C213" s="106">
        <f t="shared" si="28"/>
        <v>2019</v>
      </c>
      <c r="D213" s="101">
        <v>43772</v>
      </c>
      <c r="E213" s="102">
        <v>0.29166666666666669</v>
      </c>
      <c r="F213" s="103">
        <v>0.3125</v>
      </c>
      <c r="G213" s="103">
        <v>0.29166666666666669</v>
      </c>
      <c r="H213" s="103">
        <v>0.33333333333333331</v>
      </c>
      <c r="I213" s="90">
        <f t="shared" si="26"/>
        <v>0.49999999999999956</v>
      </c>
      <c r="J213" s="90">
        <f t="shared" si="21"/>
        <v>0.99999999999999911</v>
      </c>
      <c r="K213" s="91">
        <f t="shared" si="29"/>
        <v>0.66666666666666663</v>
      </c>
      <c r="L213" s="91">
        <f t="shared" si="30"/>
        <v>4.375</v>
      </c>
      <c r="M213" s="29">
        <f t="shared" si="27"/>
        <v>20</v>
      </c>
      <c r="N213" s="92">
        <f t="shared" si="22"/>
        <v>0.49999999999999956</v>
      </c>
      <c r="O213" s="104">
        <f t="shared" si="23"/>
        <v>1.016</v>
      </c>
      <c r="P213" s="105">
        <f t="shared" si="24"/>
        <v>7.111999999999993</v>
      </c>
    </row>
    <row r="214" spans="2:16" x14ac:dyDescent="0.25">
      <c r="B214" s="88" t="str">
        <f t="shared" si="25"/>
        <v>Fazenda Altenor</v>
      </c>
      <c r="C214" s="106">
        <f t="shared" si="28"/>
        <v>2019</v>
      </c>
      <c r="D214" s="101">
        <v>43773</v>
      </c>
      <c r="E214" s="102">
        <v>0.33333333333333331</v>
      </c>
      <c r="F214" s="103">
        <v>0.35416666666666669</v>
      </c>
      <c r="G214" s="103">
        <v>0.33333333333333331</v>
      </c>
      <c r="H214" s="103">
        <v>0.375</v>
      </c>
      <c r="I214" s="90">
        <f t="shared" si="26"/>
        <v>0.50000000000000089</v>
      </c>
      <c r="J214" s="90">
        <f t="shared" si="21"/>
        <v>1.0000000000000004</v>
      </c>
      <c r="K214" s="91">
        <f t="shared" si="29"/>
        <v>0.66666666666666663</v>
      </c>
      <c r="L214" s="91">
        <f t="shared" si="30"/>
        <v>4.375</v>
      </c>
      <c r="M214" s="29">
        <f t="shared" si="27"/>
        <v>20</v>
      </c>
      <c r="N214" s="92">
        <f t="shared" si="22"/>
        <v>0.50000000000000089</v>
      </c>
      <c r="O214" s="104">
        <f t="shared" si="23"/>
        <v>1.016</v>
      </c>
      <c r="P214" s="105">
        <f t="shared" si="24"/>
        <v>7.1120000000000116</v>
      </c>
    </row>
    <row r="215" spans="2:16" x14ac:dyDescent="0.25">
      <c r="B215" s="88" t="str">
        <f t="shared" si="25"/>
        <v>Fazenda Altenor</v>
      </c>
      <c r="C215" s="106">
        <f t="shared" si="28"/>
        <v>2019</v>
      </c>
      <c r="D215" s="101">
        <v>43774</v>
      </c>
      <c r="E215" s="102">
        <v>0.3125</v>
      </c>
      <c r="F215" s="103">
        <v>0.33333333333333331</v>
      </c>
      <c r="G215" s="103">
        <v>0.3125</v>
      </c>
      <c r="H215" s="103">
        <v>0.35416666666666669</v>
      </c>
      <c r="I215" s="90">
        <f t="shared" si="26"/>
        <v>0.49999999999999956</v>
      </c>
      <c r="J215" s="90">
        <f t="shared" si="21"/>
        <v>1.0000000000000004</v>
      </c>
      <c r="K215" s="91">
        <f t="shared" si="29"/>
        <v>0.66666666666666663</v>
      </c>
      <c r="L215" s="91">
        <f t="shared" si="30"/>
        <v>4.375</v>
      </c>
      <c r="M215" s="29">
        <f t="shared" si="27"/>
        <v>20</v>
      </c>
      <c r="N215" s="92">
        <f t="shared" si="22"/>
        <v>0.49999999999999956</v>
      </c>
      <c r="O215" s="104">
        <f t="shared" si="23"/>
        <v>1.016</v>
      </c>
      <c r="P215" s="105">
        <f t="shared" si="24"/>
        <v>7.111999999999993</v>
      </c>
    </row>
    <row r="216" spans="2:16" x14ac:dyDescent="0.25">
      <c r="B216" s="88" t="str">
        <f t="shared" si="25"/>
        <v>Fazenda Altenor</v>
      </c>
      <c r="C216" s="106">
        <f t="shared" si="28"/>
        <v>2019</v>
      </c>
      <c r="D216" s="101">
        <v>43775</v>
      </c>
      <c r="E216" s="102">
        <v>0.375</v>
      </c>
      <c r="F216" s="103">
        <v>0.39583333333333331</v>
      </c>
      <c r="G216" s="103">
        <v>0.375</v>
      </c>
      <c r="H216" s="103">
        <v>0.41666666666666669</v>
      </c>
      <c r="I216" s="90">
        <f t="shared" si="26"/>
        <v>0.49999999999999956</v>
      </c>
      <c r="J216" s="90">
        <f t="shared" si="21"/>
        <v>1.0000000000000004</v>
      </c>
      <c r="K216" s="91">
        <f t="shared" si="29"/>
        <v>0.66666666666666663</v>
      </c>
      <c r="L216" s="91">
        <f t="shared" si="30"/>
        <v>4.375</v>
      </c>
      <c r="M216" s="29">
        <f t="shared" si="27"/>
        <v>20</v>
      </c>
      <c r="N216" s="92">
        <f t="shared" si="22"/>
        <v>0.49999999999999956</v>
      </c>
      <c r="O216" s="104">
        <f t="shared" si="23"/>
        <v>1.016</v>
      </c>
      <c r="P216" s="105">
        <f t="shared" si="24"/>
        <v>7.111999999999993</v>
      </c>
    </row>
    <row r="217" spans="2:16" x14ac:dyDescent="0.25">
      <c r="B217" s="88" t="str">
        <f t="shared" si="25"/>
        <v>Fazenda Altenor</v>
      </c>
      <c r="C217" s="106">
        <f t="shared" si="28"/>
        <v>2019</v>
      </c>
      <c r="D217" s="101">
        <v>43776</v>
      </c>
      <c r="E217" s="102">
        <v>0.33333333333333331</v>
      </c>
      <c r="F217" s="103">
        <v>0.35416666666666669</v>
      </c>
      <c r="G217" s="103">
        <v>0.33333333333333331</v>
      </c>
      <c r="H217" s="103">
        <v>0.375</v>
      </c>
      <c r="I217" s="90">
        <f t="shared" si="26"/>
        <v>0.50000000000000089</v>
      </c>
      <c r="J217" s="90">
        <f t="shared" si="21"/>
        <v>1.0000000000000004</v>
      </c>
      <c r="K217" s="91">
        <f t="shared" si="29"/>
        <v>0.66666666666666663</v>
      </c>
      <c r="L217" s="91">
        <f t="shared" si="30"/>
        <v>4.375</v>
      </c>
      <c r="M217" s="29">
        <f t="shared" si="27"/>
        <v>20</v>
      </c>
      <c r="N217" s="92">
        <f t="shared" si="22"/>
        <v>0.50000000000000089</v>
      </c>
      <c r="O217" s="104">
        <f t="shared" si="23"/>
        <v>1.016</v>
      </c>
      <c r="P217" s="105">
        <f t="shared" si="24"/>
        <v>7.1120000000000116</v>
      </c>
    </row>
    <row r="218" spans="2:16" x14ac:dyDescent="0.25">
      <c r="B218" s="88" t="str">
        <f t="shared" si="25"/>
        <v>Fazenda Altenor</v>
      </c>
      <c r="C218" s="106">
        <f t="shared" si="28"/>
        <v>2019</v>
      </c>
      <c r="D218" s="101">
        <v>43777</v>
      </c>
      <c r="E218" s="102">
        <v>0.35416666666666669</v>
      </c>
      <c r="F218" s="103">
        <v>0.375</v>
      </c>
      <c r="G218" s="103">
        <v>0.35416666666666669</v>
      </c>
      <c r="H218" s="103">
        <v>0.39583333333333331</v>
      </c>
      <c r="I218" s="90">
        <f t="shared" si="26"/>
        <v>0.49999999999999956</v>
      </c>
      <c r="J218" s="90">
        <f t="shared" si="21"/>
        <v>0.99999999999999911</v>
      </c>
      <c r="K218" s="91">
        <f t="shared" si="29"/>
        <v>0.66666666666666663</v>
      </c>
      <c r="L218" s="91">
        <f t="shared" si="30"/>
        <v>4.375</v>
      </c>
      <c r="M218" s="29">
        <f t="shared" si="27"/>
        <v>20</v>
      </c>
      <c r="N218" s="92">
        <f t="shared" si="22"/>
        <v>0.49999999999999956</v>
      </c>
      <c r="O218" s="104">
        <f t="shared" si="23"/>
        <v>1.016</v>
      </c>
      <c r="P218" s="105">
        <f t="shared" si="24"/>
        <v>7.111999999999993</v>
      </c>
    </row>
    <row r="219" spans="2:16" x14ac:dyDescent="0.25">
      <c r="B219" s="88" t="str">
        <f t="shared" si="25"/>
        <v>Fazenda Altenor</v>
      </c>
      <c r="C219" s="106">
        <f t="shared" si="28"/>
        <v>2019</v>
      </c>
      <c r="D219" s="101">
        <v>43778</v>
      </c>
      <c r="E219" s="102">
        <v>0.29166666666666669</v>
      </c>
      <c r="F219" s="103">
        <v>0.3125</v>
      </c>
      <c r="G219" s="103">
        <v>0.29166666666666669</v>
      </c>
      <c r="H219" s="103">
        <v>0.33333333333333331</v>
      </c>
      <c r="I219" s="90">
        <f t="shared" si="26"/>
        <v>0.49999999999999956</v>
      </c>
      <c r="J219" s="90">
        <f t="shared" ref="J219:J282" si="31">((H219-G219)-INT($D$20))*24</f>
        <v>0.99999999999999911</v>
      </c>
      <c r="K219" s="91">
        <f t="shared" si="29"/>
        <v>0.66666666666666663</v>
      </c>
      <c r="L219" s="91">
        <f t="shared" si="30"/>
        <v>4.375</v>
      </c>
      <c r="M219" s="29">
        <f t="shared" si="27"/>
        <v>20</v>
      </c>
      <c r="N219" s="92">
        <f t="shared" ref="N219:N282" si="32">I219</f>
        <v>0.49999999999999956</v>
      </c>
      <c r="O219" s="104">
        <f t="shared" ref="O219:O282" si="33">$D$21/1000</f>
        <v>1.016</v>
      </c>
      <c r="P219" s="105">
        <f t="shared" ref="P219:P282" si="34">M219*N219*O219*0.7</f>
        <v>7.111999999999993</v>
      </c>
    </row>
    <row r="220" spans="2:16" x14ac:dyDescent="0.25">
      <c r="B220" s="88" t="str">
        <f t="shared" ref="B220:B283" si="35">$B$5</f>
        <v>Fazenda Altenor</v>
      </c>
      <c r="C220" s="106">
        <f t="shared" si="28"/>
        <v>2019</v>
      </c>
      <c r="D220" s="101">
        <v>43779</v>
      </c>
      <c r="E220" s="102">
        <v>0.29166666666666669</v>
      </c>
      <c r="F220" s="103">
        <v>0.3125</v>
      </c>
      <c r="G220" s="103">
        <v>0.29166666666666669</v>
      </c>
      <c r="H220" s="103">
        <v>0.33333333333333331</v>
      </c>
      <c r="I220" s="90">
        <f t="shared" ref="I220:I283" si="36">((F220-E220)-INT($D$20))*24</f>
        <v>0.49999999999999956</v>
      </c>
      <c r="J220" s="90">
        <f t="shared" si="31"/>
        <v>0.99999999999999911</v>
      </c>
      <c r="K220" s="91">
        <f t="shared" si="29"/>
        <v>0.66666666666666663</v>
      </c>
      <c r="L220" s="91">
        <f t="shared" si="30"/>
        <v>4.375</v>
      </c>
      <c r="M220" s="29">
        <f t="shared" ref="M220:M283" si="37">VLOOKUP(B220,$I$5:$J$17,2,FALSE)</f>
        <v>20</v>
      </c>
      <c r="N220" s="92">
        <f t="shared" si="32"/>
        <v>0.49999999999999956</v>
      </c>
      <c r="O220" s="104">
        <f t="shared" si="33"/>
        <v>1.016</v>
      </c>
      <c r="P220" s="105">
        <f t="shared" si="34"/>
        <v>7.111999999999993</v>
      </c>
    </row>
    <row r="221" spans="2:16" x14ac:dyDescent="0.25">
      <c r="B221" s="88" t="str">
        <f t="shared" si="35"/>
        <v>Fazenda Altenor</v>
      </c>
      <c r="C221" s="106">
        <f t="shared" ref="C221:C284" si="38">YEAR(D221)</f>
        <v>2019</v>
      </c>
      <c r="D221" s="101">
        <v>43780</v>
      </c>
      <c r="E221" s="102">
        <v>0.33333333333333331</v>
      </c>
      <c r="F221" s="103">
        <v>0.35416666666666669</v>
      </c>
      <c r="G221" s="103">
        <v>0.33333333333333331</v>
      </c>
      <c r="H221" s="103">
        <v>0.375</v>
      </c>
      <c r="I221" s="90">
        <f t="shared" si="36"/>
        <v>0.50000000000000089</v>
      </c>
      <c r="J221" s="90">
        <f t="shared" si="31"/>
        <v>1.0000000000000004</v>
      </c>
      <c r="K221" s="91">
        <f t="shared" ref="K221:K284" si="39">VLOOKUP(B221,$B$5:$J$17,5,FALSE)</f>
        <v>0.66666666666666663</v>
      </c>
      <c r="L221" s="91">
        <f t="shared" ref="L221:L284" si="40">VLOOKUP(B221,$B$5:$J$17,6,FALSE)</f>
        <v>4.375</v>
      </c>
      <c r="M221" s="29">
        <f t="shared" si="37"/>
        <v>20</v>
      </c>
      <c r="N221" s="92">
        <f t="shared" si="32"/>
        <v>0.50000000000000089</v>
      </c>
      <c r="O221" s="104">
        <f t="shared" si="33"/>
        <v>1.016</v>
      </c>
      <c r="P221" s="105">
        <f t="shared" si="34"/>
        <v>7.1120000000000116</v>
      </c>
    </row>
    <row r="222" spans="2:16" x14ac:dyDescent="0.25">
      <c r="B222" s="88" t="str">
        <f t="shared" si="35"/>
        <v>Fazenda Altenor</v>
      </c>
      <c r="C222" s="106">
        <f t="shared" si="38"/>
        <v>2019</v>
      </c>
      <c r="D222" s="101">
        <v>43781</v>
      </c>
      <c r="E222" s="102">
        <v>0.375</v>
      </c>
      <c r="F222" s="103">
        <v>0.39583333333333331</v>
      </c>
      <c r="G222" s="103">
        <v>0.375</v>
      </c>
      <c r="H222" s="103">
        <v>0.41666666666666669</v>
      </c>
      <c r="I222" s="90">
        <f t="shared" si="36"/>
        <v>0.49999999999999956</v>
      </c>
      <c r="J222" s="90">
        <f t="shared" si="31"/>
        <v>1.0000000000000004</v>
      </c>
      <c r="K222" s="91">
        <f t="shared" si="39"/>
        <v>0.66666666666666663</v>
      </c>
      <c r="L222" s="91">
        <f t="shared" si="40"/>
        <v>4.375</v>
      </c>
      <c r="M222" s="29">
        <f t="shared" si="37"/>
        <v>20</v>
      </c>
      <c r="N222" s="92">
        <f t="shared" si="32"/>
        <v>0.49999999999999956</v>
      </c>
      <c r="O222" s="104">
        <f t="shared" si="33"/>
        <v>1.016</v>
      </c>
      <c r="P222" s="105">
        <f t="shared" si="34"/>
        <v>7.111999999999993</v>
      </c>
    </row>
    <row r="223" spans="2:16" x14ac:dyDescent="0.25">
      <c r="B223" s="88" t="str">
        <f t="shared" si="35"/>
        <v>Fazenda Altenor</v>
      </c>
      <c r="C223" s="106">
        <f t="shared" si="38"/>
        <v>2019</v>
      </c>
      <c r="D223" s="101">
        <v>43782</v>
      </c>
      <c r="E223" s="102">
        <v>0.3125</v>
      </c>
      <c r="F223" s="103">
        <v>0.33333333333333331</v>
      </c>
      <c r="G223" s="103">
        <v>0.3125</v>
      </c>
      <c r="H223" s="103">
        <v>0.35416666666666669</v>
      </c>
      <c r="I223" s="90">
        <f t="shared" si="36"/>
        <v>0.49999999999999956</v>
      </c>
      <c r="J223" s="90">
        <f t="shared" si="31"/>
        <v>1.0000000000000004</v>
      </c>
      <c r="K223" s="91">
        <f t="shared" si="39"/>
        <v>0.66666666666666663</v>
      </c>
      <c r="L223" s="91">
        <f t="shared" si="40"/>
        <v>4.375</v>
      </c>
      <c r="M223" s="29">
        <f t="shared" si="37"/>
        <v>20</v>
      </c>
      <c r="N223" s="92">
        <f t="shared" si="32"/>
        <v>0.49999999999999956</v>
      </c>
      <c r="O223" s="104">
        <f t="shared" si="33"/>
        <v>1.016</v>
      </c>
      <c r="P223" s="105">
        <f t="shared" si="34"/>
        <v>7.111999999999993</v>
      </c>
    </row>
    <row r="224" spans="2:16" x14ac:dyDescent="0.25">
      <c r="B224" s="88" t="str">
        <f t="shared" si="35"/>
        <v>Fazenda Altenor</v>
      </c>
      <c r="C224" s="106">
        <f t="shared" si="38"/>
        <v>2019</v>
      </c>
      <c r="D224" s="101">
        <v>43783</v>
      </c>
      <c r="E224" s="102">
        <v>0.33333333333333331</v>
      </c>
      <c r="F224" s="103">
        <v>0.35416666666666669</v>
      </c>
      <c r="G224" s="103">
        <v>0.33333333333333331</v>
      </c>
      <c r="H224" s="103">
        <v>0.375</v>
      </c>
      <c r="I224" s="90">
        <f t="shared" si="36"/>
        <v>0.50000000000000089</v>
      </c>
      <c r="J224" s="90">
        <f t="shared" si="31"/>
        <v>1.0000000000000004</v>
      </c>
      <c r="K224" s="91">
        <f t="shared" si="39"/>
        <v>0.66666666666666663</v>
      </c>
      <c r="L224" s="91">
        <f t="shared" si="40"/>
        <v>4.375</v>
      </c>
      <c r="M224" s="29">
        <f t="shared" si="37"/>
        <v>20</v>
      </c>
      <c r="N224" s="92">
        <f t="shared" si="32"/>
        <v>0.50000000000000089</v>
      </c>
      <c r="O224" s="104">
        <f t="shared" si="33"/>
        <v>1.016</v>
      </c>
      <c r="P224" s="105">
        <f t="shared" si="34"/>
        <v>7.1120000000000116</v>
      </c>
    </row>
    <row r="225" spans="2:16" x14ac:dyDescent="0.25">
      <c r="B225" s="88" t="str">
        <f t="shared" si="35"/>
        <v>Fazenda Altenor</v>
      </c>
      <c r="C225" s="106">
        <f t="shared" si="38"/>
        <v>2019</v>
      </c>
      <c r="D225" s="101">
        <v>43784</v>
      </c>
      <c r="E225" s="102">
        <v>0.29166666666666669</v>
      </c>
      <c r="F225" s="103">
        <v>0.3125</v>
      </c>
      <c r="G225" s="103">
        <v>0.29166666666666669</v>
      </c>
      <c r="H225" s="103">
        <v>0.33333333333333331</v>
      </c>
      <c r="I225" s="90">
        <f t="shared" si="36"/>
        <v>0.49999999999999956</v>
      </c>
      <c r="J225" s="90">
        <f t="shared" si="31"/>
        <v>0.99999999999999911</v>
      </c>
      <c r="K225" s="91">
        <f t="shared" si="39"/>
        <v>0.66666666666666663</v>
      </c>
      <c r="L225" s="91">
        <f t="shared" si="40"/>
        <v>4.375</v>
      </c>
      <c r="M225" s="29">
        <f t="shared" si="37"/>
        <v>20</v>
      </c>
      <c r="N225" s="92">
        <f t="shared" si="32"/>
        <v>0.49999999999999956</v>
      </c>
      <c r="O225" s="104">
        <f t="shared" si="33"/>
        <v>1.016</v>
      </c>
      <c r="P225" s="105">
        <f t="shared" si="34"/>
        <v>7.111999999999993</v>
      </c>
    </row>
    <row r="226" spans="2:16" x14ac:dyDescent="0.25">
      <c r="B226" s="88" t="str">
        <f t="shared" si="35"/>
        <v>Fazenda Altenor</v>
      </c>
      <c r="C226" s="106">
        <f t="shared" si="38"/>
        <v>2019</v>
      </c>
      <c r="D226" s="101">
        <v>43785</v>
      </c>
      <c r="E226" s="102">
        <v>0.35416666666666669</v>
      </c>
      <c r="F226" s="103">
        <v>0.375</v>
      </c>
      <c r="G226" s="103">
        <v>0.35416666666666669</v>
      </c>
      <c r="H226" s="103">
        <v>0.40625</v>
      </c>
      <c r="I226" s="90">
        <f t="shared" si="36"/>
        <v>0.49999999999999956</v>
      </c>
      <c r="J226" s="90">
        <f t="shared" si="31"/>
        <v>1.2499999999999996</v>
      </c>
      <c r="K226" s="91">
        <f t="shared" si="39"/>
        <v>0.66666666666666663</v>
      </c>
      <c r="L226" s="91">
        <f t="shared" si="40"/>
        <v>4.375</v>
      </c>
      <c r="M226" s="29">
        <f t="shared" si="37"/>
        <v>20</v>
      </c>
      <c r="N226" s="92">
        <f t="shared" si="32"/>
        <v>0.49999999999999956</v>
      </c>
      <c r="O226" s="104">
        <f t="shared" si="33"/>
        <v>1.016</v>
      </c>
      <c r="P226" s="105">
        <f t="shared" si="34"/>
        <v>7.111999999999993</v>
      </c>
    </row>
    <row r="227" spans="2:16" x14ac:dyDescent="0.25">
      <c r="B227" s="88" t="str">
        <f t="shared" si="35"/>
        <v>Fazenda Altenor</v>
      </c>
      <c r="C227" s="106">
        <f t="shared" si="38"/>
        <v>2019</v>
      </c>
      <c r="D227" s="101">
        <v>43786</v>
      </c>
      <c r="E227" s="102"/>
      <c r="F227" s="103"/>
      <c r="G227" s="103"/>
      <c r="H227" s="103"/>
      <c r="I227" s="90">
        <f t="shared" si="36"/>
        <v>0</v>
      </c>
      <c r="J227" s="90">
        <f t="shared" si="31"/>
        <v>0</v>
      </c>
      <c r="K227" s="91">
        <f t="shared" si="39"/>
        <v>0.66666666666666663</v>
      </c>
      <c r="L227" s="91">
        <f t="shared" si="40"/>
        <v>4.375</v>
      </c>
      <c r="M227" s="29">
        <f t="shared" si="37"/>
        <v>20</v>
      </c>
      <c r="N227" s="92">
        <f t="shared" si="32"/>
        <v>0</v>
      </c>
      <c r="O227" s="104">
        <f t="shared" si="33"/>
        <v>1.016</v>
      </c>
      <c r="P227" s="105">
        <f t="shared" si="34"/>
        <v>0</v>
      </c>
    </row>
    <row r="228" spans="2:16" x14ac:dyDescent="0.25">
      <c r="B228" s="88" t="str">
        <f t="shared" si="35"/>
        <v>Fazenda Altenor</v>
      </c>
      <c r="C228" s="106">
        <f t="shared" si="38"/>
        <v>2019</v>
      </c>
      <c r="D228" s="101">
        <v>43787</v>
      </c>
      <c r="E228" s="102">
        <v>0.375</v>
      </c>
      <c r="F228" s="103">
        <v>0.39583333333333331</v>
      </c>
      <c r="G228" s="103">
        <v>0.375</v>
      </c>
      <c r="H228" s="103">
        <v>0.41666666666666669</v>
      </c>
      <c r="I228" s="90">
        <f t="shared" si="36"/>
        <v>0.49999999999999956</v>
      </c>
      <c r="J228" s="90">
        <f t="shared" si="31"/>
        <v>1.0000000000000004</v>
      </c>
      <c r="K228" s="91">
        <f t="shared" si="39"/>
        <v>0.66666666666666663</v>
      </c>
      <c r="L228" s="91">
        <f t="shared" si="40"/>
        <v>4.375</v>
      </c>
      <c r="M228" s="29">
        <f t="shared" si="37"/>
        <v>20</v>
      </c>
      <c r="N228" s="92">
        <f t="shared" si="32"/>
        <v>0.49999999999999956</v>
      </c>
      <c r="O228" s="104">
        <f t="shared" si="33"/>
        <v>1.016</v>
      </c>
      <c r="P228" s="105">
        <f t="shared" si="34"/>
        <v>7.111999999999993</v>
      </c>
    </row>
    <row r="229" spans="2:16" x14ac:dyDescent="0.25">
      <c r="B229" s="88" t="str">
        <f t="shared" si="35"/>
        <v>Fazenda Altenor</v>
      </c>
      <c r="C229" s="106">
        <f t="shared" si="38"/>
        <v>2019</v>
      </c>
      <c r="D229" s="101">
        <v>43788</v>
      </c>
      <c r="E229" s="102">
        <v>0.29166666666666669</v>
      </c>
      <c r="F229" s="103">
        <v>0.3125</v>
      </c>
      <c r="G229" s="103">
        <v>0.29166666666666669</v>
      </c>
      <c r="H229" s="103">
        <v>0.33333333333333331</v>
      </c>
      <c r="I229" s="90">
        <f t="shared" si="36"/>
        <v>0.49999999999999956</v>
      </c>
      <c r="J229" s="90">
        <f t="shared" si="31"/>
        <v>0.99999999999999911</v>
      </c>
      <c r="K229" s="91">
        <f t="shared" si="39"/>
        <v>0.66666666666666663</v>
      </c>
      <c r="L229" s="91">
        <f t="shared" si="40"/>
        <v>4.375</v>
      </c>
      <c r="M229" s="29">
        <f t="shared" si="37"/>
        <v>20</v>
      </c>
      <c r="N229" s="92">
        <f t="shared" si="32"/>
        <v>0.49999999999999956</v>
      </c>
      <c r="O229" s="104">
        <f t="shared" si="33"/>
        <v>1.016</v>
      </c>
      <c r="P229" s="105">
        <f t="shared" si="34"/>
        <v>7.111999999999993</v>
      </c>
    </row>
    <row r="230" spans="2:16" x14ac:dyDescent="0.25">
      <c r="B230" s="88" t="str">
        <f t="shared" si="35"/>
        <v>Fazenda Altenor</v>
      </c>
      <c r="C230" s="106">
        <f t="shared" si="38"/>
        <v>2019</v>
      </c>
      <c r="D230" s="101">
        <v>43789</v>
      </c>
      <c r="E230" s="102">
        <v>0.33333333333333331</v>
      </c>
      <c r="F230" s="103">
        <v>0.35416666666666669</v>
      </c>
      <c r="G230" s="103">
        <v>0.33333333333333331</v>
      </c>
      <c r="H230" s="103">
        <v>0.375</v>
      </c>
      <c r="I230" s="90">
        <f t="shared" si="36"/>
        <v>0.50000000000000089</v>
      </c>
      <c r="J230" s="90">
        <f t="shared" si="31"/>
        <v>1.0000000000000004</v>
      </c>
      <c r="K230" s="91">
        <f t="shared" si="39"/>
        <v>0.66666666666666663</v>
      </c>
      <c r="L230" s="91">
        <f t="shared" si="40"/>
        <v>4.375</v>
      </c>
      <c r="M230" s="29">
        <f t="shared" si="37"/>
        <v>20</v>
      </c>
      <c r="N230" s="92">
        <f t="shared" si="32"/>
        <v>0.50000000000000089</v>
      </c>
      <c r="O230" s="104">
        <f t="shared" si="33"/>
        <v>1.016</v>
      </c>
      <c r="P230" s="105">
        <f t="shared" si="34"/>
        <v>7.1120000000000116</v>
      </c>
    </row>
    <row r="231" spans="2:16" x14ac:dyDescent="0.25">
      <c r="B231" s="88" t="str">
        <f t="shared" si="35"/>
        <v>Fazenda Altenor</v>
      </c>
      <c r="C231" s="106">
        <f t="shared" si="38"/>
        <v>2019</v>
      </c>
      <c r="D231" s="101">
        <v>43790</v>
      </c>
      <c r="E231" s="102">
        <v>0.35416666666666669</v>
      </c>
      <c r="F231" s="103">
        <v>0.375</v>
      </c>
      <c r="G231" s="102">
        <v>0.35416666666666669</v>
      </c>
      <c r="H231" s="103">
        <v>0.375</v>
      </c>
      <c r="I231" s="90">
        <f t="shared" si="36"/>
        <v>0.49999999999999956</v>
      </c>
      <c r="J231" s="90">
        <f t="shared" si="31"/>
        <v>0.49999999999999956</v>
      </c>
      <c r="K231" s="91">
        <f t="shared" si="39"/>
        <v>0.66666666666666663</v>
      </c>
      <c r="L231" s="91">
        <f t="shared" si="40"/>
        <v>4.375</v>
      </c>
      <c r="M231" s="29">
        <f t="shared" si="37"/>
        <v>20</v>
      </c>
      <c r="N231" s="92">
        <f t="shared" si="32"/>
        <v>0.49999999999999956</v>
      </c>
      <c r="O231" s="104">
        <f t="shared" si="33"/>
        <v>1.016</v>
      </c>
      <c r="P231" s="105">
        <f t="shared" si="34"/>
        <v>7.111999999999993</v>
      </c>
    </row>
    <row r="232" spans="2:16" x14ac:dyDescent="0.25">
      <c r="B232" s="88" t="str">
        <f t="shared" si="35"/>
        <v>Fazenda Altenor</v>
      </c>
      <c r="C232" s="106">
        <f t="shared" si="38"/>
        <v>2019</v>
      </c>
      <c r="D232" s="101">
        <v>43791</v>
      </c>
      <c r="E232" s="102">
        <v>0.375</v>
      </c>
      <c r="F232" s="103">
        <v>0.39583333333333331</v>
      </c>
      <c r="G232" s="103">
        <v>0.375</v>
      </c>
      <c r="H232" s="103">
        <v>0.41666666666666669</v>
      </c>
      <c r="I232" s="90">
        <f t="shared" si="36"/>
        <v>0.49999999999999956</v>
      </c>
      <c r="J232" s="90">
        <f t="shared" si="31"/>
        <v>1.0000000000000004</v>
      </c>
      <c r="K232" s="91">
        <f t="shared" si="39"/>
        <v>0.66666666666666663</v>
      </c>
      <c r="L232" s="91">
        <f t="shared" si="40"/>
        <v>4.375</v>
      </c>
      <c r="M232" s="29">
        <f t="shared" si="37"/>
        <v>20</v>
      </c>
      <c r="N232" s="92">
        <f t="shared" si="32"/>
        <v>0.49999999999999956</v>
      </c>
      <c r="O232" s="104">
        <f t="shared" si="33"/>
        <v>1.016</v>
      </c>
      <c r="P232" s="105">
        <f t="shared" si="34"/>
        <v>7.111999999999993</v>
      </c>
    </row>
    <row r="233" spans="2:16" x14ac:dyDescent="0.25">
      <c r="B233" s="88" t="str">
        <f t="shared" si="35"/>
        <v>Fazenda Altenor</v>
      </c>
      <c r="C233" s="106">
        <f t="shared" si="38"/>
        <v>2019</v>
      </c>
      <c r="D233" s="101">
        <v>43792</v>
      </c>
      <c r="E233" s="102">
        <v>0.29166666666666669</v>
      </c>
      <c r="F233" s="103">
        <v>0.3125</v>
      </c>
      <c r="G233" s="103">
        <v>0.29166666666666669</v>
      </c>
      <c r="H233" s="103">
        <v>0.33333333333333331</v>
      </c>
      <c r="I233" s="90">
        <f t="shared" si="36"/>
        <v>0.49999999999999956</v>
      </c>
      <c r="J233" s="90">
        <f t="shared" si="31"/>
        <v>0.99999999999999911</v>
      </c>
      <c r="K233" s="91">
        <f t="shared" si="39"/>
        <v>0.66666666666666663</v>
      </c>
      <c r="L233" s="91">
        <f t="shared" si="40"/>
        <v>4.375</v>
      </c>
      <c r="M233" s="29">
        <f t="shared" si="37"/>
        <v>20</v>
      </c>
      <c r="N233" s="92">
        <f t="shared" si="32"/>
        <v>0.49999999999999956</v>
      </c>
      <c r="O233" s="104">
        <f t="shared" si="33"/>
        <v>1.016</v>
      </c>
      <c r="P233" s="105">
        <f t="shared" si="34"/>
        <v>7.111999999999993</v>
      </c>
    </row>
    <row r="234" spans="2:16" x14ac:dyDescent="0.25">
      <c r="B234" s="88" t="str">
        <f t="shared" si="35"/>
        <v>Fazenda Altenor</v>
      </c>
      <c r="C234" s="106">
        <f t="shared" si="38"/>
        <v>2019</v>
      </c>
      <c r="D234" s="101">
        <v>43793</v>
      </c>
      <c r="E234" s="102">
        <v>0.33333333333333331</v>
      </c>
      <c r="F234" s="103">
        <v>0.35416666666666669</v>
      </c>
      <c r="G234" s="103">
        <v>0.33333333333333331</v>
      </c>
      <c r="H234" s="103">
        <v>0.375</v>
      </c>
      <c r="I234" s="90">
        <f t="shared" si="36"/>
        <v>0.50000000000000089</v>
      </c>
      <c r="J234" s="90">
        <f t="shared" si="31"/>
        <v>1.0000000000000004</v>
      </c>
      <c r="K234" s="91">
        <f t="shared" si="39"/>
        <v>0.66666666666666663</v>
      </c>
      <c r="L234" s="91">
        <f t="shared" si="40"/>
        <v>4.375</v>
      </c>
      <c r="M234" s="29">
        <f t="shared" si="37"/>
        <v>20</v>
      </c>
      <c r="N234" s="92">
        <f t="shared" si="32"/>
        <v>0.50000000000000089</v>
      </c>
      <c r="O234" s="104">
        <f t="shared" si="33"/>
        <v>1.016</v>
      </c>
      <c r="P234" s="105">
        <f t="shared" si="34"/>
        <v>7.1120000000000116</v>
      </c>
    </row>
    <row r="235" spans="2:16" x14ac:dyDescent="0.25">
      <c r="B235" s="88" t="str">
        <f t="shared" si="35"/>
        <v>Fazenda Altenor</v>
      </c>
      <c r="C235" s="106">
        <f t="shared" si="38"/>
        <v>2019</v>
      </c>
      <c r="D235" s="101">
        <v>43794</v>
      </c>
      <c r="E235" s="102">
        <v>0.3125</v>
      </c>
      <c r="F235" s="103">
        <v>0.33333333333333331</v>
      </c>
      <c r="G235" s="103">
        <v>0.3125</v>
      </c>
      <c r="H235" s="103">
        <v>0.36458333333333331</v>
      </c>
      <c r="I235" s="90">
        <f t="shared" si="36"/>
        <v>0.49999999999999956</v>
      </c>
      <c r="J235" s="90">
        <f t="shared" si="31"/>
        <v>1.2499999999999996</v>
      </c>
      <c r="K235" s="91">
        <f t="shared" si="39"/>
        <v>0.66666666666666663</v>
      </c>
      <c r="L235" s="91">
        <f t="shared" si="40"/>
        <v>4.375</v>
      </c>
      <c r="M235" s="29">
        <f t="shared" si="37"/>
        <v>20</v>
      </c>
      <c r="N235" s="92">
        <f t="shared" si="32"/>
        <v>0.49999999999999956</v>
      </c>
      <c r="O235" s="104">
        <f t="shared" si="33"/>
        <v>1.016</v>
      </c>
      <c r="P235" s="105">
        <f t="shared" si="34"/>
        <v>7.111999999999993</v>
      </c>
    </row>
    <row r="236" spans="2:16" x14ac:dyDescent="0.25">
      <c r="B236" s="88" t="str">
        <f t="shared" si="35"/>
        <v>Fazenda Altenor</v>
      </c>
      <c r="C236" s="106">
        <f t="shared" si="38"/>
        <v>2019</v>
      </c>
      <c r="D236" s="101">
        <v>43795</v>
      </c>
      <c r="E236" s="102">
        <v>0.29166666666666669</v>
      </c>
      <c r="F236" s="103">
        <v>0.3125</v>
      </c>
      <c r="G236" s="103">
        <v>0.29166666666666669</v>
      </c>
      <c r="H236" s="103">
        <v>0.33333333333333331</v>
      </c>
      <c r="I236" s="90">
        <f t="shared" si="36"/>
        <v>0.49999999999999956</v>
      </c>
      <c r="J236" s="90">
        <f t="shared" si="31"/>
        <v>0.99999999999999911</v>
      </c>
      <c r="K236" s="91">
        <f t="shared" si="39"/>
        <v>0.66666666666666663</v>
      </c>
      <c r="L236" s="91">
        <f t="shared" si="40"/>
        <v>4.375</v>
      </c>
      <c r="M236" s="29">
        <f t="shared" si="37"/>
        <v>20</v>
      </c>
      <c r="N236" s="92">
        <f t="shared" si="32"/>
        <v>0.49999999999999956</v>
      </c>
      <c r="O236" s="104">
        <f t="shared" si="33"/>
        <v>1.016</v>
      </c>
      <c r="P236" s="105">
        <f t="shared" si="34"/>
        <v>7.111999999999993</v>
      </c>
    </row>
    <row r="237" spans="2:16" x14ac:dyDescent="0.25">
      <c r="B237" s="88" t="str">
        <f t="shared" si="35"/>
        <v>Fazenda Altenor</v>
      </c>
      <c r="C237" s="106">
        <f t="shared" si="38"/>
        <v>2019</v>
      </c>
      <c r="D237" s="101">
        <v>43796</v>
      </c>
      <c r="E237" s="102">
        <v>0.33333333333333331</v>
      </c>
      <c r="F237" s="103">
        <v>0.35416666666666669</v>
      </c>
      <c r="G237" s="103">
        <v>0.33333333333333331</v>
      </c>
      <c r="H237" s="103">
        <v>0.375</v>
      </c>
      <c r="I237" s="90">
        <f t="shared" si="36"/>
        <v>0.50000000000000089</v>
      </c>
      <c r="J237" s="90">
        <f t="shared" si="31"/>
        <v>1.0000000000000004</v>
      </c>
      <c r="K237" s="91">
        <f t="shared" si="39"/>
        <v>0.66666666666666663</v>
      </c>
      <c r="L237" s="91">
        <f t="shared" si="40"/>
        <v>4.375</v>
      </c>
      <c r="M237" s="29">
        <f t="shared" si="37"/>
        <v>20</v>
      </c>
      <c r="N237" s="92">
        <f t="shared" si="32"/>
        <v>0.50000000000000089</v>
      </c>
      <c r="O237" s="104">
        <f t="shared" si="33"/>
        <v>1.016</v>
      </c>
      <c r="P237" s="105">
        <f t="shared" si="34"/>
        <v>7.1120000000000116</v>
      </c>
    </row>
    <row r="238" spans="2:16" x14ac:dyDescent="0.25">
      <c r="B238" s="88" t="str">
        <f t="shared" si="35"/>
        <v>Fazenda Altenor</v>
      </c>
      <c r="C238" s="106">
        <f t="shared" si="38"/>
        <v>2019</v>
      </c>
      <c r="D238" s="101">
        <v>43797</v>
      </c>
      <c r="E238" s="102">
        <v>0.35416666666666669</v>
      </c>
      <c r="F238" s="103">
        <v>0.375</v>
      </c>
      <c r="G238" s="103">
        <v>0.35416666666666669</v>
      </c>
      <c r="H238" s="103">
        <v>0.39583333333333331</v>
      </c>
      <c r="I238" s="90">
        <f t="shared" si="36"/>
        <v>0.49999999999999956</v>
      </c>
      <c r="J238" s="90">
        <f t="shared" si="31"/>
        <v>0.99999999999999911</v>
      </c>
      <c r="K238" s="91">
        <f t="shared" si="39"/>
        <v>0.66666666666666663</v>
      </c>
      <c r="L238" s="91">
        <f t="shared" si="40"/>
        <v>4.375</v>
      </c>
      <c r="M238" s="29">
        <f t="shared" si="37"/>
        <v>20</v>
      </c>
      <c r="N238" s="92">
        <f t="shared" si="32"/>
        <v>0.49999999999999956</v>
      </c>
      <c r="O238" s="104">
        <f t="shared" si="33"/>
        <v>1.016</v>
      </c>
      <c r="P238" s="105">
        <f t="shared" si="34"/>
        <v>7.111999999999993</v>
      </c>
    </row>
    <row r="239" spans="2:16" x14ac:dyDescent="0.25">
      <c r="B239" s="88" t="str">
        <f t="shared" si="35"/>
        <v>Fazenda Altenor</v>
      </c>
      <c r="C239" s="106">
        <f t="shared" si="38"/>
        <v>2019</v>
      </c>
      <c r="D239" s="101">
        <v>43798</v>
      </c>
      <c r="E239" s="102">
        <v>0.3125</v>
      </c>
      <c r="F239" s="103">
        <v>0.33333333333333331</v>
      </c>
      <c r="G239" s="103">
        <v>0.3125</v>
      </c>
      <c r="H239" s="103">
        <v>0.35416666666666669</v>
      </c>
      <c r="I239" s="90">
        <f t="shared" si="36"/>
        <v>0.49999999999999956</v>
      </c>
      <c r="J239" s="90">
        <f t="shared" si="31"/>
        <v>1.0000000000000004</v>
      </c>
      <c r="K239" s="91">
        <f t="shared" si="39"/>
        <v>0.66666666666666663</v>
      </c>
      <c r="L239" s="91">
        <f t="shared" si="40"/>
        <v>4.375</v>
      </c>
      <c r="M239" s="29">
        <f t="shared" si="37"/>
        <v>20</v>
      </c>
      <c r="N239" s="92">
        <f t="shared" si="32"/>
        <v>0.49999999999999956</v>
      </c>
      <c r="O239" s="104">
        <f t="shared" si="33"/>
        <v>1.016</v>
      </c>
      <c r="P239" s="105">
        <f t="shared" si="34"/>
        <v>7.111999999999993</v>
      </c>
    </row>
    <row r="240" spans="2:16" x14ac:dyDescent="0.25">
      <c r="B240" s="88" t="str">
        <f t="shared" si="35"/>
        <v>Fazenda Altenor</v>
      </c>
      <c r="C240" s="106">
        <f t="shared" si="38"/>
        <v>2019</v>
      </c>
      <c r="D240" s="101">
        <v>43799</v>
      </c>
      <c r="E240" s="102">
        <v>0.375</v>
      </c>
      <c r="F240" s="103">
        <v>0.39583333333333331</v>
      </c>
      <c r="G240" s="103">
        <v>0.375</v>
      </c>
      <c r="H240" s="103">
        <v>0.41666666666666669</v>
      </c>
      <c r="I240" s="90">
        <f t="shared" si="36"/>
        <v>0.49999999999999956</v>
      </c>
      <c r="J240" s="90">
        <f t="shared" si="31"/>
        <v>1.0000000000000004</v>
      </c>
      <c r="K240" s="91">
        <f t="shared" si="39"/>
        <v>0.66666666666666663</v>
      </c>
      <c r="L240" s="91">
        <f t="shared" si="40"/>
        <v>4.375</v>
      </c>
      <c r="M240" s="29">
        <f t="shared" si="37"/>
        <v>20</v>
      </c>
      <c r="N240" s="92">
        <f t="shared" si="32"/>
        <v>0.49999999999999956</v>
      </c>
      <c r="O240" s="104">
        <f t="shared" si="33"/>
        <v>1.016</v>
      </c>
      <c r="P240" s="105">
        <f t="shared" si="34"/>
        <v>7.111999999999993</v>
      </c>
    </row>
    <row r="241" spans="2:16" x14ac:dyDescent="0.25">
      <c r="B241" s="88" t="str">
        <f t="shared" si="35"/>
        <v>Fazenda Altenor</v>
      </c>
      <c r="C241" s="106">
        <f t="shared" si="38"/>
        <v>2019</v>
      </c>
      <c r="D241" s="101">
        <v>43800</v>
      </c>
      <c r="E241" s="102">
        <v>0.29166666666666669</v>
      </c>
      <c r="F241" s="103">
        <v>0.3125</v>
      </c>
      <c r="G241" s="103">
        <v>0.29166666666666669</v>
      </c>
      <c r="H241" s="103">
        <v>0.33333333333333331</v>
      </c>
      <c r="I241" s="90">
        <f t="shared" si="36"/>
        <v>0.49999999999999956</v>
      </c>
      <c r="J241" s="90">
        <f t="shared" si="31"/>
        <v>0.99999999999999911</v>
      </c>
      <c r="K241" s="91">
        <f t="shared" si="39"/>
        <v>0.66666666666666663</v>
      </c>
      <c r="L241" s="91">
        <f t="shared" si="40"/>
        <v>4.375</v>
      </c>
      <c r="M241" s="29">
        <f t="shared" si="37"/>
        <v>20</v>
      </c>
      <c r="N241" s="92">
        <f t="shared" si="32"/>
        <v>0.49999999999999956</v>
      </c>
      <c r="O241" s="104">
        <f t="shared" si="33"/>
        <v>1.016</v>
      </c>
      <c r="P241" s="105">
        <f t="shared" si="34"/>
        <v>7.111999999999993</v>
      </c>
    </row>
    <row r="242" spans="2:16" x14ac:dyDescent="0.25">
      <c r="B242" s="88" t="str">
        <f t="shared" si="35"/>
        <v>Fazenda Altenor</v>
      </c>
      <c r="C242" s="106">
        <f t="shared" si="38"/>
        <v>2019</v>
      </c>
      <c r="D242" s="101">
        <v>43801</v>
      </c>
      <c r="E242" s="102">
        <v>0.33333333333333331</v>
      </c>
      <c r="F242" s="103">
        <v>0.35416666666666669</v>
      </c>
      <c r="G242" s="103">
        <v>0.33333333333333331</v>
      </c>
      <c r="H242" s="103">
        <v>0.375</v>
      </c>
      <c r="I242" s="90">
        <f t="shared" si="36"/>
        <v>0.50000000000000089</v>
      </c>
      <c r="J242" s="90">
        <f t="shared" si="31"/>
        <v>1.0000000000000004</v>
      </c>
      <c r="K242" s="91">
        <f t="shared" si="39"/>
        <v>0.66666666666666663</v>
      </c>
      <c r="L242" s="91">
        <f t="shared" si="40"/>
        <v>4.375</v>
      </c>
      <c r="M242" s="29">
        <f t="shared" si="37"/>
        <v>20</v>
      </c>
      <c r="N242" s="92">
        <f t="shared" si="32"/>
        <v>0.50000000000000089</v>
      </c>
      <c r="O242" s="104">
        <f t="shared" si="33"/>
        <v>1.016</v>
      </c>
      <c r="P242" s="105">
        <f t="shared" si="34"/>
        <v>7.1120000000000116</v>
      </c>
    </row>
    <row r="243" spans="2:16" x14ac:dyDescent="0.25">
      <c r="B243" s="88" t="str">
        <f t="shared" si="35"/>
        <v>Fazenda Altenor</v>
      </c>
      <c r="C243" s="106">
        <f t="shared" si="38"/>
        <v>2019</v>
      </c>
      <c r="D243" s="101">
        <v>43802</v>
      </c>
      <c r="E243" s="102"/>
      <c r="F243" s="103"/>
      <c r="G243" s="103"/>
      <c r="H243" s="103"/>
      <c r="I243" s="90">
        <f t="shared" si="36"/>
        <v>0</v>
      </c>
      <c r="J243" s="90">
        <f t="shared" si="31"/>
        <v>0</v>
      </c>
      <c r="K243" s="91">
        <f t="shared" si="39"/>
        <v>0.66666666666666663</v>
      </c>
      <c r="L243" s="91">
        <f t="shared" si="40"/>
        <v>4.375</v>
      </c>
      <c r="M243" s="29">
        <f t="shared" si="37"/>
        <v>20</v>
      </c>
      <c r="N243" s="92">
        <f t="shared" si="32"/>
        <v>0</v>
      </c>
      <c r="O243" s="104">
        <f t="shared" si="33"/>
        <v>1.016</v>
      </c>
      <c r="P243" s="105">
        <f t="shared" si="34"/>
        <v>0</v>
      </c>
    </row>
    <row r="244" spans="2:16" x14ac:dyDescent="0.25">
      <c r="B244" s="88" t="str">
        <f t="shared" si="35"/>
        <v>Fazenda Altenor</v>
      </c>
      <c r="C244" s="106">
        <f t="shared" si="38"/>
        <v>2019</v>
      </c>
      <c r="D244" s="101">
        <v>43803</v>
      </c>
      <c r="E244" s="102">
        <v>0.29166666666666669</v>
      </c>
      <c r="F244" s="103">
        <v>0.3125</v>
      </c>
      <c r="G244" s="103">
        <v>0.29166666666666669</v>
      </c>
      <c r="H244" s="103">
        <v>0.33333333333333331</v>
      </c>
      <c r="I244" s="90">
        <f t="shared" si="36"/>
        <v>0.49999999999999956</v>
      </c>
      <c r="J244" s="90">
        <f t="shared" si="31"/>
        <v>0.99999999999999911</v>
      </c>
      <c r="K244" s="91">
        <f t="shared" si="39"/>
        <v>0.66666666666666663</v>
      </c>
      <c r="L244" s="91">
        <f t="shared" si="40"/>
        <v>4.375</v>
      </c>
      <c r="M244" s="29">
        <f t="shared" si="37"/>
        <v>20</v>
      </c>
      <c r="N244" s="92">
        <f t="shared" si="32"/>
        <v>0.49999999999999956</v>
      </c>
      <c r="O244" s="104">
        <f t="shared" si="33"/>
        <v>1.016</v>
      </c>
      <c r="P244" s="105">
        <f t="shared" si="34"/>
        <v>7.111999999999993</v>
      </c>
    </row>
    <row r="245" spans="2:16" x14ac:dyDescent="0.25">
      <c r="B245" s="88" t="str">
        <f t="shared" si="35"/>
        <v>Fazenda Altenor</v>
      </c>
      <c r="C245" s="106">
        <f t="shared" si="38"/>
        <v>2019</v>
      </c>
      <c r="D245" s="101">
        <v>43804</v>
      </c>
      <c r="E245" s="102">
        <v>0.3125</v>
      </c>
      <c r="F245" s="103">
        <v>0.33333333333333331</v>
      </c>
      <c r="G245" s="103">
        <v>0.3125</v>
      </c>
      <c r="H245" s="103">
        <v>0.35416666666666669</v>
      </c>
      <c r="I245" s="90">
        <f t="shared" si="36"/>
        <v>0.49999999999999956</v>
      </c>
      <c r="J245" s="90">
        <f t="shared" si="31"/>
        <v>1.0000000000000004</v>
      </c>
      <c r="K245" s="91">
        <f t="shared" si="39"/>
        <v>0.66666666666666663</v>
      </c>
      <c r="L245" s="91">
        <f t="shared" si="40"/>
        <v>4.375</v>
      </c>
      <c r="M245" s="29">
        <f t="shared" si="37"/>
        <v>20</v>
      </c>
      <c r="N245" s="92">
        <f t="shared" si="32"/>
        <v>0.49999999999999956</v>
      </c>
      <c r="O245" s="104">
        <f t="shared" si="33"/>
        <v>1.016</v>
      </c>
      <c r="P245" s="105">
        <f t="shared" si="34"/>
        <v>7.111999999999993</v>
      </c>
    </row>
    <row r="246" spans="2:16" x14ac:dyDescent="0.25">
      <c r="B246" s="88" t="str">
        <f t="shared" si="35"/>
        <v>Fazenda Altenor</v>
      </c>
      <c r="C246" s="106">
        <f t="shared" si="38"/>
        <v>2019</v>
      </c>
      <c r="D246" s="101">
        <v>43805</v>
      </c>
      <c r="E246" s="102">
        <v>0.33333333333333331</v>
      </c>
      <c r="F246" s="103">
        <v>0.35416666666666669</v>
      </c>
      <c r="G246" s="103">
        <v>0.33333333333333331</v>
      </c>
      <c r="H246" s="103">
        <v>0.375</v>
      </c>
      <c r="I246" s="90">
        <f t="shared" si="36"/>
        <v>0.50000000000000089</v>
      </c>
      <c r="J246" s="90">
        <f t="shared" si="31"/>
        <v>1.0000000000000004</v>
      </c>
      <c r="K246" s="91">
        <f t="shared" si="39"/>
        <v>0.66666666666666663</v>
      </c>
      <c r="L246" s="91">
        <f t="shared" si="40"/>
        <v>4.375</v>
      </c>
      <c r="M246" s="29">
        <f t="shared" si="37"/>
        <v>20</v>
      </c>
      <c r="N246" s="92">
        <f t="shared" si="32"/>
        <v>0.50000000000000089</v>
      </c>
      <c r="O246" s="104">
        <f t="shared" si="33"/>
        <v>1.016</v>
      </c>
      <c r="P246" s="105">
        <f t="shared" si="34"/>
        <v>7.1120000000000116</v>
      </c>
    </row>
    <row r="247" spans="2:16" x14ac:dyDescent="0.25">
      <c r="B247" s="88" t="str">
        <f t="shared" si="35"/>
        <v>Fazenda Altenor</v>
      </c>
      <c r="C247" s="106">
        <f t="shared" si="38"/>
        <v>2019</v>
      </c>
      <c r="D247" s="101">
        <v>43806</v>
      </c>
      <c r="E247" s="102">
        <v>0.375</v>
      </c>
      <c r="F247" s="103">
        <v>0.39583333333333331</v>
      </c>
      <c r="G247" s="103">
        <v>0.375</v>
      </c>
      <c r="H247" s="103">
        <v>0.41666666666666669</v>
      </c>
      <c r="I247" s="90">
        <f t="shared" si="36"/>
        <v>0.49999999999999956</v>
      </c>
      <c r="J247" s="90">
        <f t="shared" si="31"/>
        <v>1.0000000000000004</v>
      </c>
      <c r="K247" s="91">
        <f t="shared" si="39"/>
        <v>0.66666666666666663</v>
      </c>
      <c r="L247" s="91">
        <f t="shared" si="40"/>
        <v>4.375</v>
      </c>
      <c r="M247" s="29">
        <f t="shared" si="37"/>
        <v>20</v>
      </c>
      <c r="N247" s="92">
        <f t="shared" si="32"/>
        <v>0.49999999999999956</v>
      </c>
      <c r="O247" s="104">
        <f t="shared" si="33"/>
        <v>1.016</v>
      </c>
      <c r="P247" s="105">
        <f t="shared" si="34"/>
        <v>7.111999999999993</v>
      </c>
    </row>
    <row r="248" spans="2:16" x14ac:dyDescent="0.25">
      <c r="B248" s="88" t="str">
        <f t="shared" si="35"/>
        <v>Fazenda Altenor</v>
      </c>
      <c r="C248" s="106">
        <f t="shared" si="38"/>
        <v>2019</v>
      </c>
      <c r="D248" s="101">
        <v>43807</v>
      </c>
      <c r="E248" s="102">
        <v>0.29166666666666669</v>
      </c>
      <c r="F248" s="103">
        <v>0.33333333333333331</v>
      </c>
      <c r="G248" s="103">
        <v>0.29166666666666669</v>
      </c>
      <c r="H248" s="103">
        <v>0.35416666666666669</v>
      </c>
      <c r="I248" s="90">
        <f t="shared" si="36"/>
        <v>0.99999999999999911</v>
      </c>
      <c r="J248" s="90">
        <f t="shared" si="31"/>
        <v>1.5</v>
      </c>
      <c r="K248" s="91">
        <f t="shared" si="39"/>
        <v>0.66666666666666663</v>
      </c>
      <c r="L248" s="91">
        <f t="shared" si="40"/>
        <v>4.375</v>
      </c>
      <c r="M248" s="29">
        <f t="shared" si="37"/>
        <v>20</v>
      </c>
      <c r="N248" s="92">
        <f t="shared" si="32"/>
        <v>0.99999999999999911</v>
      </c>
      <c r="O248" s="104">
        <f t="shared" si="33"/>
        <v>1.016</v>
      </c>
      <c r="P248" s="105">
        <f t="shared" si="34"/>
        <v>14.223999999999986</v>
      </c>
    </row>
    <row r="249" spans="2:16" x14ac:dyDescent="0.25">
      <c r="B249" s="88" t="str">
        <f t="shared" si="35"/>
        <v>Fazenda Altenor</v>
      </c>
      <c r="C249" s="106">
        <f t="shared" si="38"/>
        <v>2019</v>
      </c>
      <c r="D249" s="101">
        <v>43808</v>
      </c>
      <c r="E249" s="102">
        <v>0.33333333333333331</v>
      </c>
      <c r="F249" s="103">
        <v>0.375</v>
      </c>
      <c r="G249" s="103">
        <v>0.33333333333333331</v>
      </c>
      <c r="H249" s="103">
        <v>0.39583333333333331</v>
      </c>
      <c r="I249" s="90">
        <f t="shared" si="36"/>
        <v>1.0000000000000004</v>
      </c>
      <c r="J249" s="90">
        <f t="shared" si="31"/>
        <v>1.5</v>
      </c>
      <c r="K249" s="91">
        <f t="shared" si="39"/>
        <v>0.66666666666666663</v>
      </c>
      <c r="L249" s="91">
        <f t="shared" si="40"/>
        <v>4.375</v>
      </c>
      <c r="M249" s="29">
        <f t="shared" si="37"/>
        <v>20</v>
      </c>
      <c r="N249" s="92">
        <f t="shared" si="32"/>
        <v>1.0000000000000004</v>
      </c>
      <c r="O249" s="104">
        <f t="shared" si="33"/>
        <v>1.016</v>
      </c>
      <c r="P249" s="105">
        <f t="shared" si="34"/>
        <v>14.224000000000004</v>
      </c>
    </row>
    <row r="250" spans="2:16" x14ac:dyDescent="0.25">
      <c r="B250" s="88" t="str">
        <f t="shared" si="35"/>
        <v>Fazenda Altenor</v>
      </c>
      <c r="C250" s="106">
        <f t="shared" si="38"/>
        <v>2019</v>
      </c>
      <c r="D250" s="101">
        <v>43809</v>
      </c>
      <c r="E250" s="102">
        <v>0.3125</v>
      </c>
      <c r="F250" s="103">
        <v>0.33333333333333331</v>
      </c>
      <c r="G250" s="103">
        <v>0.3125</v>
      </c>
      <c r="H250" s="103">
        <v>0.35416666666666669</v>
      </c>
      <c r="I250" s="90">
        <f t="shared" si="36"/>
        <v>0.49999999999999956</v>
      </c>
      <c r="J250" s="90">
        <f t="shared" si="31"/>
        <v>1.0000000000000004</v>
      </c>
      <c r="K250" s="91">
        <f t="shared" si="39"/>
        <v>0.66666666666666663</v>
      </c>
      <c r="L250" s="91">
        <f t="shared" si="40"/>
        <v>4.375</v>
      </c>
      <c r="M250" s="29">
        <f t="shared" si="37"/>
        <v>20</v>
      </c>
      <c r="N250" s="92">
        <f t="shared" si="32"/>
        <v>0.49999999999999956</v>
      </c>
      <c r="O250" s="104">
        <f t="shared" si="33"/>
        <v>1.016</v>
      </c>
      <c r="P250" s="105">
        <f t="shared" si="34"/>
        <v>7.111999999999993</v>
      </c>
    </row>
    <row r="251" spans="2:16" x14ac:dyDescent="0.25">
      <c r="B251" s="88" t="str">
        <f t="shared" si="35"/>
        <v>Fazenda Altenor</v>
      </c>
      <c r="C251" s="106">
        <f t="shared" si="38"/>
        <v>2019</v>
      </c>
      <c r="D251" s="101">
        <v>43810</v>
      </c>
      <c r="E251" s="102">
        <v>0.35416666666666669</v>
      </c>
      <c r="F251" s="103">
        <v>0.375</v>
      </c>
      <c r="G251" s="103">
        <v>0.35416666666666669</v>
      </c>
      <c r="H251" s="103">
        <v>0.41666666666666669</v>
      </c>
      <c r="I251" s="90">
        <f t="shared" si="36"/>
        <v>0.49999999999999956</v>
      </c>
      <c r="J251" s="90">
        <f t="shared" si="31"/>
        <v>1.5</v>
      </c>
      <c r="K251" s="91">
        <f t="shared" si="39"/>
        <v>0.66666666666666663</v>
      </c>
      <c r="L251" s="91">
        <f t="shared" si="40"/>
        <v>4.375</v>
      </c>
      <c r="M251" s="29">
        <f t="shared" si="37"/>
        <v>20</v>
      </c>
      <c r="N251" s="92">
        <f t="shared" si="32"/>
        <v>0.49999999999999956</v>
      </c>
      <c r="O251" s="104">
        <f t="shared" si="33"/>
        <v>1.016</v>
      </c>
      <c r="P251" s="105">
        <f t="shared" si="34"/>
        <v>7.111999999999993</v>
      </c>
    </row>
    <row r="252" spans="2:16" x14ac:dyDescent="0.25">
      <c r="B252" s="88" t="str">
        <f t="shared" si="35"/>
        <v>Fazenda Altenor</v>
      </c>
      <c r="C252" s="106">
        <f t="shared" si="38"/>
        <v>2019</v>
      </c>
      <c r="D252" s="101">
        <v>43811</v>
      </c>
      <c r="E252" s="102">
        <v>0.29166666666666669</v>
      </c>
      <c r="F252" s="103">
        <v>0.33333333333333331</v>
      </c>
      <c r="G252" s="103">
        <v>0.29166666666666669</v>
      </c>
      <c r="H252" s="103">
        <v>0.36458333333333331</v>
      </c>
      <c r="I252" s="90">
        <f t="shared" si="36"/>
        <v>0.99999999999999911</v>
      </c>
      <c r="J252" s="90">
        <f t="shared" si="31"/>
        <v>1.7499999999999991</v>
      </c>
      <c r="K252" s="91">
        <f t="shared" si="39"/>
        <v>0.66666666666666663</v>
      </c>
      <c r="L252" s="91">
        <f t="shared" si="40"/>
        <v>4.375</v>
      </c>
      <c r="M252" s="29">
        <f t="shared" si="37"/>
        <v>20</v>
      </c>
      <c r="N252" s="92">
        <f t="shared" si="32"/>
        <v>0.99999999999999911</v>
      </c>
      <c r="O252" s="104">
        <f t="shared" si="33"/>
        <v>1.016</v>
      </c>
      <c r="P252" s="105">
        <f t="shared" si="34"/>
        <v>14.223999999999986</v>
      </c>
    </row>
    <row r="253" spans="2:16" x14ac:dyDescent="0.25">
      <c r="B253" s="88" t="str">
        <f t="shared" si="35"/>
        <v>Fazenda Altenor</v>
      </c>
      <c r="C253" s="106">
        <f t="shared" si="38"/>
        <v>2019</v>
      </c>
      <c r="D253" s="101">
        <v>43812</v>
      </c>
      <c r="E253" s="102">
        <v>0.33333333333333331</v>
      </c>
      <c r="F253" s="103">
        <v>0.35416666666666669</v>
      </c>
      <c r="G253" s="103">
        <v>0.33333333333333331</v>
      </c>
      <c r="H253" s="103">
        <v>0.375</v>
      </c>
      <c r="I253" s="90">
        <f t="shared" si="36"/>
        <v>0.50000000000000089</v>
      </c>
      <c r="J253" s="90">
        <f t="shared" si="31"/>
        <v>1.0000000000000004</v>
      </c>
      <c r="K253" s="91">
        <f t="shared" si="39"/>
        <v>0.66666666666666663</v>
      </c>
      <c r="L253" s="91">
        <f t="shared" si="40"/>
        <v>4.375</v>
      </c>
      <c r="M253" s="29">
        <f t="shared" si="37"/>
        <v>20</v>
      </c>
      <c r="N253" s="92">
        <f t="shared" si="32"/>
        <v>0.50000000000000089</v>
      </c>
      <c r="O253" s="104">
        <f t="shared" si="33"/>
        <v>1.016</v>
      </c>
      <c r="P253" s="105">
        <f t="shared" si="34"/>
        <v>7.1120000000000116</v>
      </c>
    </row>
    <row r="254" spans="2:16" x14ac:dyDescent="0.25">
      <c r="B254" s="88" t="str">
        <f t="shared" si="35"/>
        <v>Fazenda Altenor</v>
      </c>
      <c r="C254" s="106">
        <f t="shared" si="38"/>
        <v>2019</v>
      </c>
      <c r="D254" s="101">
        <v>43813</v>
      </c>
      <c r="E254" s="102">
        <v>0.35416666666666669</v>
      </c>
      <c r="F254" s="103">
        <v>0.375</v>
      </c>
      <c r="G254" s="103">
        <v>0.35416666666666669</v>
      </c>
      <c r="H254" s="103">
        <v>0.39583333333333331</v>
      </c>
      <c r="I254" s="90">
        <f t="shared" si="36"/>
        <v>0.49999999999999956</v>
      </c>
      <c r="J254" s="90">
        <f t="shared" si="31"/>
        <v>0.99999999999999911</v>
      </c>
      <c r="K254" s="91">
        <f t="shared" si="39"/>
        <v>0.66666666666666663</v>
      </c>
      <c r="L254" s="91">
        <f t="shared" si="40"/>
        <v>4.375</v>
      </c>
      <c r="M254" s="29">
        <f t="shared" si="37"/>
        <v>20</v>
      </c>
      <c r="N254" s="92">
        <f t="shared" si="32"/>
        <v>0.49999999999999956</v>
      </c>
      <c r="O254" s="104">
        <f t="shared" si="33"/>
        <v>1.016</v>
      </c>
      <c r="P254" s="105">
        <f t="shared" si="34"/>
        <v>7.111999999999993</v>
      </c>
    </row>
    <row r="255" spans="2:16" x14ac:dyDescent="0.25">
      <c r="B255" s="88" t="str">
        <f t="shared" si="35"/>
        <v>Fazenda Altenor</v>
      </c>
      <c r="C255" s="106">
        <f t="shared" si="38"/>
        <v>2019</v>
      </c>
      <c r="D255" s="101">
        <v>43814</v>
      </c>
      <c r="E255" s="102">
        <v>0.375</v>
      </c>
      <c r="F255" s="103">
        <v>0.38541666666666669</v>
      </c>
      <c r="G255" s="103">
        <v>0.375</v>
      </c>
      <c r="H255" s="103">
        <v>0.41666666666666669</v>
      </c>
      <c r="I255" s="90">
        <f t="shared" si="36"/>
        <v>0.25000000000000044</v>
      </c>
      <c r="J255" s="90">
        <f t="shared" si="31"/>
        <v>1.0000000000000004</v>
      </c>
      <c r="K255" s="91">
        <f t="shared" si="39"/>
        <v>0.66666666666666663</v>
      </c>
      <c r="L255" s="91">
        <f t="shared" si="40"/>
        <v>4.375</v>
      </c>
      <c r="M255" s="29">
        <f t="shared" si="37"/>
        <v>20</v>
      </c>
      <c r="N255" s="92">
        <f t="shared" si="32"/>
        <v>0.25000000000000044</v>
      </c>
      <c r="O255" s="104">
        <f t="shared" si="33"/>
        <v>1.016</v>
      </c>
      <c r="P255" s="105">
        <f t="shared" si="34"/>
        <v>3.5560000000000058</v>
      </c>
    </row>
    <row r="256" spans="2:16" x14ac:dyDescent="0.25">
      <c r="B256" s="88" t="str">
        <f t="shared" si="35"/>
        <v>Fazenda Altenor</v>
      </c>
      <c r="C256" s="106">
        <f t="shared" si="38"/>
        <v>2019</v>
      </c>
      <c r="D256" s="101">
        <v>43815</v>
      </c>
      <c r="E256" s="102">
        <v>0.3125</v>
      </c>
      <c r="F256" s="103">
        <v>0.33333333333333331</v>
      </c>
      <c r="G256" s="103">
        <v>0.3125</v>
      </c>
      <c r="H256" s="103">
        <v>0.35416666666666669</v>
      </c>
      <c r="I256" s="90">
        <f t="shared" si="36"/>
        <v>0.49999999999999956</v>
      </c>
      <c r="J256" s="90">
        <f t="shared" si="31"/>
        <v>1.0000000000000004</v>
      </c>
      <c r="K256" s="91">
        <f t="shared" si="39"/>
        <v>0.66666666666666663</v>
      </c>
      <c r="L256" s="91">
        <f t="shared" si="40"/>
        <v>4.375</v>
      </c>
      <c r="M256" s="29">
        <f t="shared" si="37"/>
        <v>20</v>
      </c>
      <c r="N256" s="92">
        <f t="shared" si="32"/>
        <v>0.49999999999999956</v>
      </c>
      <c r="O256" s="104">
        <f t="shared" si="33"/>
        <v>1.016</v>
      </c>
      <c r="P256" s="105">
        <f t="shared" si="34"/>
        <v>7.111999999999993</v>
      </c>
    </row>
    <row r="257" spans="2:16" x14ac:dyDescent="0.25">
      <c r="B257" s="88" t="str">
        <f t="shared" si="35"/>
        <v>Fazenda Altenor</v>
      </c>
      <c r="C257" s="106">
        <f t="shared" si="38"/>
        <v>2019</v>
      </c>
      <c r="D257" s="101">
        <v>43816</v>
      </c>
      <c r="E257" s="102"/>
      <c r="F257" s="103"/>
      <c r="G257" s="103"/>
      <c r="H257" s="103"/>
      <c r="I257" s="90">
        <f t="shared" si="36"/>
        <v>0</v>
      </c>
      <c r="J257" s="90">
        <f t="shared" si="31"/>
        <v>0</v>
      </c>
      <c r="K257" s="91">
        <f t="shared" si="39"/>
        <v>0.66666666666666663</v>
      </c>
      <c r="L257" s="91">
        <f t="shared" si="40"/>
        <v>4.375</v>
      </c>
      <c r="M257" s="29">
        <f t="shared" si="37"/>
        <v>20</v>
      </c>
      <c r="N257" s="92">
        <f t="shared" si="32"/>
        <v>0</v>
      </c>
      <c r="O257" s="104">
        <f t="shared" si="33"/>
        <v>1.016</v>
      </c>
      <c r="P257" s="105">
        <f t="shared" si="34"/>
        <v>0</v>
      </c>
    </row>
    <row r="258" spans="2:16" x14ac:dyDescent="0.25">
      <c r="B258" s="88" t="str">
        <f t="shared" si="35"/>
        <v>Fazenda Altenor</v>
      </c>
      <c r="C258" s="106">
        <f t="shared" si="38"/>
        <v>2019</v>
      </c>
      <c r="D258" s="101">
        <v>43817</v>
      </c>
      <c r="E258" s="102">
        <v>0.41666666666666669</v>
      </c>
      <c r="F258" s="103">
        <v>0.4375</v>
      </c>
      <c r="G258" s="103">
        <v>0.41666666666666669</v>
      </c>
      <c r="H258" s="103">
        <v>0.45833333333333331</v>
      </c>
      <c r="I258" s="90">
        <f t="shared" si="36"/>
        <v>0.49999999999999956</v>
      </c>
      <c r="J258" s="90">
        <f t="shared" si="31"/>
        <v>0.99999999999999911</v>
      </c>
      <c r="K258" s="91">
        <f t="shared" si="39"/>
        <v>0.66666666666666663</v>
      </c>
      <c r="L258" s="91">
        <f t="shared" si="40"/>
        <v>4.375</v>
      </c>
      <c r="M258" s="29">
        <f t="shared" si="37"/>
        <v>20</v>
      </c>
      <c r="N258" s="92">
        <f t="shared" si="32"/>
        <v>0.49999999999999956</v>
      </c>
      <c r="O258" s="104">
        <f t="shared" si="33"/>
        <v>1.016</v>
      </c>
      <c r="P258" s="105">
        <f t="shared" si="34"/>
        <v>7.111999999999993</v>
      </c>
    </row>
    <row r="259" spans="2:16" x14ac:dyDescent="0.25">
      <c r="B259" s="88" t="str">
        <f t="shared" si="35"/>
        <v>Fazenda Altenor</v>
      </c>
      <c r="C259" s="106">
        <f t="shared" si="38"/>
        <v>2019</v>
      </c>
      <c r="D259" s="101">
        <v>43818</v>
      </c>
      <c r="E259" s="102">
        <v>0.29166666666666669</v>
      </c>
      <c r="F259" s="103">
        <v>0.3125</v>
      </c>
      <c r="G259" s="103">
        <v>0.29166666666666669</v>
      </c>
      <c r="H259" s="103">
        <v>0.33333333333333331</v>
      </c>
      <c r="I259" s="90">
        <f t="shared" si="36"/>
        <v>0.49999999999999956</v>
      </c>
      <c r="J259" s="90">
        <f t="shared" si="31"/>
        <v>0.99999999999999911</v>
      </c>
      <c r="K259" s="91">
        <f t="shared" si="39"/>
        <v>0.66666666666666663</v>
      </c>
      <c r="L259" s="91">
        <f t="shared" si="40"/>
        <v>4.375</v>
      </c>
      <c r="M259" s="29">
        <f t="shared" si="37"/>
        <v>20</v>
      </c>
      <c r="N259" s="92">
        <f t="shared" si="32"/>
        <v>0.49999999999999956</v>
      </c>
      <c r="O259" s="104">
        <f t="shared" si="33"/>
        <v>1.016</v>
      </c>
      <c r="P259" s="105">
        <f t="shared" si="34"/>
        <v>7.111999999999993</v>
      </c>
    </row>
    <row r="260" spans="2:16" x14ac:dyDescent="0.25">
      <c r="B260" s="88" t="str">
        <f t="shared" si="35"/>
        <v>Fazenda Altenor</v>
      </c>
      <c r="C260" s="106">
        <f t="shared" si="38"/>
        <v>2019</v>
      </c>
      <c r="D260" s="101">
        <v>43819</v>
      </c>
      <c r="E260" s="102">
        <v>0.33333333333333331</v>
      </c>
      <c r="F260" s="103">
        <v>0.35416666666666669</v>
      </c>
      <c r="G260" s="103">
        <v>0.33333333333333331</v>
      </c>
      <c r="H260" s="103">
        <v>0.375</v>
      </c>
      <c r="I260" s="90">
        <f t="shared" si="36"/>
        <v>0.50000000000000089</v>
      </c>
      <c r="J260" s="90">
        <f t="shared" si="31"/>
        <v>1.0000000000000004</v>
      </c>
      <c r="K260" s="91">
        <f t="shared" si="39"/>
        <v>0.66666666666666663</v>
      </c>
      <c r="L260" s="91">
        <f t="shared" si="40"/>
        <v>4.375</v>
      </c>
      <c r="M260" s="29">
        <f t="shared" si="37"/>
        <v>20</v>
      </c>
      <c r="N260" s="92">
        <f t="shared" si="32"/>
        <v>0.50000000000000089</v>
      </c>
      <c r="O260" s="104">
        <f t="shared" si="33"/>
        <v>1.016</v>
      </c>
      <c r="P260" s="105">
        <f t="shared" si="34"/>
        <v>7.1120000000000116</v>
      </c>
    </row>
    <row r="261" spans="2:16" x14ac:dyDescent="0.25">
      <c r="B261" s="88" t="str">
        <f t="shared" si="35"/>
        <v>Fazenda Altenor</v>
      </c>
      <c r="C261" s="106">
        <f t="shared" si="38"/>
        <v>2019</v>
      </c>
      <c r="D261" s="101">
        <v>43820</v>
      </c>
      <c r="E261" s="102">
        <v>0.3125</v>
      </c>
      <c r="F261" s="103">
        <v>0.33333333333333331</v>
      </c>
      <c r="G261" s="103">
        <v>0.3125</v>
      </c>
      <c r="H261" s="103">
        <v>0.375</v>
      </c>
      <c r="I261" s="90">
        <f t="shared" si="36"/>
        <v>0.49999999999999956</v>
      </c>
      <c r="J261" s="90">
        <f t="shared" si="31"/>
        <v>1.5</v>
      </c>
      <c r="K261" s="91">
        <f t="shared" si="39"/>
        <v>0.66666666666666663</v>
      </c>
      <c r="L261" s="91">
        <f t="shared" si="40"/>
        <v>4.375</v>
      </c>
      <c r="M261" s="29">
        <f t="shared" si="37"/>
        <v>20</v>
      </c>
      <c r="N261" s="92">
        <f t="shared" si="32"/>
        <v>0.49999999999999956</v>
      </c>
      <c r="O261" s="104">
        <f t="shared" si="33"/>
        <v>1.016</v>
      </c>
      <c r="P261" s="105">
        <f t="shared" si="34"/>
        <v>7.111999999999993</v>
      </c>
    </row>
    <row r="262" spans="2:16" x14ac:dyDescent="0.25">
      <c r="B262" s="88" t="str">
        <f t="shared" si="35"/>
        <v>Fazenda Altenor</v>
      </c>
      <c r="C262" s="106">
        <f t="shared" si="38"/>
        <v>2019</v>
      </c>
      <c r="D262" s="101">
        <v>43821</v>
      </c>
      <c r="E262" s="102">
        <v>0.29166666666666669</v>
      </c>
      <c r="F262" s="103">
        <v>0.3125</v>
      </c>
      <c r="G262" s="103">
        <v>0.29166666666666669</v>
      </c>
      <c r="H262" s="103">
        <v>0.33333333333333331</v>
      </c>
      <c r="I262" s="90">
        <f t="shared" si="36"/>
        <v>0.49999999999999956</v>
      </c>
      <c r="J262" s="90">
        <f t="shared" si="31"/>
        <v>0.99999999999999911</v>
      </c>
      <c r="K262" s="91">
        <f t="shared" si="39"/>
        <v>0.66666666666666663</v>
      </c>
      <c r="L262" s="91">
        <f t="shared" si="40"/>
        <v>4.375</v>
      </c>
      <c r="M262" s="29">
        <f t="shared" si="37"/>
        <v>20</v>
      </c>
      <c r="N262" s="92">
        <f t="shared" si="32"/>
        <v>0.49999999999999956</v>
      </c>
      <c r="O262" s="104">
        <f t="shared" si="33"/>
        <v>1.016</v>
      </c>
      <c r="P262" s="105">
        <f t="shared" si="34"/>
        <v>7.111999999999993</v>
      </c>
    </row>
    <row r="263" spans="2:16" x14ac:dyDescent="0.25">
      <c r="B263" s="88" t="str">
        <f t="shared" si="35"/>
        <v>Fazenda Altenor</v>
      </c>
      <c r="C263" s="106">
        <f t="shared" si="38"/>
        <v>2019</v>
      </c>
      <c r="D263" s="101">
        <v>43822</v>
      </c>
      <c r="E263" s="102">
        <v>0.35416666666666669</v>
      </c>
      <c r="F263" s="103">
        <v>0.375</v>
      </c>
      <c r="G263" s="103">
        <v>0.35416666666666669</v>
      </c>
      <c r="H263" s="103">
        <v>0.39583333333333331</v>
      </c>
      <c r="I263" s="90">
        <f t="shared" si="36"/>
        <v>0.49999999999999956</v>
      </c>
      <c r="J263" s="90">
        <f t="shared" si="31"/>
        <v>0.99999999999999911</v>
      </c>
      <c r="K263" s="91">
        <f t="shared" si="39"/>
        <v>0.66666666666666663</v>
      </c>
      <c r="L263" s="91">
        <f t="shared" si="40"/>
        <v>4.375</v>
      </c>
      <c r="M263" s="29">
        <f t="shared" si="37"/>
        <v>20</v>
      </c>
      <c r="N263" s="92">
        <f t="shared" si="32"/>
        <v>0.49999999999999956</v>
      </c>
      <c r="O263" s="104">
        <f t="shared" si="33"/>
        <v>1.016</v>
      </c>
      <c r="P263" s="105">
        <f t="shared" si="34"/>
        <v>7.111999999999993</v>
      </c>
    </row>
    <row r="264" spans="2:16" x14ac:dyDescent="0.25">
      <c r="B264" s="88" t="str">
        <f t="shared" si="35"/>
        <v>Fazenda Altenor</v>
      </c>
      <c r="C264" s="106">
        <f t="shared" si="38"/>
        <v>2019</v>
      </c>
      <c r="D264" s="101">
        <v>43823</v>
      </c>
      <c r="E264" s="102">
        <v>0.375</v>
      </c>
      <c r="F264" s="103">
        <v>0.39583333333333331</v>
      </c>
      <c r="G264" s="103">
        <v>0.375</v>
      </c>
      <c r="H264" s="103">
        <v>0.41666666666666669</v>
      </c>
      <c r="I264" s="90">
        <f t="shared" si="36"/>
        <v>0.49999999999999956</v>
      </c>
      <c r="J264" s="90">
        <f t="shared" si="31"/>
        <v>1.0000000000000004</v>
      </c>
      <c r="K264" s="91">
        <f t="shared" si="39"/>
        <v>0.66666666666666663</v>
      </c>
      <c r="L264" s="91">
        <f t="shared" si="40"/>
        <v>4.375</v>
      </c>
      <c r="M264" s="29">
        <f t="shared" si="37"/>
        <v>20</v>
      </c>
      <c r="N264" s="92">
        <f t="shared" si="32"/>
        <v>0.49999999999999956</v>
      </c>
      <c r="O264" s="104">
        <f t="shared" si="33"/>
        <v>1.016</v>
      </c>
      <c r="P264" s="105">
        <f t="shared" si="34"/>
        <v>7.111999999999993</v>
      </c>
    </row>
    <row r="265" spans="2:16" x14ac:dyDescent="0.25">
      <c r="B265" s="88" t="str">
        <f t="shared" si="35"/>
        <v>Fazenda Altenor</v>
      </c>
      <c r="C265" s="106">
        <f t="shared" si="38"/>
        <v>2019</v>
      </c>
      <c r="D265" s="101">
        <v>43824</v>
      </c>
      <c r="E265" s="102">
        <v>0.3125</v>
      </c>
      <c r="F265" s="103">
        <v>0.33333333333333331</v>
      </c>
      <c r="G265" s="103">
        <v>0.3125</v>
      </c>
      <c r="H265" s="103">
        <v>0.36458333333333331</v>
      </c>
      <c r="I265" s="90">
        <f t="shared" si="36"/>
        <v>0.49999999999999956</v>
      </c>
      <c r="J265" s="90">
        <f t="shared" si="31"/>
        <v>1.2499999999999996</v>
      </c>
      <c r="K265" s="91">
        <f t="shared" si="39"/>
        <v>0.66666666666666663</v>
      </c>
      <c r="L265" s="91">
        <f t="shared" si="40"/>
        <v>4.375</v>
      </c>
      <c r="M265" s="29">
        <f t="shared" si="37"/>
        <v>20</v>
      </c>
      <c r="N265" s="92">
        <f t="shared" si="32"/>
        <v>0.49999999999999956</v>
      </c>
      <c r="O265" s="104">
        <f t="shared" si="33"/>
        <v>1.016</v>
      </c>
      <c r="P265" s="105">
        <f t="shared" si="34"/>
        <v>7.111999999999993</v>
      </c>
    </row>
    <row r="266" spans="2:16" x14ac:dyDescent="0.25">
      <c r="B266" s="88" t="str">
        <f t="shared" si="35"/>
        <v>Fazenda Altenor</v>
      </c>
      <c r="C266" s="106">
        <f t="shared" si="38"/>
        <v>2019</v>
      </c>
      <c r="D266" s="101">
        <v>43825</v>
      </c>
      <c r="E266" s="102">
        <v>0.33333333333333331</v>
      </c>
      <c r="F266" s="103">
        <v>0.35416666666666669</v>
      </c>
      <c r="G266" s="103">
        <v>0.33333333333333331</v>
      </c>
      <c r="H266" s="103">
        <v>0.375</v>
      </c>
      <c r="I266" s="90">
        <f t="shared" si="36"/>
        <v>0.50000000000000089</v>
      </c>
      <c r="J266" s="90">
        <f t="shared" si="31"/>
        <v>1.0000000000000004</v>
      </c>
      <c r="K266" s="91">
        <f t="shared" si="39"/>
        <v>0.66666666666666663</v>
      </c>
      <c r="L266" s="91">
        <f t="shared" si="40"/>
        <v>4.375</v>
      </c>
      <c r="M266" s="29">
        <f t="shared" si="37"/>
        <v>20</v>
      </c>
      <c r="N266" s="92">
        <f t="shared" si="32"/>
        <v>0.50000000000000089</v>
      </c>
      <c r="O266" s="104">
        <f t="shared" si="33"/>
        <v>1.016</v>
      </c>
      <c r="P266" s="105">
        <f t="shared" si="34"/>
        <v>7.1120000000000116</v>
      </c>
    </row>
    <row r="267" spans="2:16" x14ac:dyDescent="0.25">
      <c r="B267" s="88" t="str">
        <f t="shared" si="35"/>
        <v>Fazenda Altenor</v>
      </c>
      <c r="C267" s="106">
        <f t="shared" si="38"/>
        <v>2019</v>
      </c>
      <c r="D267" s="101">
        <v>43826</v>
      </c>
      <c r="E267" s="102">
        <v>0.375</v>
      </c>
      <c r="F267" s="103">
        <v>0.39583333333333331</v>
      </c>
      <c r="G267" s="103">
        <v>0.375</v>
      </c>
      <c r="H267" s="103">
        <v>0.41666666666666669</v>
      </c>
      <c r="I267" s="90">
        <f t="shared" si="36"/>
        <v>0.49999999999999956</v>
      </c>
      <c r="J267" s="90">
        <f t="shared" si="31"/>
        <v>1.0000000000000004</v>
      </c>
      <c r="K267" s="91">
        <f t="shared" si="39"/>
        <v>0.66666666666666663</v>
      </c>
      <c r="L267" s="91">
        <f t="shared" si="40"/>
        <v>4.375</v>
      </c>
      <c r="M267" s="29">
        <f t="shared" si="37"/>
        <v>20</v>
      </c>
      <c r="N267" s="92">
        <f t="shared" si="32"/>
        <v>0.49999999999999956</v>
      </c>
      <c r="O267" s="104">
        <f t="shared" si="33"/>
        <v>1.016</v>
      </c>
      <c r="P267" s="105">
        <f t="shared" si="34"/>
        <v>7.111999999999993</v>
      </c>
    </row>
    <row r="268" spans="2:16" x14ac:dyDescent="0.25">
      <c r="B268" s="88" t="str">
        <f t="shared" si="35"/>
        <v>Fazenda Altenor</v>
      </c>
      <c r="C268" s="106">
        <f t="shared" si="38"/>
        <v>2019</v>
      </c>
      <c r="D268" s="101">
        <v>43827</v>
      </c>
      <c r="E268" s="102">
        <v>0.29166666666666669</v>
      </c>
      <c r="F268" s="103">
        <v>0.3125</v>
      </c>
      <c r="G268" s="103">
        <v>0.29166666666666669</v>
      </c>
      <c r="H268" s="103">
        <v>0.33333333333333331</v>
      </c>
      <c r="I268" s="90">
        <f t="shared" si="36"/>
        <v>0.49999999999999956</v>
      </c>
      <c r="J268" s="90">
        <f t="shared" si="31"/>
        <v>0.99999999999999911</v>
      </c>
      <c r="K268" s="91">
        <f t="shared" si="39"/>
        <v>0.66666666666666663</v>
      </c>
      <c r="L268" s="91">
        <f t="shared" si="40"/>
        <v>4.375</v>
      </c>
      <c r="M268" s="29">
        <f t="shared" si="37"/>
        <v>20</v>
      </c>
      <c r="N268" s="92">
        <f t="shared" si="32"/>
        <v>0.49999999999999956</v>
      </c>
      <c r="O268" s="104">
        <f t="shared" si="33"/>
        <v>1.016</v>
      </c>
      <c r="P268" s="105">
        <f t="shared" si="34"/>
        <v>7.111999999999993</v>
      </c>
    </row>
    <row r="269" spans="2:16" x14ac:dyDescent="0.25">
      <c r="B269" s="88" t="str">
        <f t="shared" si="35"/>
        <v>Fazenda Altenor</v>
      </c>
      <c r="C269" s="106">
        <f t="shared" si="38"/>
        <v>2019</v>
      </c>
      <c r="D269" s="101">
        <v>43828</v>
      </c>
      <c r="E269" s="102">
        <v>0.375</v>
      </c>
      <c r="F269" s="103">
        <v>0.39583333333333331</v>
      </c>
      <c r="G269" s="103">
        <v>0.375</v>
      </c>
      <c r="H269" s="103">
        <v>0.41666666666666669</v>
      </c>
      <c r="I269" s="90">
        <f t="shared" si="36"/>
        <v>0.49999999999999956</v>
      </c>
      <c r="J269" s="90">
        <f t="shared" si="31"/>
        <v>1.0000000000000004</v>
      </c>
      <c r="K269" s="91">
        <f t="shared" si="39"/>
        <v>0.66666666666666663</v>
      </c>
      <c r="L269" s="91">
        <f t="shared" si="40"/>
        <v>4.375</v>
      </c>
      <c r="M269" s="29">
        <f t="shared" si="37"/>
        <v>20</v>
      </c>
      <c r="N269" s="92">
        <f t="shared" si="32"/>
        <v>0.49999999999999956</v>
      </c>
      <c r="O269" s="104">
        <f t="shared" si="33"/>
        <v>1.016</v>
      </c>
      <c r="P269" s="105">
        <f t="shared" si="34"/>
        <v>7.111999999999993</v>
      </c>
    </row>
    <row r="270" spans="2:16" x14ac:dyDescent="0.25">
      <c r="B270" s="88" t="str">
        <f t="shared" si="35"/>
        <v>Fazenda Altenor</v>
      </c>
      <c r="C270" s="106">
        <f t="shared" si="38"/>
        <v>2019</v>
      </c>
      <c r="D270" s="101">
        <v>43829</v>
      </c>
      <c r="E270" s="102">
        <v>0.3125</v>
      </c>
      <c r="F270" s="103">
        <v>0.33333333333333331</v>
      </c>
      <c r="G270" s="103">
        <v>0.3125</v>
      </c>
      <c r="H270" s="103">
        <v>0.36458333333333331</v>
      </c>
      <c r="I270" s="90">
        <f t="shared" si="36"/>
        <v>0.49999999999999956</v>
      </c>
      <c r="J270" s="90">
        <f t="shared" si="31"/>
        <v>1.2499999999999996</v>
      </c>
      <c r="K270" s="91">
        <f t="shared" si="39"/>
        <v>0.66666666666666663</v>
      </c>
      <c r="L270" s="91">
        <f t="shared" si="40"/>
        <v>4.375</v>
      </c>
      <c r="M270" s="29">
        <f t="shared" si="37"/>
        <v>20</v>
      </c>
      <c r="N270" s="92">
        <f t="shared" si="32"/>
        <v>0.49999999999999956</v>
      </c>
      <c r="O270" s="104">
        <f t="shared" si="33"/>
        <v>1.016</v>
      </c>
      <c r="P270" s="105">
        <f t="shared" si="34"/>
        <v>7.111999999999993</v>
      </c>
    </row>
    <row r="271" spans="2:16" x14ac:dyDescent="0.25">
      <c r="B271" s="88" t="str">
        <f t="shared" si="35"/>
        <v>Fazenda Altenor</v>
      </c>
      <c r="C271" s="106">
        <f t="shared" si="38"/>
        <v>2019</v>
      </c>
      <c r="D271" s="101">
        <v>43830</v>
      </c>
      <c r="E271" s="102">
        <v>0.33333333333333331</v>
      </c>
      <c r="F271" s="103">
        <v>0.35416666666666669</v>
      </c>
      <c r="G271" s="103">
        <v>0.33333333333333331</v>
      </c>
      <c r="H271" s="103">
        <v>0.375</v>
      </c>
      <c r="I271" s="90">
        <f t="shared" si="36"/>
        <v>0.50000000000000089</v>
      </c>
      <c r="J271" s="90">
        <f t="shared" si="31"/>
        <v>1.0000000000000004</v>
      </c>
      <c r="K271" s="91">
        <f t="shared" si="39"/>
        <v>0.66666666666666663</v>
      </c>
      <c r="L271" s="91">
        <f t="shared" si="40"/>
        <v>4.375</v>
      </c>
      <c r="M271" s="29">
        <f t="shared" si="37"/>
        <v>20</v>
      </c>
      <c r="N271" s="92">
        <f t="shared" si="32"/>
        <v>0.50000000000000089</v>
      </c>
      <c r="O271" s="104">
        <f t="shared" si="33"/>
        <v>1.016</v>
      </c>
      <c r="P271" s="105">
        <f t="shared" si="34"/>
        <v>7.1120000000000116</v>
      </c>
    </row>
    <row r="272" spans="2:16" x14ac:dyDescent="0.25">
      <c r="B272" s="88" t="str">
        <f t="shared" si="35"/>
        <v>Fazenda Altenor</v>
      </c>
      <c r="C272" s="106">
        <f t="shared" si="38"/>
        <v>2020</v>
      </c>
      <c r="D272" s="101">
        <v>43831</v>
      </c>
      <c r="E272" s="102">
        <v>0.3125</v>
      </c>
      <c r="F272" s="103">
        <v>0.33333333333333331</v>
      </c>
      <c r="G272" s="103">
        <v>0.3125</v>
      </c>
      <c r="H272" s="103">
        <v>0.35416666666666669</v>
      </c>
      <c r="I272" s="90">
        <f t="shared" si="36"/>
        <v>0.49999999999999956</v>
      </c>
      <c r="J272" s="90">
        <f t="shared" si="31"/>
        <v>1.0000000000000004</v>
      </c>
      <c r="K272" s="91">
        <f t="shared" si="39"/>
        <v>0.66666666666666663</v>
      </c>
      <c r="L272" s="91">
        <f t="shared" si="40"/>
        <v>4.375</v>
      </c>
      <c r="M272" s="29">
        <f t="shared" si="37"/>
        <v>20</v>
      </c>
      <c r="N272" s="92">
        <f t="shared" si="32"/>
        <v>0.49999999999999956</v>
      </c>
      <c r="O272" s="104">
        <f t="shared" si="33"/>
        <v>1.016</v>
      </c>
      <c r="P272" s="105">
        <f t="shared" si="34"/>
        <v>7.111999999999993</v>
      </c>
    </row>
    <row r="273" spans="2:16" x14ac:dyDescent="0.25">
      <c r="B273" s="88" t="str">
        <f t="shared" si="35"/>
        <v>Fazenda Altenor</v>
      </c>
      <c r="C273" s="106">
        <f t="shared" si="38"/>
        <v>2020</v>
      </c>
      <c r="D273" s="101">
        <v>43832</v>
      </c>
      <c r="E273" s="102">
        <v>0.35416666666666669</v>
      </c>
      <c r="F273" s="103">
        <v>0.375</v>
      </c>
      <c r="G273" s="103">
        <v>0.35416666666666669</v>
      </c>
      <c r="H273" s="103">
        <v>0.39583333333333331</v>
      </c>
      <c r="I273" s="90">
        <f t="shared" si="36"/>
        <v>0.49999999999999956</v>
      </c>
      <c r="J273" s="90">
        <f t="shared" si="31"/>
        <v>0.99999999999999911</v>
      </c>
      <c r="K273" s="91">
        <f t="shared" si="39"/>
        <v>0.66666666666666663</v>
      </c>
      <c r="L273" s="91">
        <f t="shared" si="40"/>
        <v>4.375</v>
      </c>
      <c r="M273" s="29">
        <f t="shared" si="37"/>
        <v>20</v>
      </c>
      <c r="N273" s="92">
        <f t="shared" si="32"/>
        <v>0.49999999999999956</v>
      </c>
      <c r="O273" s="104">
        <f t="shared" si="33"/>
        <v>1.016</v>
      </c>
      <c r="P273" s="105">
        <f t="shared" si="34"/>
        <v>7.111999999999993</v>
      </c>
    </row>
    <row r="274" spans="2:16" x14ac:dyDescent="0.25">
      <c r="B274" s="88" t="str">
        <f t="shared" si="35"/>
        <v>Fazenda Altenor</v>
      </c>
      <c r="C274" s="106">
        <f t="shared" si="38"/>
        <v>2020</v>
      </c>
      <c r="D274" s="101">
        <v>43833</v>
      </c>
      <c r="E274" s="102">
        <v>0.375</v>
      </c>
      <c r="F274" s="103">
        <v>0.39583333333333331</v>
      </c>
      <c r="G274" s="103">
        <v>0.375</v>
      </c>
      <c r="H274" s="103">
        <v>0.41666666666666669</v>
      </c>
      <c r="I274" s="90">
        <f t="shared" si="36"/>
        <v>0.49999999999999956</v>
      </c>
      <c r="J274" s="90">
        <f t="shared" si="31"/>
        <v>1.0000000000000004</v>
      </c>
      <c r="K274" s="91">
        <f t="shared" si="39"/>
        <v>0.66666666666666663</v>
      </c>
      <c r="L274" s="91">
        <f t="shared" si="40"/>
        <v>4.375</v>
      </c>
      <c r="M274" s="29">
        <f t="shared" si="37"/>
        <v>20</v>
      </c>
      <c r="N274" s="92">
        <f t="shared" si="32"/>
        <v>0.49999999999999956</v>
      </c>
      <c r="O274" s="104">
        <f t="shared" si="33"/>
        <v>1.016</v>
      </c>
      <c r="P274" s="105">
        <f t="shared" si="34"/>
        <v>7.111999999999993</v>
      </c>
    </row>
    <row r="275" spans="2:16" x14ac:dyDescent="0.25">
      <c r="B275" s="88" t="str">
        <f t="shared" si="35"/>
        <v>Fazenda Altenor</v>
      </c>
      <c r="C275" s="106">
        <f t="shared" si="38"/>
        <v>2020</v>
      </c>
      <c r="D275" s="101">
        <v>43834</v>
      </c>
      <c r="E275" s="102">
        <v>0.29166666666666669</v>
      </c>
      <c r="F275" s="103">
        <v>0.3125</v>
      </c>
      <c r="G275" s="103">
        <v>0.29166666666666669</v>
      </c>
      <c r="H275" s="103">
        <v>0.33333333333333331</v>
      </c>
      <c r="I275" s="90">
        <f t="shared" si="36"/>
        <v>0.49999999999999956</v>
      </c>
      <c r="J275" s="90">
        <f t="shared" si="31"/>
        <v>0.99999999999999911</v>
      </c>
      <c r="K275" s="91">
        <f t="shared" si="39"/>
        <v>0.66666666666666663</v>
      </c>
      <c r="L275" s="91">
        <f t="shared" si="40"/>
        <v>4.375</v>
      </c>
      <c r="M275" s="29">
        <f t="shared" si="37"/>
        <v>20</v>
      </c>
      <c r="N275" s="92">
        <f t="shared" si="32"/>
        <v>0.49999999999999956</v>
      </c>
      <c r="O275" s="104">
        <f t="shared" si="33"/>
        <v>1.016</v>
      </c>
      <c r="P275" s="105">
        <f t="shared" si="34"/>
        <v>7.111999999999993</v>
      </c>
    </row>
    <row r="276" spans="2:16" x14ac:dyDescent="0.25">
      <c r="B276" s="88" t="str">
        <f t="shared" si="35"/>
        <v>Fazenda Altenor</v>
      </c>
      <c r="C276" s="106">
        <f t="shared" si="38"/>
        <v>2020</v>
      </c>
      <c r="D276" s="101">
        <v>43835</v>
      </c>
      <c r="E276" s="102"/>
      <c r="F276" s="103"/>
      <c r="G276" s="103"/>
      <c r="H276" s="103"/>
      <c r="I276" s="90">
        <f t="shared" si="36"/>
        <v>0</v>
      </c>
      <c r="J276" s="90">
        <f t="shared" si="31"/>
        <v>0</v>
      </c>
      <c r="K276" s="91">
        <f t="shared" si="39"/>
        <v>0.66666666666666663</v>
      </c>
      <c r="L276" s="91">
        <f t="shared" si="40"/>
        <v>4.375</v>
      </c>
      <c r="M276" s="29">
        <f t="shared" si="37"/>
        <v>20</v>
      </c>
      <c r="N276" s="92">
        <f t="shared" si="32"/>
        <v>0</v>
      </c>
      <c r="O276" s="104">
        <f t="shared" si="33"/>
        <v>1.016</v>
      </c>
      <c r="P276" s="105">
        <f t="shared" si="34"/>
        <v>0</v>
      </c>
    </row>
    <row r="277" spans="2:16" x14ac:dyDescent="0.25">
      <c r="B277" s="88" t="str">
        <f t="shared" si="35"/>
        <v>Fazenda Altenor</v>
      </c>
      <c r="C277" s="106">
        <f t="shared" si="38"/>
        <v>2020</v>
      </c>
      <c r="D277" s="101">
        <v>43836</v>
      </c>
      <c r="E277" s="102">
        <v>0.33333333333333331</v>
      </c>
      <c r="F277" s="103">
        <v>0.35416666666666669</v>
      </c>
      <c r="G277" s="103">
        <v>0.33333333333333331</v>
      </c>
      <c r="H277" s="103">
        <v>0.375</v>
      </c>
      <c r="I277" s="90">
        <f t="shared" si="36"/>
        <v>0.50000000000000089</v>
      </c>
      <c r="J277" s="90">
        <f t="shared" si="31"/>
        <v>1.0000000000000004</v>
      </c>
      <c r="K277" s="91">
        <f t="shared" si="39"/>
        <v>0.66666666666666663</v>
      </c>
      <c r="L277" s="91">
        <f t="shared" si="40"/>
        <v>4.375</v>
      </c>
      <c r="M277" s="29">
        <f t="shared" si="37"/>
        <v>20</v>
      </c>
      <c r="N277" s="92">
        <f t="shared" si="32"/>
        <v>0.50000000000000089</v>
      </c>
      <c r="O277" s="104">
        <f t="shared" si="33"/>
        <v>1.016</v>
      </c>
      <c r="P277" s="105">
        <f t="shared" si="34"/>
        <v>7.1120000000000116</v>
      </c>
    </row>
    <row r="278" spans="2:16" x14ac:dyDescent="0.25">
      <c r="B278" s="88" t="str">
        <f t="shared" si="35"/>
        <v>Fazenda Altenor</v>
      </c>
      <c r="C278" s="106">
        <f t="shared" si="38"/>
        <v>2020</v>
      </c>
      <c r="D278" s="101">
        <v>43837</v>
      </c>
      <c r="E278" s="102">
        <v>0.29166666666666669</v>
      </c>
      <c r="F278" s="103">
        <v>0.3125</v>
      </c>
      <c r="G278" s="103">
        <v>0.29166666666666669</v>
      </c>
      <c r="H278" s="103">
        <v>0.33333333333333331</v>
      </c>
      <c r="I278" s="90">
        <f t="shared" si="36"/>
        <v>0.49999999999999956</v>
      </c>
      <c r="J278" s="90">
        <f t="shared" si="31"/>
        <v>0.99999999999999911</v>
      </c>
      <c r="K278" s="91">
        <f t="shared" si="39"/>
        <v>0.66666666666666663</v>
      </c>
      <c r="L278" s="91">
        <f t="shared" si="40"/>
        <v>4.375</v>
      </c>
      <c r="M278" s="29">
        <f t="shared" si="37"/>
        <v>20</v>
      </c>
      <c r="N278" s="92">
        <f t="shared" si="32"/>
        <v>0.49999999999999956</v>
      </c>
      <c r="O278" s="104">
        <f t="shared" si="33"/>
        <v>1.016</v>
      </c>
      <c r="P278" s="105">
        <f t="shared" si="34"/>
        <v>7.111999999999993</v>
      </c>
    </row>
    <row r="279" spans="2:16" x14ac:dyDescent="0.25">
      <c r="B279" s="88" t="str">
        <f t="shared" si="35"/>
        <v>Fazenda Altenor</v>
      </c>
      <c r="C279" s="106">
        <f t="shared" si="38"/>
        <v>2020</v>
      </c>
      <c r="D279" s="101">
        <v>43838</v>
      </c>
      <c r="E279" s="102">
        <v>0.3125</v>
      </c>
      <c r="F279" s="103">
        <v>0.33333333333333331</v>
      </c>
      <c r="G279" s="103">
        <v>0.3125</v>
      </c>
      <c r="H279" s="103">
        <v>0.35416666666666669</v>
      </c>
      <c r="I279" s="90">
        <f t="shared" si="36"/>
        <v>0.49999999999999956</v>
      </c>
      <c r="J279" s="90">
        <f t="shared" si="31"/>
        <v>1.0000000000000004</v>
      </c>
      <c r="K279" s="91">
        <f t="shared" si="39"/>
        <v>0.66666666666666663</v>
      </c>
      <c r="L279" s="91">
        <f t="shared" si="40"/>
        <v>4.375</v>
      </c>
      <c r="M279" s="29">
        <f t="shared" si="37"/>
        <v>20</v>
      </c>
      <c r="N279" s="92">
        <f t="shared" si="32"/>
        <v>0.49999999999999956</v>
      </c>
      <c r="O279" s="104">
        <f t="shared" si="33"/>
        <v>1.016</v>
      </c>
      <c r="P279" s="105">
        <f t="shared" si="34"/>
        <v>7.111999999999993</v>
      </c>
    </row>
    <row r="280" spans="2:16" x14ac:dyDescent="0.25">
      <c r="B280" s="88" t="str">
        <f t="shared" si="35"/>
        <v>Fazenda Altenor</v>
      </c>
      <c r="C280" s="106">
        <f t="shared" si="38"/>
        <v>2020</v>
      </c>
      <c r="D280" s="101">
        <v>43839</v>
      </c>
      <c r="E280" s="102">
        <v>0.33333333333333331</v>
      </c>
      <c r="F280" s="103">
        <v>0.35416666666666669</v>
      </c>
      <c r="G280" s="103">
        <v>0.33333333333333331</v>
      </c>
      <c r="H280" s="103">
        <v>0.375</v>
      </c>
      <c r="I280" s="90">
        <f t="shared" si="36"/>
        <v>0.50000000000000089</v>
      </c>
      <c r="J280" s="90">
        <f t="shared" si="31"/>
        <v>1.0000000000000004</v>
      </c>
      <c r="K280" s="91">
        <f t="shared" si="39"/>
        <v>0.66666666666666663</v>
      </c>
      <c r="L280" s="91">
        <f t="shared" si="40"/>
        <v>4.375</v>
      </c>
      <c r="M280" s="29">
        <f t="shared" si="37"/>
        <v>20</v>
      </c>
      <c r="N280" s="92">
        <f t="shared" si="32"/>
        <v>0.50000000000000089</v>
      </c>
      <c r="O280" s="104">
        <f t="shared" si="33"/>
        <v>1.016</v>
      </c>
      <c r="P280" s="105">
        <f t="shared" si="34"/>
        <v>7.1120000000000116</v>
      </c>
    </row>
    <row r="281" spans="2:16" x14ac:dyDescent="0.25">
      <c r="B281" s="88" t="str">
        <f t="shared" si="35"/>
        <v>Fazenda Altenor</v>
      </c>
      <c r="C281" s="106">
        <f t="shared" si="38"/>
        <v>2020</v>
      </c>
      <c r="D281" s="101">
        <v>43840</v>
      </c>
      <c r="E281" s="102">
        <v>0.3125</v>
      </c>
      <c r="F281" s="103">
        <v>0.33333333333333331</v>
      </c>
      <c r="G281" s="103">
        <v>0.3125</v>
      </c>
      <c r="H281" s="103">
        <v>0.36458333333333331</v>
      </c>
      <c r="I281" s="90">
        <f t="shared" si="36"/>
        <v>0.49999999999999956</v>
      </c>
      <c r="J281" s="90">
        <f t="shared" si="31"/>
        <v>1.2499999999999996</v>
      </c>
      <c r="K281" s="91">
        <f t="shared" si="39"/>
        <v>0.66666666666666663</v>
      </c>
      <c r="L281" s="91">
        <f t="shared" si="40"/>
        <v>4.375</v>
      </c>
      <c r="M281" s="29">
        <f t="shared" si="37"/>
        <v>20</v>
      </c>
      <c r="N281" s="92">
        <f t="shared" si="32"/>
        <v>0.49999999999999956</v>
      </c>
      <c r="O281" s="104">
        <f t="shared" si="33"/>
        <v>1.016</v>
      </c>
      <c r="P281" s="105">
        <f t="shared" si="34"/>
        <v>7.111999999999993</v>
      </c>
    </row>
    <row r="282" spans="2:16" x14ac:dyDescent="0.25">
      <c r="B282" s="88" t="str">
        <f t="shared" si="35"/>
        <v>Fazenda Altenor</v>
      </c>
      <c r="C282" s="106">
        <f t="shared" si="38"/>
        <v>2020</v>
      </c>
      <c r="D282" s="101">
        <v>43841</v>
      </c>
      <c r="E282" s="102">
        <v>0.33333333333333331</v>
      </c>
      <c r="F282" s="103">
        <v>0.35416666666666669</v>
      </c>
      <c r="G282" s="103">
        <v>0.33333333333333331</v>
      </c>
      <c r="H282" s="103">
        <v>0.375</v>
      </c>
      <c r="I282" s="90">
        <f t="shared" si="36"/>
        <v>0.50000000000000089</v>
      </c>
      <c r="J282" s="90">
        <f t="shared" si="31"/>
        <v>1.0000000000000004</v>
      </c>
      <c r="K282" s="91">
        <f t="shared" si="39"/>
        <v>0.66666666666666663</v>
      </c>
      <c r="L282" s="91">
        <f t="shared" si="40"/>
        <v>4.375</v>
      </c>
      <c r="M282" s="29">
        <f t="shared" si="37"/>
        <v>20</v>
      </c>
      <c r="N282" s="92">
        <f t="shared" si="32"/>
        <v>0.50000000000000089</v>
      </c>
      <c r="O282" s="104">
        <f t="shared" si="33"/>
        <v>1.016</v>
      </c>
      <c r="P282" s="105">
        <f t="shared" si="34"/>
        <v>7.1120000000000116</v>
      </c>
    </row>
    <row r="283" spans="2:16" x14ac:dyDescent="0.25">
      <c r="B283" s="88" t="str">
        <f t="shared" si="35"/>
        <v>Fazenda Altenor</v>
      </c>
      <c r="C283" s="106">
        <f t="shared" si="38"/>
        <v>2020</v>
      </c>
      <c r="D283" s="101">
        <v>43842</v>
      </c>
      <c r="E283" s="102">
        <v>0.29166666666666669</v>
      </c>
      <c r="F283" s="103">
        <v>0.3125</v>
      </c>
      <c r="G283" s="103">
        <v>0.29166666666666669</v>
      </c>
      <c r="H283" s="103">
        <v>0.33333333333333331</v>
      </c>
      <c r="I283" s="90">
        <f t="shared" si="36"/>
        <v>0.49999999999999956</v>
      </c>
      <c r="J283" s="90">
        <f t="shared" ref="J283:J346" si="41">((H283-G283)-INT($D$20))*24</f>
        <v>0.99999999999999911</v>
      </c>
      <c r="K283" s="91">
        <f t="shared" si="39"/>
        <v>0.66666666666666663</v>
      </c>
      <c r="L283" s="91">
        <f t="shared" si="40"/>
        <v>4.375</v>
      </c>
      <c r="M283" s="29">
        <f t="shared" si="37"/>
        <v>20</v>
      </c>
      <c r="N283" s="92">
        <f t="shared" ref="N283:N346" si="42">I283</f>
        <v>0.49999999999999956</v>
      </c>
      <c r="O283" s="104">
        <f t="shared" ref="O283:O346" si="43">$D$21/1000</f>
        <v>1.016</v>
      </c>
      <c r="P283" s="105">
        <f t="shared" ref="P283:P346" si="44">M283*N283*O283*0.7</f>
        <v>7.111999999999993</v>
      </c>
    </row>
    <row r="284" spans="2:16" x14ac:dyDescent="0.25">
      <c r="B284" s="88" t="str">
        <f t="shared" ref="B284:B347" si="45">$B$5</f>
        <v>Fazenda Altenor</v>
      </c>
      <c r="C284" s="106">
        <f t="shared" si="38"/>
        <v>2020</v>
      </c>
      <c r="D284" s="101">
        <v>43843</v>
      </c>
      <c r="E284" s="102">
        <v>0.29166666666666669</v>
      </c>
      <c r="F284" s="103">
        <v>0.3125</v>
      </c>
      <c r="G284" s="103">
        <v>0.29166666666666669</v>
      </c>
      <c r="H284" s="103">
        <v>0.33333333333333331</v>
      </c>
      <c r="I284" s="90">
        <f t="shared" ref="I284:I347" si="46">((F284-E284)-INT($D$20))*24</f>
        <v>0.49999999999999956</v>
      </c>
      <c r="J284" s="90">
        <f t="shared" si="41"/>
        <v>0.99999999999999911</v>
      </c>
      <c r="K284" s="91">
        <f t="shared" si="39"/>
        <v>0.66666666666666663</v>
      </c>
      <c r="L284" s="91">
        <f t="shared" si="40"/>
        <v>4.375</v>
      </c>
      <c r="M284" s="29">
        <f t="shared" ref="M284:M347" si="47">VLOOKUP(B284,$I$5:$J$17,2,FALSE)</f>
        <v>20</v>
      </c>
      <c r="N284" s="92">
        <f t="shared" si="42"/>
        <v>0.49999999999999956</v>
      </c>
      <c r="O284" s="104">
        <f t="shared" si="43"/>
        <v>1.016</v>
      </c>
      <c r="P284" s="105">
        <f t="shared" si="44"/>
        <v>7.111999999999993</v>
      </c>
    </row>
    <row r="285" spans="2:16" x14ac:dyDescent="0.25">
      <c r="B285" s="88" t="str">
        <f t="shared" si="45"/>
        <v>Fazenda Altenor</v>
      </c>
      <c r="C285" s="106">
        <f t="shared" ref="C285:C348" si="48">YEAR(D285)</f>
        <v>2020</v>
      </c>
      <c r="D285" s="101">
        <v>43844</v>
      </c>
      <c r="E285" s="102">
        <v>0.3125</v>
      </c>
      <c r="F285" s="103">
        <v>0.33333333333333331</v>
      </c>
      <c r="G285" s="103">
        <v>0.3125</v>
      </c>
      <c r="H285" s="103">
        <v>0.35416666666666669</v>
      </c>
      <c r="I285" s="90">
        <f t="shared" si="46"/>
        <v>0.49999999999999956</v>
      </c>
      <c r="J285" s="90">
        <f t="shared" si="41"/>
        <v>1.0000000000000004</v>
      </c>
      <c r="K285" s="91">
        <f t="shared" ref="K285:K348" si="49">VLOOKUP(B285,$B$5:$J$17,5,FALSE)</f>
        <v>0.66666666666666663</v>
      </c>
      <c r="L285" s="91">
        <f t="shared" ref="L285:L348" si="50">VLOOKUP(B285,$B$5:$J$17,6,FALSE)</f>
        <v>4.375</v>
      </c>
      <c r="M285" s="29">
        <f t="shared" si="47"/>
        <v>20</v>
      </c>
      <c r="N285" s="92">
        <f t="shared" si="42"/>
        <v>0.49999999999999956</v>
      </c>
      <c r="O285" s="104">
        <f t="shared" si="43"/>
        <v>1.016</v>
      </c>
      <c r="P285" s="105">
        <f t="shared" si="44"/>
        <v>7.111999999999993</v>
      </c>
    </row>
    <row r="286" spans="2:16" x14ac:dyDescent="0.25">
      <c r="B286" s="88" t="str">
        <f t="shared" si="45"/>
        <v>Fazenda Altenor</v>
      </c>
      <c r="C286" s="106">
        <f t="shared" si="48"/>
        <v>2020</v>
      </c>
      <c r="D286" s="101">
        <v>43845</v>
      </c>
      <c r="E286" s="102">
        <v>0.33333333333333331</v>
      </c>
      <c r="F286" s="103">
        <v>0.35416666666666669</v>
      </c>
      <c r="G286" s="103">
        <v>0.33333333333333331</v>
      </c>
      <c r="H286" s="103">
        <v>0.375</v>
      </c>
      <c r="I286" s="90">
        <f t="shared" si="46"/>
        <v>0.50000000000000089</v>
      </c>
      <c r="J286" s="90">
        <f t="shared" si="41"/>
        <v>1.0000000000000004</v>
      </c>
      <c r="K286" s="91">
        <f t="shared" si="49"/>
        <v>0.66666666666666663</v>
      </c>
      <c r="L286" s="91">
        <f t="shared" si="50"/>
        <v>4.375</v>
      </c>
      <c r="M286" s="29">
        <f t="shared" si="47"/>
        <v>20</v>
      </c>
      <c r="N286" s="92">
        <f t="shared" si="42"/>
        <v>0.50000000000000089</v>
      </c>
      <c r="O286" s="104">
        <f t="shared" si="43"/>
        <v>1.016</v>
      </c>
      <c r="P286" s="105">
        <f t="shared" si="44"/>
        <v>7.1120000000000116</v>
      </c>
    </row>
    <row r="287" spans="2:16" x14ac:dyDescent="0.25">
      <c r="B287" s="88" t="str">
        <f t="shared" si="45"/>
        <v>Fazenda Altenor</v>
      </c>
      <c r="C287" s="106">
        <f t="shared" si="48"/>
        <v>2020</v>
      </c>
      <c r="D287" s="101">
        <v>43846</v>
      </c>
      <c r="E287" s="102">
        <v>0.29166666666666669</v>
      </c>
      <c r="F287" s="103">
        <v>0.3125</v>
      </c>
      <c r="G287" s="103">
        <v>0.29166666666666669</v>
      </c>
      <c r="H287" s="103">
        <v>0.33333333333333331</v>
      </c>
      <c r="I287" s="90">
        <f t="shared" si="46"/>
        <v>0.49999999999999956</v>
      </c>
      <c r="J287" s="90">
        <f t="shared" si="41"/>
        <v>0.99999999999999911</v>
      </c>
      <c r="K287" s="91">
        <f t="shared" si="49"/>
        <v>0.66666666666666663</v>
      </c>
      <c r="L287" s="91">
        <f t="shared" si="50"/>
        <v>4.375</v>
      </c>
      <c r="M287" s="29">
        <f t="shared" si="47"/>
        <v>20</v>
      </c>
      <c r="N287" s="92">
        <f t="shared" si="42"/>
        <v>0.49999999999999956</v>
      </c>
      <c r="O287" s="104">
        <f t="shared" si="43"/>
        <v>1.016</v>
      </c>
      <c r="P287" s="105">
        <f t="shared" si="44"/>
        <v>7.111999999999993</v>
      </c>
    </row>
    <row r="288" spans="2:16" x14ac:dyDescent="0.25">
      <c r="B288" s="88" t="str">
        <f t="shared" si="45"/>
        <v>Fazenda Altenor</v>
      </c>
      <c r="C288" s="106">
        <f t="shared" si="48"/>
        <v>2020</v>
      </c>
      <c r="D288" s="101">
        <v>43847</v>
      </c>
      <c r="E288" s="102">
        <v>0.35416666666666669</v>
      </c>
      <c r="F288" s="103">
        <v>0.375</v>
      </c>
      <c r="G288" s="103">
        <v>0.35416666666666669</v>
      </c>
      <c r="H288" s="103">
        <v>0.39583333333333331</v>
      </c>
      <c r="I288" s="90">
        <f t="shared" si="46"/>
        <v>0.49999999999999956</v>
      </c>
      <c r="J288" s="90">
        <f t="shared" si="41"/>
        <v>0.99999999999999911</v>
      </c>
      <c r="K288" s="91">
        <f t="shared" si="49"/>
        <v>0.66666666666666663</v>
      </c>
      <c r="L288" s="91">
        <f t="shared" si="50"/>
        <v>4.375</v>
      </c>
      <c r="M288" s="29">
        <f t="shared" si="47"/>
        <v>20</v>
      </c>
      <c r="N288" s="92">
        <f t="shared" si="42"/>
        <v>0.49999999999999956</v>
      </c>
      <c r="O288" s="104">
        <f t="shared" si="43"/>
        <v>1.016</v>
      </c>
      <c r="P288" s="105">
        <f t="shared" si="44"/>
        <v>7.111999999999993</v>
      </c>
    </row>
    <row r="289" spans="2:16" x14ac:dyDescent="0.25">
      <c r="B289" s="88" t="str">
        <f t="shared" si="45"/>
        <v>Fazenda Altenor</v>
      </c>
      <c r="C289" s="106">
        <f t="shared" si="48"/>
        <v>2020</v>
      </c>
      <c r="D289" s="101">
        <v>43848</v>
      </c>
      <c r="E289" s="102">
        <v>0.3125</v>
      </c>
      <c r="F289" s="103">
        <v>0.33333333333333331</v>
      </c>
      <c r="G289" s="103">
        <v>0.3125</v>
      </c>
      <c r="H289" s="103">
        <v>0.35416666666666669</v>
      </c>
      <c r="I289" s="90">
        <f t="shared" si="46"/>
        <v>0.49999999999999956</v>
      </c>
      <c r="J289" s="90">
        <f t="shared" si="41"/>
        <v>1.0000000000000004</v>
      </c>
      <c r="K289" s="91">
        <f t="shared" si="49"/>
        <v>0.66666666666666663</v>
      </c>
      <c r="L289" s="91">
        <f t="shared" si="50"/>
        <v>4.375</v>
      </c>
      <c r="M289" s="29">
        <f t="shared" si="47"/>
        <v>20</v>
      </c>
      <c r="N289" s="92">
        <f t="shared" si="42"/>
        <v>0.49999999999999956</v>
      </c>
      <c r="O289" s="104">
        <f t="shared" si="43"/>
        <v>1.016</v>
      </c>
      <c r="P289" s="105">
        <f t="shared" si="44"/>
        <v>7.111999999999993</v>
      </c>
    </row>
    <row r="290" spans="2:16" x14ac:dyDescent="0.25">
      <c r="B290" s="88" t="str">
        <f t="shared" si="45"/>
        <v>Fazenda Altenor</v>
      </c>
      <c r="C290" s="106">
        <f t="shared" si="48"/>
        <v>2020</v>
      </c>
      <c r="D290" s="101">
        <v>43849</v>
      </c>
      <c r="E290" s="102"/>
      <c r="F290" s="103"/>
      <c r="G290" s="103"/>
      <c r="H290" s="103"/>
      <c r="I290" s="90">
        <f t="shared" si="46"/>
        <v>0</v>
      </c>
      <c r="J290" s="90">
        <f t="shared" si="41"/>
        <v>0</v>
      </c>
      <c r="K290" s="91">
        <f t="shared" si="49"/>
        <v>0.66666666666666663</v>
      </c>
      <c r="L290" s="91">
        <f t="shared" si="50"/>
        <v>4.375</v>
      </c>
      <c r="M290" s="29">
        <f t="shared" si="47"/>
        <v>20</v>
      </c>
      <c r="N290" s="92">
        <f t="shared" si="42"/>
        <v>0</v>
      </c>
      <c r="O290" s="104">
        <f t="shared" si="43"/>
        <v>1.016</v>
      </c>
      <c r="P290" s="105">
        <f t="shared" si="44"/>
        <v>0</v>
      </c>
    </row>
    <row r="291" spans="2:16" x14ac:dyDescent="0.25">
      <c r="B291" s="88" t="str">
        <f t="shared" si="45"/>
        <v>Fazenda Altenor</v>
      </c>
      <c r="C291" s="106">
        <f t="shared" si="48"/>
        <v>2020</v>
      </c>
      <c r="D291" s="101">
        <v>43850</v>
      </c>
      <c r="E291" s="102">
        <v>0.41666666666666669</v>
      </c>
      <c r="F291" s="103">
        <v>0.4375</v>
      </c>
      <c r="G291" s="103">
        <v>0.41666666666666669</v>
      </c>
      <c r="H291" s="103">
        <v>0.45833333333333331</v>
      </c>
      <c r="I291" s="90">
        <f t="shared" si="46"/>
        <v>0.49999999999999956</v>
      </c>
      <c r="J291" s="90">
        <f t="shared" si="41"/>
        <v>0.99999999999999911</v>
      </c>
      <c r="K291" s="91">
        <f t="shared" si="49"/>
        <v>0.66666666666666663</v>
      </c>
      <c r="L291" s="91">
        <f t="shared" si="50"/>
        <v>4.375</v>
      </c>
      <c r="M291" s="29">
        <f t="shared" si="47"/>
        <v>20</v>
      </c>
      <c r="N291" s="92">
        <f t="shared" si="42"/>
        <v>0.49999999999999956</v>
      </c>
      <c r="O291" s="104">
        <f t="shared" si="43"/>
        <v>1.016</v>
      </c>
      <c r="P291" s="105">
        <f t="shared" si="44"/>
        <v>7.111999999999993</v>
      </c>
    </row>
    <row r="292" spans="2:16" x14ac:dyDescent="0.25">
      <c r="B292" s="88" t="str">
        <f t="shared" si="45"/>
        <v>Fazenda Altenor</v>
      </c>
      <c r="C292" s="106">
        <f t="shared" si="48"/>
        <v>2020</v>
      </c>
      <c r="D292" s="101">
        <v>43851</v>
      </c>
      <c r="E292" s="102">
        <v>0.29166666666666669</v>
      </c>
      <c r="F292" s="103">
        <v>0.3125</v>
      </c>
      <c r="G292" s="103">
        <v>0.29166666666666669</v>
      </c>
      <c r="H292" s="103">
        <v>0.33333333333333331</v>
      </c>
      <c r="I292" s="90">
        <f t="shared" si="46"/>
        <v>0.49999999999999956</v>
      </c>
      <c r="J292" s="90">
        <f t="shared" si="41"/>
        <v>0.99999999999999911</v>
      </c>
      <c r="K292" s="91">
        <f t="shared" si="49"/>
        <v>0.66666666666666663</v>
      </c>
      <c r="L292" s="91">
        <f t="shared" si="50"/>
        <v>4.375</v>
      </c>
      <c r="M292" s="29">
        <f t="shared" si="47"/>
        <v>20</v>
      </c>
      <c r="N292" s="92">
        <f t="shared" si="42"/>
        <v>0.49999999999999956</v>
      </c>
      <c r="O292" s="104">
        <f t="shared" si="43"/>
        <v>1.016</v>
      </c>
      <c r="P292" s="105">
        <f t="shared" si="44"/>
        <v>7.111999999999993</v>
      </c>
    </row>
    <row r="293" spans="2:16" x14ac:dyDescent="0.25">
      <c r="B293" s="88" t="str">
        <f t="shared" si="45"/>
        <v>Fazenda Altenor</v>
      </c>
      <c r="C293" s="106">
        <f t="shared" si="48"/>
        <v>2020</v>
      </c>
      <c r="D293" s="101">
        <v>43852</v>
      </c>
      <c r="E293" s="102">
        <v>0.35416666666666669</v>
      </c>
      <c r="F293" s="103">
        <v>0.375</v>
      </c>
      <c r="G293" s="103">
        <v>0.35416666666666669</v>
      </c>
      <c r="H293" s="103">
        <v>0.39583333333333331</v>
      </c>
      <c r="I293" s="90">
        <f t="shared" si="46"/>
        <v>0.49999999999999956</v>
      </c>
      <c r="J293" s="90">
        <f t="shared" si="41"/>
        <v>0.99999999999999911</v>
      </c>
      <c r="K293" s="91">
        <f t="shared" si="49"/>
        <v>0.66666666666666663</v>
      </c>
      <c r="L293" s="91">
        <f t="shared" si="50"/>
        <v>4.375</v>
      </c>
      <c r="M293" s="29">
        <f t="shared" si="47"/>
        <v>20</v>
      </c>
      <c r="N293" s="92">
        <f t="shared" si="42"/>
        <v>0.49999999999999956</v>
      </c>
      <c r="O293" s="104">
        <f t="shared" si="43"/>
        <v>1.016</v>
      </c>
      <c r="P293" s="105">
        <f t="shared" si="44"/>
        <v>7.111999999999993</v>
      </c>
    </row>
    <row r="294" spans="2:16" x14ac:dyDescent="0.25">
      <c r="B294" s="88" t="str">
        <f t="shared" si="45"/>
        <v>Fazenda Altenor</v>
      </c>
      <c r="C294" s="106">
        <f t="shared" si="48"/>
        <v>2020</v>
      </c>
      <c r="D294" s="101">
        <v>43853</v>
      </c>
      <c r="E294" s="102">
        <v>0.33333333333333331</v>
      </c>
      <c r="F294" s="103">
        <v>0.35416666666666669</v>
      </c>
      <c r="G294" s="103">
        <v>0.33333333333333331</v>
      </c>
      <c r="H294" s="103">
        <v>0.375</v>
      </c>
      <c r="I294" s="90">
        <f t="shared" si="46"/>
        <v>0.50000000000000089</v>
      </c>
      <c r="J294" s="90">
        <f t="shared" si="41"/>
        <v>1.0000000000000004</v>
      </c>
      <c r="K294" s="91">
        <f t="shared" si="49"/>
        <v>0.66666666666666663</v>
      </c>
      <c r="L294" s="91">
        <f t="shared" si="50"/>
        <v>4.375</v>
      </c>
      <c r="M294" s="29">
        <f t="shared" si="47"/>
        <v>20</v>
      </c>
      <c r="N294" s="92">
        <f t="shared" si="42"/>
        <v>0.50000000000000089</v>
      </c>
      <c r="O294" s="104">
        <f t="shared" si="43"/>
        <v>1.016</v>
      </c>
      <c r="P294" s="105">
        <f t="shared" si="44"/>
        <v>7.1120000000000116</v>
      </c>
    </row>
    <row r="295" spans="2:16" x14ac:dyDescent="0.25">
      <c r="B295" s="88" t="str">
        <f t="shared" si="45"/>
        <v>Fazenda Altenor</v>
      </c>
      <c r="C295" s="106">
        <f t="shared" si="48"/>
        <v>2020</v>
      </c>
      <c r="D295" s="101">
        <v>43854</v>
      </c>
      <c r="E295" s="102">
        <v>0.3125</v>
      </c>
      <c r="F295" s="103">
        <v>0.33333333333333331</v>
      </c>
      <c r="G295" s="103">
        <v>0.33333333333333331</v>
      </c>
      <c r="H295" s="103">
        <v>0.375</v>
      </c>
      <c r="I295" s="90">
        <f t="shared" si="46"/>
        <v>0.49999999999999956</v>
      </c>
      <c r="J295" s="90">
        <f t="shared" si="41"/>
        <v>1.0000000000000004</v>
      </c>
      <c r="K295" s="91">
        <f t="shared" si="49"/>
        <v>0.66666666666666663</v>
      </c>
      <c r="L295" s="91">
        <f t="shared" si="50"/>
        <v>4.375</v>
      </c>
      <c r="M295" s="29">
        <f t="shared" si="47"/>
        <v>20</v>
      </c>
      <c r="N295" s="92">
        <f t="shared" si="42"/>
        <v>0.49999999999999956</v>
      </c>
      <c r="O295" s="104">
        <f t="shared" si="43"/>
        <v>1.016</v>
      </c>
      <c r="P295" s="105">
        <f t="shared" si="44"/>
        <v>7.111999999999993</v>
      </c>
    </row>
    <row r="296" spans="2:16" x14ac:dyDescent="0.25">
      <c r="B296" s="88" t="str">
        <f t="shared" si="45"/>
        <v>Fazenda Altenor</v>
      </c>
      <c r="C296" s="106">
        <f t="shared" si="48"/>
        <v>2020</v>
      </c>
      <c r="D296" s="101">
        <v>43855</v>
      </c>
      <c r="E296" s="102">
        <v>0.29166666666666669</v>
      </c>
      <c r="F296" s="103">
        <v>0.3125</v>
      </c>
      <c r="G296" s="103">
        <v>0.29166666666666669</v>
      </c>
      <c r="H296" s="103">
        <v>0.33333333333333331</v>
      </c>
      <c r="I296" s="90">
        <f t="shared" si="46"/>
        <v>0.49999999999999956</v>
      </c>
      <c r="J296" s="90">
        <f t="shared" si="41"/>
        <v>0.99999999999999911</v>
      </c>
      <c r="K296" s="91">
        <f t="shared" si="49"/>
        <v>0.66666666666666663</v>
      </c>
      <c r="L296" s="91">
        <f t="shared" si="50"/>
        <v>4.375</v>
      </c>
      <c r="M296" s="29">
        <f t="shared" si="47"/>
        <v>20</v>
      </c>
      <c r="N296" s="92">
        <f t="shared" si="42"/>
        <v>0.49999999999999956</v>
      </c>
      <c r="O296" s="104">
        <f t="shared" si="43"/>
        <v>1.016</v>
      </c>
      <c r="P296" s="105">
        <f t="shared" si="44"/>
        <v>7.111999999999993</v>
      </c>
    </row>
    <row r="297" spans="2:16" x14ac:dyDescent="0.25">
      <c r="B297" s="88" t="str">
        <f t="shared" si="45"/>
        <v>Fazenda Altenor</v>
      </c>
      <c r="C297" s="106">
        <f t="shared" si="48"/>
        <v>2020</v>
      </c>
      <c r="D297" s="101">
        <v>43856</v>
      </c>
      <c r="E297" s="102">
        <v>0.35416666666666669</v>
      </c>
      <c r="F297" s="103">
        <v>0.375</v>
      </c>
      <c r="G297" s="103">
        <v>0.35416666666666669</v>
      </c>
      <c r="H297" s="103">
        <v>0.40625</v>
      </c>
      <c r="I297" s="90">
        <f t="shared" si="46"/>
        <v>0.49999999999999956</v>
      </c>
      <c r="J297" s="90">
        <f t="shared" si="41"/>
        <v>1.2499999999999996</v>
      </c>
      <c r="K297" s="91">
        <f t="shared" si="49"/>
        <v>0.66666666666666663</v>
      </c>
      <c r="L297" s="91">
        <f t="shared" si="50"/>
        <v>4.375</v>
      </c>
      <c r="M297" s="29">
        <f t="shared" si="47"/>
        <v>20</v>
      </c>
      <c r="N297" s="92">
        <f t="shared" si="42"/>
        <v>0.49999999999999956</v>
      </c>
      <c r="O297" s="104">
        <f t="shared" si="43"/>
        <v>1.016</v>
      </c>
      <c r="P297" s="105">
        <f t="shared" si="44"/>
        <v>7.111999999999993</v>
      </c>
    </row>
    <row r="298" spans="2:16" x14ac:dyDescent="0.25">
      <c r="B298" s="88" t="str">
        <f t="shared" si="45"/>
        <v>Fazenda Altenor</v>
      </c>
      <c r="C298" s="106">
        <f t="shared" si="48"/>
        <v>2020</v>
      </c>
      <c r="D298" s="101">
        <v>43857</v>
      </c>
      <c r="E298" s="102">
        <v>0.33333333333333331</v>
      </c>
      <c r="F298" s="103">
        <v>0.35416666666666669</v>
      </c>
      <c r="G298" s="103">
        <v>0.33333333333333331</v>
      </c>
      <c r="H298" s="103">
        <v>0.375</v>
      </c>
      <c r="I298" s="90">
        <f t="shared" si="46"/>
        <v>0.50000000000000089</v>
      </c>
      <c r="J298" s="90">
        <f t="shared" si="41"/>
        <v>1.0000000000000004</v>
      </c>
      <c r="K298" s="91">
        <f t="shared" si="49"/>
        <v>0.66666666666666663</v>
      </c>
      <c r="L298" s="91">
        <f t="shared" si="50"/>
        <v>4.375</v>
      </c>
      <c r="M298" s="29">
        <f t="shared" si="47"/>
        <v>20</v>
      </c>
      <c r="N298" s="92">
        <f t="shared" si="42"/>
        <v>0.50000000000000089</v>
      </c>
      <c r="O298" s="104">
        <f t="shared" si="43"/>
        <v>1.016</v>
      </c>
      <c r="P298" s="105">
        <f t="shared" si="44"/>
        <v>7.1120000000000116</v>
      </c>
    </row>
    <row r="299" spans="2:16" x14ac:dyDescent="0.25">
      <c r="B299" s="88" t="str">
        <f t="shared" si="45"/>
        <v>Fazenda Altenor</v>
      </c>
      <c r="C299" s="106">
        <f t="shared" si="48"/>
        <v>2020</v>
      </c>
      <c r="D299" s="101">
        <v>43858</v>
      </c>
      <c r="E299" s="102">
        <v>0.29166666666666669</v>
      </c>
      <c r="F299" s="103">
        <v>0.3125</v>
      </c>
      <c r="G299" s="103">
        <v>0.29166666666666669</v>
      </c>
      <c r="H299" s="103">
        <v>0.33333333333333331</v>
      </c>
      <c r="I299" s="90">
        <f t="shared" si="46"/>
        <v>0.49999999999999956</v>
      </c>
      <c r="J299" s="90">
        <f t="shared" si="41"/>
        <v>0.99999999999999911</v>
      </c>
      <c r="K299" s="91">
        <f t="shared" si="49"/>
        <v>0.66666666666666663</v>
      </c>
      <c r="L299" s="91">
        <f t="shared" si="50"/>
        <v>4.375</v>
      </c>
      <c r="M299" s="29">
        <f t="shared" si="47"/>
        <v>20</v>
      </c>
      <c r="N299" s="92">
        <f t="shared" si="42"/>
        <v>0.49999999999999956</v>
      </c>
      <c r="O299" s="104">
        <f t="shared" si="43"/>
        <v>1.016</v>
      </c>
      <c r="P299" s="105">
        <f t="shared" si="44"/>
        <v>7.111999999999993</v>
      </c>
    </row>
    <row r="300" spans="2:16" x14ac:dyDescent="0.25">
      <c r="B300" s="88" t="str">
        <f t="shared" si="45"/>
        <v>Fazenda Altenor</v>
      </c>
      <c r="C300" s="106">
        <f t="shared" si="48"/>
        <v>2020</v>
      </c>
      <c r="D300" s="101">
        <v>43859</v>
      </c>
      <c r="E300" s="102">
        <v>0.29166666666666669</v>
      </c>
      <c r="F300" s="103">
        <v>0.3125</v>
      </c>
      <c r="G300" s="103">
        <v>0.29166666666666669</v>
      </c>
      <c r="H300" s="103">
        <v>0.33333333333333331</v>
      </c>
      <c r="I300" s="90">
        <f t="shared" si="46"/>
        <v>0.49999999999999956</v>
      </c>
      <c r="J300" s="90">
        <f t="shared" si="41"/>
        <v>0.99999999999999911</v>
      </c>
      <c r="K300" s="91">
        <f t="shared" si="49"/>
        <v>0.66666666666666663</v>
      </c>
      <c r="L300" s="91">
        <f t="shared" si="50"/>
        <v>4.375</v>
      </c>
      <c r="M300" s="29">
        <f t="shared" si="47"/>
        <v>20</v>
      </c>
      <c r="N300" s="92">
        <f t="shared" si="42"/>
        <v>0.49999999999999956</v>
      </c>
      <c r="O300" s="104">
        <f t="shared" si="43"/>
        <v>1.016</v>
      </c>
      <c r="P300" s="105">
        <f t="shared" si="44"/>
        <v>7.111999999999993</v>
      </c>
    </row>
    <row r="301" spans="2:16" x14ac:dyDescent="0.25">
      <c r="B301" s="88" t="str">
        <f t="shared" si="45"/>
        <v>Fazenda Altenor</v>
      </c>
      <c r="C301" s="106">
        <f t="shared" si="48"/>
        <v>2020</v>
      </c>
      <c r="D301" s="101">
        <v>43860</v>
      </c>
      <c r="E301" s="102">
        <v>0.3125</v>
      </c>
      <c r="F301" s="103">
        <v>0.33333333333333331</v>
      </c>
      <c r="G301" s="103">
        <v>0.3125</v>
      </c>
      <c r="H301" s="103">
        <v>0.35416666666666669</v>
      </c>
      <c r="I301" s="90">
        <f t="shared" si="46"/>
        <v>0.49999999999999956</v>
      </c>
      <c r="J301" s="90">
        <f t="shared" si="41"/>
        <v>1.0000000000000004</v>
      </c>
      <c r="K301" s="91">
        <f t="shared" si="49"/>
        <v>0.66666666666666663</v>
      </c>
      <c r="L301" s="91">
        <f t="shared" si="50"/>
        <v>4.375</v>
      </c>
      <c r="M301" s="29">
        <f t="shared" si="47"/>
        <v>20</v>
      </c>
      <c r="N301" s="92">
        <f t="shared" si="42"/>
        <v>0.49999999999999956</v>
      </c>
      <c r="O301" s="104">
        <f t="shared" si="43"/>
        <v>1.016</v>
      </c>
      <c r="P301" s="105">
        <f t="shared" si="44"/>
        <v>7.111999999999993</v>
      </c>
    </row>
    <row r="302" spans="2:16" x14ac:dyDescent="0.25">
      <c r="B302" s="88" t="str">
        <f t="shared" si="45"/>
        <v>Fazenda Altenor</v>
      </c>
      <c r="C302" s="106">
        <f t="shared" si="48"/>
        <v>2020</v>
      </c>
      <c r="D302" s="101">
        <v>43861</v>
      </c>
      <c r="E302" s="102">
        <v>0.33333333333333331</v>
      </c>
      <c r="F302" s="103">
        <v>0.35416666666666669</v>
      </c>
      <c r="G302" s="103">
        <v>0.33333333333333331</v>
      </c>
      <c r="H302" s="103">
        <v>0.375</v>
      </c>
      <c r="I302" s="90">
        <f t="shared" si="46"/>
        <v>0.50000000000000089</v>
      </c>
      <c r="J302" s="90">
        <f t="shared" si="41"/>
        <v>1.0000000000000004</v>
      </c>
      <c r="K302" s="91">
        <f t="shared" si="49"/>
        <v>0.66666666666666663</v>
      </c>
      <c r="L302" s="91">
        <f t="shared" si="50"/>
        <v>4.375</v>
      </c>
      <c r="M302" s="29">
        <f t="shared" si="47"/>
        <v>20</v>
      </c>
      <c r="N302" s="92">
        <f t="shared" si="42"/>
        <v>0.50000000000000089</v>
      </c>
      <c r="O302" s="104">
        <f t="shared" si="43"/>
        <v>1.016</v>
      </c>
      <c r="P302" s="105">
        <f t="shared" si="44"/>
        <v>7.1120000000000116</v>
      </c>
    </row>
    <row r="303" spans="2:16" x14ac:dyDescent="0.25">
      <c r="B303" s="88" t="str">
        <f t="shared" si="45"/>
        <v>Fazenda Altenor</v>
      </c>
      <c r="C303" s="106">
        <f t="shared" si="48"/>
        <v>2020</v>
      </c>
      <c r="D303" s="101">
        <v>43862</v>
      </c>
      <c r="E303" s="102">
        <v>0.29166666666666669</v>
      </c>
      <c r="F303" s="103">
        <v>0.3125</v>
      </c>
      <c r="G303" s="103">
        <v>0.29166666666666669</v>
      </c>
      <c r="H303" s="103">
        <v>0.33333333333333331</v>
      </c>
      <c r="I303" s="90">
        <f t="shared" si="46"/>
        <v>0.49999999999999956</v>
      </c>
      <c r="J303" s="90">
        <f t="shared" si="41"/>
        <v>0.99999999999999911</v>
      </c>
      <c r="K303" s="91">
        <f t="shared" si="49"/>
        <v>0.66666666666666663</v>
      </c>
      <c r="L303" s="91">
        <f t="shared" si="50"/>
        <v>4.375</v>
      </c>
      <c r="M303" s="29">
        <f t="shared" si="47"/>
        <v>20</v>
      </c>
      <c r="N303" s="92">
        <f t="shared" si="42"/>
        <v>0.49999999999999956</v>
      </c>
      <c r="O303" s="104">
        <f t="shared" si="43"/>
        <v>1.016</v>
      </c>
      <c r="P303" s="105">
        <f t="shared" si="44"/>
        <v>7.111999999999993</v>
      </c>
    </row>
    <row r="304" spans="2:16" x14ac:dyDescent="0.25">
      <c r="B304" s="88" t="str">
        <f t="shared" si="45"/>
        <v>Fazenda Altenor</v>
      </c>
      <c r="C304" s="106">
        <f t="shared" si="48"/>
        <v>2020</v>
      </c>
      <c r="D304" s="101">
        <v>43863</v>
      </c>
      <c r="E304" s="102">
        <v>0.375</v>
      </c>
      <c r="F304" s="103">
        <v>0.39583333333333331</v>
      </c>
      <c r="G304" s="103">
        <v>0.375</v>
      </c>
      <c r="H304" s="103">
        <v>0.41666666666666669</v>
      </c>
      <c r="I304" s="90">
        <f t="shared" si="46"/>
        <v>0.49999999999999956</v>
      </c>
      <c r="J304" s="90">
        <f t="shared" si="41"/>
        <v>1.0000000000000004</v>
      </c>
      <c r="K304" s="91">
        <f t="shared" si="49"/>
        <v>0.66666666666666663</v>
      </c>
      <c r="L304" s="91">
        <f t="shared" si="50"/>
        <v>4.375</v>
      </c>
      <c r="M304" s="29">
        <f t="shared" si="47"/>
        <v>20</v>
      </c>
      <c r="N304" s="92">
        <f t="shared" si="42"/>
        <v>0.49999999999999956</v>
      </c>
      <c r="O304" s="104">
        <f t="shared" si="43"/>
        <v>1.016</v>
      </c>
      <c r="P304" s="105">
        <f t="shared" si="44"/>
        <v>7.111999999999993</v>
      </c>
    </row>
    <row r="305" spans="2:16" x14ac:dyDescent="0.25">
      <c r="B305" s="88" t="str">
        <f t="shared" si="45"/>
        <v>Fazenda Altenor</v>
      </c>
      <c r="C305" s="106">
        <f t="shared" si="48"/>
        <v>2020</v>
      </c>
      <c r="D305" s="101">
        <v>43864</v>
      </c>
      <c r="E305" s="102">
        <v>0.3125</v>
      </c>
      <c r="F305" s="103">
        <v>0.33333333333333331</v>
      </c>
      <c r="G305" s="103">
        <v>0.3125</v>
      </c>
      <c r="H305" s="103">
        <v>0.35416666666666669</v>
      </c>
      <c r="I305" s="90">
        <f t="shared" si="46"/>
        <v>0.49999999999999956</v>
      </c>
      <c r="J305" s="90">
        <f t="shared" si="41"/>
        <v>1.0000000000000004</v>
      </c>
      <c r="K305" s="91">
        <f t="shared" si="49"/>
        <v>0.66666666666666663</v>
      </c>
      <c r="L305" s="91">
        <f t="shared" si="50"/>
        <v>4.375</v>
      </c>
      <c r="M305" s="29">
        <f t="shared" si="47"/>
        <v>20</v>
      </c>
      <c r="N305" s="92">
        <f t="shared" si="42"/>
        <v>0.49999999999999956</v>
      </c>
      <c r="O305" s="104">
        <f t="shared" si="43"/>
        <v>1.016</v>
      </c>
      <c r="P305" s="105">
        <f t="shared" si="44"/>
        <v>7.111999999999993</v>
      </c>
    </row>
    <row r="306" spans="2:16" x14ac:dyDescent="0.25">
      <c r="B306" s="88" t="str">
        <f t="shared" si="45"/>
        <v>Fazenda Altenor</v>
      </c>
      <c r="C306" s="106">
        <f t="shared" si="48"/>
        <v>2020</v>
      </c>
      <c r="D306" s="101">
        <v>43865</v>
      </c>
      <c r="E306" s="102">
        <v>0.33333333333333331</v>
      </c>
      <c r="F306" s="103">
        <v>0.35416666666666669</v>
      </c>
      <c r="G306" s="103">
        <v>0.33333333333333331</v>
      </c>
      <c r="H306" s="103">
        <v>0.375</v>
      </c>
      <c r="I306" s="90">
        <f t="shared" si="46"/>
        <v>0.50000000000000089</v>
      </c>
      <c r="J306" s="90">
        <f t="shared" si="41"/>
        <v>1.0000000000000004</v>
      </c>
      <c r="K306" s="91">
        <f t="shared" si="49"/>
        <v>0.66666666666666663</v>
      </c>
      <c r="L306" s="91">
        <f t="shared" si="50"/>
        <v>4.375</v>
      </c>
      <c r="M306" s="29">
        <f t="shared" si="47"/>
        <v>20</v>
      </c>
      <c r="N306" s="92">
        <f t="shared" si="42"/>
        <v>0.50000000000000089</v>
      </c>
      <c r="O306" s="104">
        <f t="shared" si="43"/>
        <v>1.016</v>
      </c>
      <c r="P306" s="105">
        <f t="shared" si="44"/>
        <v>7.1120000000000116</v>
      </c>
    </row>
    <row r="307" spans="2:16" x14ac:dyDescent="0.25">
      <c r="B307" s="88" t="str">
        <f t="shared" si="45"/>
        <v>Fazenda Altenor</v>
      </c>
      <c r="C307" s="106">
        <f t="shared" si="48"/>
        <v>2020</v>
      </c>
      <c r="D307" s="101">
        <v>43866</v>
      </c>
      <c r="E307" s="102"/>
      <c r="F307" s="103"/>
      <c r="G307" s="103"/>
      <c r="H307" s="103"/>
      <c r="I307" s="90">
        <f t="shared" si="46"/>
        <v>0</v>
      </c>
      <c r="J307" s="90">
        <f t="shared" si="41"/>
        <v>0</v>
      </c>
      <c r="K307" s="91">
        <f t="shared" si="49"/>
        <v>0.66666666666666663</v>
      </c>
      <c r="L307" s="91">
        <f t="shared" si="50"/>
        <v>4.375</v>
      </c>
      <c r="M307" s="29">
        <f t="shared" si="47"/>
        <v>20</v>
      </c>
      <c r="N307" s="92">
        <f t="shared" si="42"/>
        <v>0</v>
      </c>
      <c r="O307" s="104">
        <f t="shared" si="43"/>
        <v>1.016</v>
      </c>
      <c r="P307" s="105">
        <f t="shared" si="44"/>
        <v>0</v>
      </c>
    </row>
    <row r="308" spans="2:16" x14ac:dyDescent="0.25">
      <c r="B308" s="88" t="str">
        <f t="shared" si="45"/>
        <v>Fazenda Altenor</v>
      </c>
      <c r="C308" s="106">
        <f t="shared" si="48"/>
        <v>2020</v>
      </c>
      <c r="D308" s="101">
        <v>43867</v>
      </c>
      <c r="E308" s="102">
        <v>0.29166666666666669</v>
      </c>
      <c r="F308" s="103">
        <v>0.3125</v>
      </c>
      <c r="G308" s="103">
        <v>0.29166666666666669</v>
      </c>
      <c r="H308" s="103">
        <v>0.33333333333333331</v>
      </c>
      <c r="I308" s="90">
        <f t="shared" si="46"/>
        <v>0.49999999999999956</v>
      </c>
      <c r="J308" s="90">
        <f t="shared" si="41"/>
        <v>0.99999999999999911</v>
      </c>
      <c r="K308" s="91">
        <f t="shared" si="49"/>
        <v>0.66666666666666663</v>
      </c>
      <c r="L308" s="91">
        <f t="shared" si="50"/>
        <v>4.375</v>
      </c>
      <c r="M308" s="29">
        <f t="shared" si="47"/>
        <v>20</v>
      </c>
      <c r="N308" s="92">
        <f t="shared" si="42"/>
        <v>0.49999999999999956</v>
      </c>
      <c r="O308" s="104">
        <f t="shared" si="43"/>
        <v>1.016</v>
      </c>
      <c r="P308" s="105">
        <f t="shared" si="44"/>
        <v>7.111999999999993</v>
      </c>
    </row>
    <row r="309" spans="2:16" x14ac:dyDescent="0.25">
      <c r="B309" s="88" t="str">
        <f t="shared" si="45"/>
        <v>Fazenda Altenor</v>
      </c>
      <c r="C309" s="106">
        <f t="shared" si="48"/>
        <v>2020</v>
      </c>
      <c r="D309" s="101">
        <v>43868</v>
      </c>
      <c r="E309" s="102">
        <v>0.33333333333333331</v>
      </c>
      <c r="F309" s="103">
        <v>0.35416666666666669</v>
      </c>
      <c r="G309" s="103">
        <v>0.33333333333333331</v>
      </c>
      <c r="H309" s="103">
        <v>0.375</v>
      </c>
      <c r="I309" s="90">
        <f t="shared" si="46"/>
        <v>0.50000000000000089</v>
      </c>
      <c r="J309" s="90">
        <f t="shared" si="41"/>
        <v>1.0000000000000004</v>
      </c>
      <c r="K309" s="91">
        <f t="shared" si="49"/>
        <v>0.66666666666666663</v>
      </c>
      <c r="L309" s="91">
        <f t="shared" si="50"/>
        <v>4.375</v>
      </c>
      <c r="M309" s="29">
        <f t="shared" si="47"/>
        <v>20</v>
      </c>
      <c r="N309" s="92">
        <f t="shared" si="42"/>
        <v>0.50000000000000089</v>
      </c>
      <c r="O309" s="104">
        <f t="shared" si="43"/>
        <v>1.016</v>
      </c>
      <c r="P309" s="105">
        <f t="shared" si="44"/>
        <v>7.1120000000000116</v>
      </c>
    </row>
    <row r="310" spans="2:16" x14ac:dyDescent="0.25">
      <c r="B310" s="88" t="str">
        <f t="shared" si="45"/>
        <v>Fazenda Altenor</v>
      </c>
      <c r="C310" s="106">
        <f t="shared" si="48"/>
        <v>2020</v>
      </c>
      <c r="D310" s="101">
        <v>43869</v>
      </c>
      <c r="E310" s="102">
        <v>0.3125</v>
      </c>
      <c r="F310" s="103">
        <v>0.33333333333333331</v>
      </c>
      <c r="G310" s="103">
        <v>0.3125</v>
      </c>
      <c r="H310" s="103">
        <v>0.35416666666666669</v>
      </c>
      <c r="I310" s="90">
        <f t="shared" si="46"/>
        <v>0.49999999999999956</v>
      </c>
      <c r="J310" s="90">
        <f t="shared" si="41"/>
        <v>1.0000000000000004</v>
      </c>
      <c r="K310" s="91">
        <f t="shared" si="49"/>
        <v>0.66666666666666663</v>
      </c>
      <c r="L310" s="91">
        <f t="shared" si="50"/>
        <v>4.375</v>
      </c>
      <c r="M310" s="29">
        <f t="shared" si="47"/>
        <v>20</v>
      </c>
      <c r="N310" s="92">
        <f t="shared" si="42"/>
        <v>0.49999999999999956</v>
      </c>
      <c r="O310" s="104">
        <f t="shared" si="43"/>
        <v>1.016</v>
      </c>
      <c r="P310" s="105">
        <f t="shared" si="44"/>
        <v>7.111999999999993</v>
      </c>
    </row>
    <row r="311" spans="2:16" x14ac:dyDescent="0.25">
      <c r="B311" s="88" t="str">
        <f t="shared" si="45"/>
        <v>Fazenda Altenor</v>
      </c>
      <c r="C311" s="106">
        <f t="shared" si="48"/>
        <v>2020</v>
      </c>
      <c r="D311" s="101">
        <v>43870</v>
      </c>
      <c r="E311" s="102">
        <v>0.375</v>
      </c>
      <c r="F311" s="103">
        <v>0.39583333333333331</v>
      </c>
      <c r="G311" s="103">
        <v>0.375</v>
      </c>
      <c r="H311" s="103">
        <v>0.41666666666666669</v>
      </c>
      <c r="I311" s="90">
        <f t="shared" si="46"/>
        <v>0.49999999999999956</v>
      </c>
      <c r="J311" s="90">
        <f t="shared" si="41"/>
        <v>1.0000000000000004</v>
      </c>
      <c r="K311" s="91">
        <f t="shared" si="49"/>
        <v>0.66666666666666663</v>
      </c>
      <c r="L311" s="91">
        <f t="shared" si="50"/>
        <v>4.375</v>
      </c>
      <c r="M311" s="29">
        <f t="shared" si="47"/>
        <v>20</v>
      </c>
      <c r="N311" s="92">
        <f t="shared" si="42"/>
        <v>0.49999999999999956</v>
      </c>
      <c r="O311" s="104">
        <f t="shared" si="43"/>
        <v>1.016</v>
      </c>
      <c r="P311" s="105">
        <f t="shared" si="44"/>
        <v>7.111999999999993</v>
      </c>
    </row>
    <row r="312" spans="2:16" x14ac:dyDescent="0.25">
      <c r="B312" s="88" t="str">
        <f t="shared" si="45"/>
        <v>Fazenda Altenor</v>
      </c>
      <c r="C312" s="106">
        <f t="shared" si="48"/>
        <v>2020</v>
      </c>
      <c r="D312" s="101">
        <v>43871</v>
      </c>
      <c r="E312" s="102">
        <v>0.29166666666666669</v>
      </c>
      <c r="F312" s="103">
        <v>0.3125</v>
      </c>
      <c r="G312" s="103">
        <v>0.29166666666666669</v>
      </c>
      <c r="H312" s="103">
        <v>0.33333333333333331</v>
      </c>
      <c r="I312" s="90">
        <f t="shared" si="46"/>
        <v>0.49999999999999956</v>
      </c>
      <c r="J312" s="90">
        <f t="shared" si="41"/>
        <v>0.99999999999999911</v>
      </c>
      <c r="K312" s="91">
        <f t="shared" si="49"/>
        <v>0.66666666666666663</v>
      </c>
      <c r="L312" s="91">
        <f t="shared" si="50"/>
        <v>4.375</v>
      </c>
      <c r="M312" s="29">
        <f t="shared" si="47"/>
        <v>20</v>
      </c>
      <c r="N312" s="92">
        <f t="shared" si="42"/>
        <v>0.49999999999999956</v>
      </c>
      <c r="O312" s="104">
        <f t="shared" si="43"/>
        <v>1.016</v>
      </c>
      <c r="P312" s="105">
        <f t="shared" si="44"/>
        <v>7.111999999999993</v>
      </c>
    </row>
    <row r="313" spans="2:16" x14ac:dyDescent="0.25">
      <c r="B313" s="88" t="str">
        <f t="shared" si="45"/>
        <v>Fazenda Altenor</v>
      </c>
      <c r="C313" s="106">
        <f t="shared" si="48"/>
        <v>2020</v>
      </c>
      <c r="D313" s="101">
        <v>43872</v>
      </c>
      <c r="E313" s="102">
        <v>0.33333333333333331</v>
      </c>
      <c r="F313" s="103">
        <v>0.35416666666666669</v>
      </c>
      <c r="G313" s="103">
        <v>0.33333333333333331</v>
      </c>
      <c r="H313" s="103">
        <v>0.375</v>
      </c>
      <c r="I313" s="90">
        <f t="shared" si="46"/>
        <v>0.50000000000000089</v>
      </c>
      <c r="J313" s="90">
        <f t="shared" si="41"/>
        <v>1.0000000000000004</v>
      </c>
      <c r="K313" s="91">
        <f t="shared" si="49"/>
        <v>0.66666666666666663</v>
      </c>
      <c r="L313" s="91">
        <f t="shared" si="50"/>
        <v>4.375</v>
      </c>
      <c r="M313" s="29">
        <f t="shared" si="47"/>
        <v>20</v>
      </c>
      <c r="N313" s="92">
        <f t="shared" si="42"/>
        <v>0.50000000000000089</v>
      </c>
      <c r="O313" s="104">
        <f t="shared" si="43"/>
        <v>1.016</v>
      </c>
      <c r="P313" s="105">
        <f t="shared" si="44"/>
        <v>7.1120000000000116</v>
      </c>
    </row>
    <row r="314" spans="2:16" x14ac:dyDescent="0.25">
      <c r="B314" s="88" t="str">
        <f t="shared" si="45"/>
        <v>Fazenda Altenor</v>
      </c>
      <c r="C314" s="106">
        <f t="shared" si="48"/>
        <v>2020</v>
      </c>
      <c r="D314" s="101">
        <v>43873</v>
      </c>
      <c r="E314" s="102">
        <v>0.375</v>
      </c>
      <c r="F314" s="103">
        <v>0.39583333333333331</v>
      </c>
      <c r="G314" s="103">
        <v>0.375</v>
      </c>
      <c r="H314" s="103">
        <v>0.41666666666666669</v>
      </c>
      <c r="I314" s="90">
        <f t="shared" si="46"/>
        <v>0.49999999999999956</v>
      </c>
      <c r="J314" s="90">
        <f t="shared" si="41"/>
        <v>1.0000000000000004</v>
      </c>
      <c r="K314" s="91">
        <f t="shared" si="49"/>
        <v>0.66666666666666663</v>
      </c>
      <c r="L314" s="91">
        <f t="shared" si="50"/>
        <v>4.375</v>
      </c>
      <c r="M314" s="29">
        <f t="shared" si="47"/>
        <v>20</v>
      </c>
      <c r="N314" s="92">
        <f t="shared" si="42"/>
        <v>0.49999999999999956</v>
      </c>
      <c r="O314" s="104">
        <f t="shared" si="43"/>
        <v>1.016</v>
      </c>
      <c r="P314" s="105">
        <f t="shared" si="44"/>
        <v>7.111999999999993</v>
      </c>
    </row>
    <row r="315" spans="2:16" x14ac:dyDescent="0.25">
      <c r="B315" s="88" t="str">
        <f t="shared" si="45"/>
        <v>Fazenda Altenor</v>
      </c>
      <c r="C315" s="106">
        <f t="shared" si="48"/>
        <v>2020</v>
      </c>
      <c r="D315" s="101">
        <v>43874</v>
      </c>
      <c r="E315" s="102">
        <v>0.3125</v>
      </c>
      <c r="F315" s="103">
        <v>0.33333333333333331</v>
      </c>
      <c r="G315" s="103">
        <v>0.3125</v>
      </c>
      <c r="H315" s="103">
        <v>0.35416666666666669</v>
      </c>
      <c r="I315" s="90">
        <f t="shared" si="46"/>
        <v>0.49999999999999956</v>
      </c>
      <c r="J315" s="90">
        <f t="shared" si="41"/>
        <v>1.0000000000000004</v>
      </c>
      <c r="K315" s="91">
        <f t="shared" si="49"/>
        <v>0.66666666666666663</v>
      </c>
      <c r="L315" s="91">
        <f t="shared" si="50"/>
        <v>4.375</v>
      </c>
      <c r="M315" s="29">
        <f t="shared" si="47"/>
        <v>20</v>
      </c>
      <c r="N315" s="92">
        <f t="shared" si="42"/>
        <v>0.49999999999999956</v>
      </c>
      <c r="O315" s="104">
        <f t="shared" si="43"/>
        <v>1.016</v>
      </c>
      <c r="P315" s="105">
        <f t="shared" si="44"/>
        <v>7.111999999999993</v>
      </c>
    </row>
    <row r="316" spans="2:16" x14ac:dyDescent="0.25">
      <c r="B316" s="88" t="str">
        <f t="shared" si="45"/>
        <v>Fazenda Altenor</v>
      </c>
      <c r="C316" s="106">
        <f t="shared" si="48"/>
        <v>2020</v>
      </c>
      <c r="D316" s="101">
        <v>43875</v>
      </c>
      <c r="E316" s="102">
        <v>0.29166666666666669</v>
      </c>
      <c r="F316" s="103">
        <v>0.3125</v>
      </c>
      <c r="G316" s="103">
        <v>0.29166666666666669</v>
      </c>
      <c r="H316" s="103">
        <v>0.33333333333333331</v>
      </c>
      <c r="I316" s="90">
        <f t="shared" si="46"/>
        <v>0.49999999999999956</v>
      </c>
      <c r="J316" s="90">
        <f t="shared" si="41"/>
        <v>0.99999999999999911</v>
      </c>
      <c r="K316" s="91">
        <f t="shared" si="49"/>
        <v>0.66666666666666663</v>
      </c>
      <c r="L316" s="91">
        <f t="shared" si="50"/>
        <v>4.375</v>
      </c>
      <c r="M316" s="29">
        <f t="shared" si="47"/>
        <v>20</v>
      </c>
      <c r="N316" s="92">
        <f t="shared" si="42"/>
        <v>0.49999999999999956</v>
      </c>
      <c r="O316" s="104">
        <f t="shared" si="43"/>
        <v>1.016</v>
      </c>
      <c r="P316" s="105">
        <f t="shared" si="44"/>
        <v>7.111999999999993</v>
      </c>
    </row>
    <row r="317" spans="2:16" x14ac:dyDescent="0.25">
      <c r="B317" s="88" t="str">
        <f t="shared" si="45"/>
        <v>Fazenda Altenor</v>
      </c>
      <c r="C317" s="106">
        <f t="shared" si="48"/>
        <v>2020</v>
      </c>
      <c r="D317" s="101">
        <v>43876</v>
      </c>
      <c r="E317" s="102">
        <v>0.29166666666666669</v>
      </c>
      <c r="F317" s="103">
        <v>0.3125</v>
      </c>
      <c r="G317" s="103">
        <v>0.29166666666666669</v>
      </c>
      <c r="H317" s="103">
        <v>0.33333333333333331</v>
      </c>
      <c r="I317" s="90">
        <f t="shared" si="46"/>
        <v>0.49999999999999956</v>
      </c>
      <c r="J317" s="90">
        <f t="shared" si="41"/>
        <v>0.99999999999999911</v>
      </c>
      <c r="K317" s="91">
        <f t="shared" si="49"/>
        <v>0.66666666666666663</v>
      </c>
      <c r="L317" s="91">
        <f t="shared" si="50"/>
        <v>4.375</v>
      </c>
      <c r="M317" s="29">
        <f t="shared" si="47"/>
        <v>20</v>
      </c>
      <c r="N317" s="92">
        <f t="shared" si="42"/>
        <v>0.49999999999999956</v>
      </c>
      <c r="O317" s="104">
        <f t="shared" si="43"/>
        <v>1.016</v>
      </c>
      <c r="P317" s="105">
        <f t="shared" si="44"/>
        <v>7.111999999999993</v>
      </c>
    </row>
    <row r="318" spans="2:16" x14ac:dyDescent="0.25">
      <c r="B318" s="88" t="str">
        <f t="shared" si="45"/>
        <v>Fazenda Altenor</v>
      </c>
      <c r="C318" s="106">
        <f t="shared" si="48"/>
        <v>2020</v>
      </c>
      <c r="D318" s="101">
        <v>43877</v>
      </c>
      <c r="E318" s="102">
        <v>0.33333333333333331</v>
      </c>
      <c r="F318" s="103">
        <v>0.35416666666666669</v>
      </c>
      <c r="G318" s="103">
        <v>0.29166666666666669</v>
      </c>
      <c r="H318" s="103">
        <v>0.33333333333333331</v>
      </c>
      <c r="I318" s="90">
        <f t="shared" si="46"/>
        <v>0.50000000000000089</v>
      </c>
      <c r="J318" s="90">
        <f t="shared" si="41"/>
        <v>0.99999999999999911</v>
      </c>
      <c r="K318" s="91">
        <f t="shared" si="49"/>
        <v>0.66666666666666663</v>
      </c>
      <c r="L318" s="91">
        <f t="shared" si="50"/>
        <v>4.375</v>
      </c>
      <c r="M318" s="29">
        <f t="shared" si="47"/>
        <v>20</v>
      </c>
      <c r="N318" s="92">
        <f t="shared" si="42"/>
        <v>0.50000000000000089</v>
      </c>
      <c r="O318" s="104">
        <f t="shared" si="43"/>
        <v>1.016</v>
      </c>
      <c r="P318" s="105">
        <f t="shared" si="44"/>
        <v>7.1120000000000116</v>
      </c>
    </row>
    <row r="319" spans="2:16" x14ac:dyDescent="0.25">
      <c r="B319" s="88" t="str">
        <f t="shared" si="45"/>
        <v>Fazenda Altenor</v>
      </c>
      <c r="C319" s="106">
        <f t="shared" si="48"/>
        <v>2020</v>
      </c>
      <c r="D319" s="101">
        <v>43878</v>
      </c>
      <c r="E319" s="102">
        <v>0.3125</v>
      </c>
      <c r="F319" s="103">
        <v>0.33333333333333331</v>
      </c>
      <c r="G319" s="103">
        <v>0.3125</v>
      </c>
      <c r="H319" s="103">
        <v>0.35416666666666669</v>
      </c>
      <c r="I319" s="90">
        <f t="shared" si="46"/>
        <v>0.49999999999999956</v>
      </c>
      <c r="J319" s="90">
        <f t="shared" si="41"/>
        <v>1.0000000000000004</v>
      </c>
      <c r="K319" s="91">
        <f t="shared" si="49"/>
        <v>0.66666666666666663</v>
      </c>
      <c r="L319" s="91">
        <f t="shared" si="50"/>
        <v>4.375</v>
      </c>
      <c r="M319" s="29">
        <f t="shared" si="47"/>
        <v>20</v>
      </c>
      <c r="N319" s="92">
        <f t="shared" si="42"/>
        <v>0.49999999999999956</v>
      </c>
      <c r="O319" s="104">
        <f t="shared" si="43"/>
        <v>1.016</v>
      </c>
      <c r="P319" s="105">
        <f t="shared" si="44"/>
        <v>7.111999999999993</v>
      </c>
    </row>
    <row r="320" spans="2:16" x14ac:dyDescent="0.25">
      <c r="B320" s="88" t="str">
        <f t="shared" si="45"/>
        <v>Fazenda Altenor</v>
      </c>
      <c r="C320" s="106">
        <f t="shared" si="48"/>
        <v>2020</v>
      </c>
      <c r="D320" s="101">
        <v>43879</v>
      </c>
      <c r="E320" s="102">
        <v>0.375</v>
      </c>
      <c r="F320" s="103">
        <v>0.39583333333333331</v>
      </c>
      <c r="G320" s="103">
        <v>0.375</v>
      </c>
      <c r="H320" s="103">
        <v>0.41666666666666669</v>
      </c>
      <c r="I320" s="90">
        <f t="shared" si="46"/>
        <v>0.49999999999999956</v>
      </c>
      <c r="J320" s="90">
        <f t="shared" si="41"/>
        <v>1.0000000000000004</v>
      </c>
      <c r="K320" s="91">
        <f t="shared" si="49"/>
        <v>0.66666666666666663</v>
      </c>
      <c r="L320" s="91">
        <f t="shared" si="50"/>
        <v>4.375</v>
      </c>
      <c r="M320" s="29">
        <f t="shared" si="47"/>
        <v>20</v>
      </c>
      <c r="N320" s="92">
        <f t="shared" si="42"/>
        <v>0.49999999999999956</v>
      </c>
      <c r="O320" s="104">
        <f t="shared" si="43"/>
        <v>1.016</v>
      </c>
      <c r="P320" s="105">
        <f t="shared" si="44"/>
        <v>7.111999999999993</v>
      </c>
    </row>
    <row r="321" spans="2:16" x14ac:dyDescent="0.25">
      <c r="B321" s="88" t="str">
        <f t="shared" si="45"/>
        <v>Fazenda Altenor</v>
      </c>
      <c r="C321" s="106">
        <f t="shared" si="48"/>
        <v>2020</v>
      </c>
      <c r="D321" s="101">
        <v>43880</v>
      </c>
      <c r="E321" s="102">
        <v>0.29166666666666669</v>
      </c>
      <c r="F321" s="103">
        <v>0.3125</v>
      </c>
      <c r="G321" s="103">
        <v>0.29166666666666669</v>
      </c>
      <c r="H321" s="103">
        <v>0.33333333333333331</v>
      </c>
      <c r="I321" s="90">
        <f t="shared" si="46"/>
        <v>0.49999999999999956</v>
      </c>
      <c r="J321" s="90">
        <f t="shared" si="41"/>
        <v>0.99999999999999911</v>
      </c>
      <c r="K321" s="91">
        <f t="shared" si="49"/>
        <v>0.66666666666666663</v>
      </c>
      <c r="L321" s="91">
        <f t="shared" si="50"/>
        <v>4.375</v>
      </c>
      <c r="M321" s="29">
        <f t="shared" si="47"/>
        <v>20</v>
      </c>
      <c r="N321" s="92">
        <f t="shared" si="42"/>
        <v>0.49999999999999956</v>
      </c>
      <c r="O321" s="104">
        <f t="shared" si="43"/>
        <v>1.016</v>
      </c>
      <c r="P321" s="105">
        <f t="shared" si="44"/>
        <v>7.111999999999993</v>
      </c>
    </row>
    <row r="322" spans="2:16" x14ac:dyDescent="0.25">
      <c r="B322" s="88" t="str">
        <f t="shared" si="45"/>
        <v>Fazenda Altenor</v>
      </c>
      <c r="C322" s="106">
        <f t="shared" si="48"/>
        <v>2020</v>
      </c>
      <c r="D322" s="101">
        <v>43881</v>
      </c>
      <c r="E322" s="102">
        <v>0.33333333333333331</v>
      </c>
      <c r="F322" s="103">
        <v>0.35416666666666669</v>
      </c>
      <c r="G322" s="103">
        <v>0.33333333333333331</v>
      </c>
      <c r="H322" s="103">
        <v>0.375</v>
      </c>
      <c r="I322" s="90">
        <f t="shared" si="46"/>
        <v>0.50000000000000089</v>
      </c>
      <c r="J322" s="90">
        <f t="shared" si="41"/>
        <v>1.0000000000000004</v>
      </c>
      <c r="K322" s="91">
        <f t="shared" si="49"/>
        <v>0.66666666666666663</v>
      </c>
      <c r="L322" s="91">
        <f t="shared" si="50"/>
        <v>4.375</v>
      </c>
      <c r="M322" s="29">
        <f t="shared" si="47"/>
        <v>20</v>
      </c>
      <c r="N322" s="92">
        <f t="shared" si="42"/>
        <v>0.50000000000000089</v>
      </c>
      <c r="O322" s="104">
        <f t="shared" si="43"/>
        <v>1.016</v>
      </c>
      <c r="P322" s="105">
        <f t="shared" si="44"/>
        <v>7.1120000000000116</v>
      </c>
    </row>
    <row r="323" spans="2:16" x14ac:dyDescent="0.25">
      <c r="B323" s="88" t="str">
        <f t="shared" si="45"/>
        <v>Fazenda Altenor</v>
      </c>
      <c r="C323" s="106">
        <f t="shared" si="48"/>
        <v>2020</v>
      </c>
      <c r="D323" s="101">
        <v>43882</v>
      </c>
      <c r="E323" s="102"/>
      <c r="F323" s="103"/>
      <c r="G323" s="103"/>
      <c r="H323" s="103"/>
      <c r="I323" s="90">
        <f t="shared" si="46"/>
        <v>0</v>
      </c>
      <c r="J323" s="90">
        <f t="shared" si="41"/>
        <v>0</v>
      </c>
      <c r="K323" s="91">
        <f t="shared" si="49"/>
        <v>0.66666666666666663</v>
      </c>
      <c r="L323" s="91">
        <f t="shared" si="50"/>
        <v>4.375</v>
      </c>
      <c r="M323" s="29">
        <f t="shared" si="47"/>
        <v>20</v>
      </c>
      <c r="N323" s="92">
        <f t="shared" si="42"/>
        <v>0</v>
      </c>
      <c r="O323" s="104">
        <f t="shared" si="43"/>
        <v>1.016</v>
      </c>
      <c r="P323" s="105">
        <f t="shared" si="44"/>
        <v>0</v>
      </c>
    </row>
    <row r="324" spans="2:16" x14ac:dyDescent="0.25">
      <c r="B324" s="88" t="str">
        <f t="shared" si="45"/>
        <v>Fazenda Altenor</v>
      </c>
      <c r="C324" s="106">
        <f t="shared" si="48"/>
        <v>2020</v>
      </c>
      <c r="D324" s="101">
        <v>43883</v>
      </c>
      <c r="E324" s="102">
        <v>0.29166666666666669</v>
      </c>
      <c r="F324" s="103">
        <v>0.33333333333333331</v>
      </c>
      <c r="G324" s="103">
        <v>0.29166666666666669</v>
      </c>
      <c r="H324" s="103">
        <v>0.35416666666666669</v>
      </c>
      <c r="I324" s="90">
        <f t="shared" si="46"/>
        <v>0.99999999999999911</v>
      </c>
      <c r="J324" s="90">
        <f t="shared" si="41"/>
        <v>1.5</v>
      </c>
      <c r="K324" s="91">
        <f t="shared" si="49"/>
        <v>0.66666666666666663</v>
      </c>
      <c r="L324" s="91">
        <f t="shared" si="50"/>
        <v>4.375</v>
      </c>
      <c r="M324" s="29">
        <f t="shared" si="47"/>
        <v>20</v>
      </c>
      <c r="N324" s="92">
        <f t="shared" si="42"/>
        <v>0.99999999999999911</v>
      </c>
      <c r="O324" s="104">
        <f t="shared" si="43"/>
        <v>1.016</v>
      </c>
      <c r="P324" s="105">
        <f t="shared" si="44"/>
        <v>14.223999999999986</v>
      </c>
    </row>
    <row r="325" spans="2:16" x14ac:dyDescent="0.25">
      <c r="B325" s="88" t="str">
        <f t="shared" si="45"/>
        <v>Fazenda Altenor</v>
      </c>
      <c r="C325" s="106">
        <f t="shared" si="48"/>
        <v>2020</v>
      </c>
      <c r="D325" s="101">
        <v>43884</v>
      </c>
      <c r="E325" s="102">
        <v>0.35416666666666669</v>
      </c>
      <c r="F325" s="103">
        <v>0.375</v>
      </c>
      <c r="G325" s="103">
        <v>0.35416666666666669</v>
      </c>
      <c r="H325" s="103">
        <v>0.39583333333333331</v>
      </c>
      <c r="I325" s="90">
        <f t="shared" si="46"/>
        <v>0.49999999999999956</v>
      </c>
      <c r="J325" s="90">
        <f t="shared" si="41"/>
        <v>0.99999999999999911</v>
      </c>
      <c r="K325" s="91">
        <f t="shared" si="49"/>
        <v>0.66666666666666663</v>
      </c>
      <c r="L325" s="91">
        <f t="shared" si="50"/>
        <v>4.375</v>
      </c>
      <c r="M325" s="29">
        <f t="shared" si="47"/>
        <v>20</v>
      </c>
      <c r="N325" s="92">
        <f t="shared" si="42"/>
        <v>0.49999999999999956</v>
      </c>
      <c r="O325" s="104">
        <f t="shared" si="43"/>
        <v>1.016</v>
      </c>
      <c r="P325" s="105">
        <f t="shared" si="44"/>
        <v>7.111999999999993</v>
      </c>
    </row>
    <row r="326" spans="2:16" x14ac:dyDescent="0.25">
      <c r="B326" s="88" t="str">
        <f t="shared" si="45"/>
        <v>Fazenda Altenor</v>
      </c>
      <c r="C326" s="106">
        <f t="shared" si="48"/>
        <v>2020</v>
      </c>
      <c r="D326" s="101">
        <v>43885</v>
      </c>
      <c r="E326" s="102">
        <v>0.375</v>
      </c>
      <c r="F326" s="103">
        <v>0.39583333333333331</v>
      </c>
      <c r="G326" s="103">
        <v>0.375</v>
      </c>
      <c r="H326" s="103">
        <v>0.41666666666666669</v>
      </c>
      <c r="I326" s="90">
        <f t="shared" si="46"/>
        <v>0.49999999999999956</v>
      </c>
      <c r="J326" s="90">
        <f t="shared" si="41"/>
        <v>1.0000000000000004</v>
      </c>
      <c r="K326" s="91">
        <f t="shared" si="49"/>
        <v>0.66666666666666663</v>
      </c>
      <c r="L326" s="91">
        <f t="shared" si="50"/>
        <v>4.375</v>
      </c>
      <c r="M326" s="29">
        <f t="shared" si="47"/>
        <v>20</v>
      </c>
      <c r="N326" s="92">
        <f t="shared" si="42"/>
        <v>0.49999999999999956</v>
      </c>
      <c r="O326" s="104">
        <f t="shared" si="43"/>
        <v>1.016</v>
      </c>
      <c r="P326" s="105">
        <f t="shared" si="44"/>
        <v>7.111999999999993</v>
      </c>
    </row>
    <row r="327" spans="2:16" x14ac:dyDescent="0.25">
      <c r="B327" s="88" t="str">
        <f t="shared" si="45"/>
        <v>Fazenda Altenor</v>
      </c>
      <c r="C327" s="106">
        <f t="shared" si="48"/>
        <v>2020</v>
      </c>
      <c r="D327" s="101">
        <v>43886</v>
      </c>
      <c r="E327" s="102">
        <v>0.29166666666666669</v>
      </c>
      <c r="F327" s="103">
        <v>0.33333333333333331</v>
      </c>
      <c r="G327" s="103">
        <v>0.3125</v>
      </c>
      <c r="H327" s="103">
        <v>0.35416666666666669</v>
      </c>
      <c r="I327" s="90">
        <f t="shared" si="46"/>
        <v>0.99999999999999911</v>
      </c>
      <c r="J327" s="90">
        <f t="shared" si="41"/>
        <v>1.0000000000000004</v>
      </c>
      <c r="K327" s="91">
        <f t="shared" si="49"/>
        <v>0.66666666666666663</v>
      </c>
      <c r="L327" s="91">
        <f t="shared" si="50"/>
        <v>4.375</v>
      </c>
      <c r="M327" s="29">
        <f t="shared" si="47"/>
        <v>20</v>
      </c>
      <c r="N327" s="92">
        <f t="shared" si="42"/>
        <v>0.99999999999999911</v>
      </c>
      <c r="O327" s="104">
        <f t="shared" si="43"/>
        <v>1.016</v>
      </c>
      <c r="P327" s="105">
        <f t="shared" si="44"/>
        <v>14.223999999999986</v>
      </c>
    </row>
    <row r="328" spans="2:16" x14ac:dyDescent="0.25">
      <c r="B328" s="88" t="str">
        <f t="shared" si="45"/>
        <v>Fazenda Altenor</v>
      </c>
      <c r="C328" s="106">
        <f t="shared" si="48"/>
        <v>2020</v>
      </c>
      <c r="D328" s="101">
        <v>43887</v>
      </c>
      <c r="E328" s="102">
        <v>0.33333333333333331</v>
      </c>
      <c r="F328" s="103">
        <v>0.35416666666666669</v>
      </c>
      <c r="G328" s="103">
        <v>0.33333333333333331</v>
      </c>
      <c r="H328" s="103">
        <v>0.375</v>
      </c>
      <c r="I328" s="90">
        <f t="shared" si="46"/>
        <v>0.50000000000000089</v>
      </c>
      <c r="J328" s="90">
        <f t="shared" si="41"/>
        <v>1.0000000000000004</v>
      </c>
      <c r="K328" s="91">
        <f t="shared" si="49"/>
        <v>0.66666666666666663</v>
      </c>
      <c r="L328" s="91">
        <f t="shared" si="50"/>
        <v>4.375</v>
      </c>
      <c r="M328" s="29">
        <f t="shared" si="47"/>
        <v>20</v>
      </c>
      <c r="N328" s="92">
        <f t="shared" si="42"/>
        <v>0.50000000000000089</v>
      </c>
      <c r="O328" s="104">
        <f t="shared" si="43"/>
        <v>1.016</v>
      </c>
      <c r="P328" s="105">
        <f t="shared" si="44"/>
        <v>7.1120000000000116</v>
      </c>
    </row>
    <row r="329" spans="2:16" x14ac:dyDescent="0.25">
      <c r="B329" s="88" t="str">
        <f t="shared" si="45"/>
        <v>Fazenda Altenor</v>
      </c>
      <c r="C329" s="106">
        <f t="shared" si="48"/>
        <v>2020</v>
      </c>
      <c r="D329" s="101">
        <v>43888</v>
      </c>
      <c r="E329" s="102">
        <v>0.29166666666666669</v>
      </c>
      <c r="F329" s="103">
        <v>0.3125</v>
      </c>
      <c r="G329" s="103">
        <v>0.29166666666666669</v>
      </c>
      <c r="H329" s="103">
        <v>0.33333333333333331</v>
      </c>
      <c r="I329" s="90">
        <f t="shared" si="46"/>
        <v>0.49999999999999956</v>
      </c>
      <c r="J329" s="90">
        <f t="shared" si="41"/>
        <v>0.99999999999999911</v>
      </c>
      <c r="K329" s="91">
        <f t="shared" si="49"/>
        <v>0.66666666666666663</v>
      </c>
      <c r="L329" s="91">
        <f t="shared" si="50"/>
        <v>4.375</v>
      </c>
      <c r="M329" s="29">
        <f t="shared" si="47"/>
        <v>20</v>
      </c>
      <c r="N329" s="92">
        <f t="shared" si="42"/>
        <v>0.49999999999999956</v>
      </c>
      <c r="O329" s="104">
        <f t="shared" si="43"/>
        <v>1.016</v>
      </c>
      <c r="P329" s="105">
        <f t="shared" si="44"/>
        <v>7.111999999999993</v>
      </c>
    </row>
    <row r="330" spans="2:16" x14ac:dyDescent="0.25">
      <c r="B330" s="88" t="str">
        <f t="shared" si="45"/>
        <v>Fazenda Altenor</v>
      </c>
      <c r="C330" s="106">
        <f t="shared" si="48"/>
        <v>2020</v>
      </c>
      <c r="D330" s="101">
        <v>43889</v>
      </c>
      <c r="E330" s="102">
        <v>0.3125</v>
      </c>
      <c r="F330" s="103">
        <v>0.33333333333333331</v>
      </c>
      <c r="G330" s="103">
        <v>0.3125</v>
      </c>
      <c r="H330" s="103">
        <v>0.375</v>
      </c>
      <c r="I330" s="90">
        <f t="shared" si="46"/>
        <v>0.49999999999999956</v>
      </c>
      <c r="J330" s="90">
        <f t="shared" si="41"/>
        <v>1.5</v>
      </c>
      <c r="K330" s="91">
        <f t="shared" si="49"/>
        <v>0.66666666666666663</v>
      </c>
      <c r="L330" s="91">
        <f t="shared" si="50"/>
        <v>4.375</v>
      </c>
      <c r="M330" s="29">
        <f t="shared" si="47"/>
        <v>20</v>
      </c>
      <c r="N330" s="92">
        <f t="shared" si="42"/>
        <v>0.49999999999999956</v>
      </c>
      <c r="O330" s="104">
        <f t="shared" si="43"/>
        <v>1.016</v>
      </c>
      <c r="P330" s="105">
        <f t="shared" si="44"/>
        <v>7.111999999999993</v>
      </c>
    </row>
    <row r="331" spans="2:16" x14ac:dyDescent="0.25">
      <c r="B331" s="88" t="str">
        <f t="shared" si="45"/>
        <v>Fazenda Altenor</v>
      </c>
      <c r="C331" s="106">
        <f t="shared" si="48"/>
        <v>2020</v>
      </c>
      <c r="D331" s="101">
        <v>43890</v>
      </c>
      <c r="E331" s="102">
        <v>0.33333333333333331</v>
      </c>
      <c r="F331" s="103">
        <v>0.35416666666666669</v>
      </c>
      <c r="G331" s="103">
        <v>0.33333333333333331</v>
      </c>
      <c r="H331" s="103">
        <v>0.375</v>
      </c>
      <c r="I331" s="90">
        <f t="shared" si="46"/>
        <v>0.50000000000000089</v>
      </c>
      <c r="J331" s="90">
        <f t="shared" si="41"/>
        <v>1.0000000000000004</v>
      </c>
      <c r="K331" s="91">
        <f t="shared" si="49"/>
        <v>0.66666666666666663</v>
      </c>
      <c r="L331" s="91">
        <f t="shared" si="50"/>
        <v>4.375</v>
      </c>
      <c r="M331" s="29">
        <f t="shared" si="47"/>
        <v>20</v>
      </c>
      <c r="N331" s="92">
        <f t="shared" si="42"/>
        <v>0.50000000000000089</v>
      </c>
      <c r="O331" s="104">
        <f t="shared" si="43"/>
        <v>1.016</v>
      </c>
      <c r="P331" s="105">
        <f t="shared" si="44"/>
        <v>7.1120000000000116</v>
      </c>
    </row>
    <row r="332" spans="2:16" x14ac:dyDescent="0.25">
      <c r="B332" s="88" t="str">
        <f t="shared" si="45"/>
        <v>Fazenda Altenor</v>
      </c>
      <c r="C332" s="106">
        <f t="shared" si="48"/>
        <v>2020</v>
      </c>
      <c r="D332" s="101">
        <v>43891</v>
      </c>
      <c r="E332" s="102">
        <v>0.33333333333333331</v>
      </c>
      <c r="F332" s="103">
        <v>0.35416666666666669</v>
      </c>
      <c r="G332" s="103">
        <v>0.33333333333333331</v>
      </c>
      <c r="H332" s="103">
        <v>0.375</v>
      </c>
      <c r="I332" s="90">
        <f t="shared" si="46"/>
        <v>0.50000000000000089</v>
      </c>
      <c r="J332" s="90">
        <f t="shared" si="41"/>
        <v>1.0000000000000004</v>
      </c>
      <c r="K332" s="91">
        <f t="shared" si="49"/>
        <v>0.66666666666666663</v>
      </c>
      <c r="L332" s="91">
        <f t="shared" si="50"/>
        <v>4.375</v>
      </c>
      <c r="M332" s="29">
        <f t="shared" si="47"/>
        <v>20</v>
      </c>
      <c r="N332" s="92">
        <f t="shared" si="42"/>
        <v>0.50000000000000089</v>
      </c>
      <c r="O332" s="104">
        <f t="shared" si="43"/>
        <v>1.016</v>
      </c>
      <c r="P332" s="105">
        <f t="shared" si="44"/>
        <v>7.1120000000000116</v>
      </c>
    </row>
    <row r="333" spans="2:16" x14ac:dyDescent="0.25">
      <c r="B333" s="88" t="str">
        <f t="shared" si="45"/>
        <v>Fazenda Altenor</v>
      </c>
      <c r="C333" s="106">
        <f t="shared" si="48"/>
        <v>2020</v>
      </c>
      <c r="D333" s="101">
        <v>43892</v>
      </c>
      <c r="E333" s="102">
        <v>0.29166666666666669</v>
      </c>
      <c r="F333" s="103">
        <v>0.3125</v>
      </c>
      <c r="G333" s="103">
        <v>0.29166666666666669</v>
      </c>
      <c r="H333" s="103">
        <v>0.33333333333333331</v>
      </c>
      <c r="I333" s="90">
        <f t="shared" si="46"/>
        <v>0.49999999999999956</v>
      </c>
      <c r="J333" s="90">
        <f t="shared" si="41"/>
        <v>0.99999999999999911</v>
      </c>
      <c r="K333" s="91">
        <f t="shared" si="49"/>
        <v>0.66666666666666663</v>
      </c>
      <c r="L333" s="91">
        <f t="shared" si="50"/>
        <v>4.375</v>
      </c>
      <c r="M333" s="29">
        <f t="shared" si="47"/>
        <v>20</v>
      </c>
      <c r="N333" s="92">
        <f t="shared" si="42"/>
        <v>0.49999999999999956</v>
      </c>
      <c r="O333" s="104">
        <f t="shared" si="43"/>
        <v>1.016</v>
      </c>
      <c r="P333" s="105">
        <f t="shared" si="44"/>
        <v>7.111999999999993</v>
      </c>
    </row>
    <row r="334" spans="2:16" x14ac:dyDescent="0.25">
      <c r="B334" s="88" t="str">
        <f t="shared" si="45"/>
        <v>Fazenda Altenor</v>
      </c>
      <c r="C334" s="106">
        <f t="shared" si="48"/>
        <v>2020</v>
      </c>
      <c r="D334" s="101">
        <v>43893</v>
      </c>
      <c r="E334" s="102">
        <v>0.35416666666666669</v>
      </c>
      <c r="F334" s="103">
        <v>0.375</v>
      </c>
      <c r="G334" s="103">
        <v>0.35416666666666669</v>
      </c>
      <c r="H334" s="103">
        <v>0.41666666666666669</v>
      </c>
      <c r="I334" s="90">
        <f t="shared" si="46"/>
        <v>0.49999999999999956</v>
      </c>
      <c r="J334" s="90">
        <f t="shared" si="41"/>
        <v>1.5</v>
      </c>
      <c r="K334" s="91">
        <f t="shared" si="49"/>
        <v>0.66666666666666663</v>
      </c>
      <c r="L334" s="91">
        <f t="shared" si="50"/>
        <v>4.375</v>
      </c>
      <c r="M334" s="29">
        <f t="shared" si="47"/>
        <v>20</v>
      </c>
      <c r="N334" s="92">
        <f t="shared" si="42"/>
        <v>0.49999999999999956</v>
      </c>
      <c r="O334" s="104">
        <f t="shared" si="43"/>
        <v>1.016</v>
      </c>
      <c r="P334" s="105">
        <f t="shared" si="44"/>
        <v>7.111999999999993</v>
      </c>
    </row>
    <row r="335" spans="2:16" x14ac:dyDescent="0.25">
      <c r="B335" s="88" t="str">
        <f t="shared" si="45"/>
        <v>Fazenda Altenor</v>
      </c>
      <c r="C335" s="106">
        <f t="shared" si="48"/>
        <v>2020</v>
      </c>
      <c r="D335" s="101">
        <v>43894</v>
      </c>
      <c r="E335" s="102">
        <v>0.375</v>
      </c>
      <c r="F335" s="103">
        <v>0.39583333333333331</v>
      </c>
      <c r="G335" s="103">
        <v>0.375</v>
      </c>
      <c r="H335" s="103">
        <v>0.41666666666666669</v>
      </c>
      <c r="I335" s="90">
        <f t="shared" si="46"/>
        <v>0.49999999999999956</v>
      </c>
      <c r="J335" s="90">
        <f t="shared" si="41"/>
        <v>1.0000000000000004</v>
      </c>
      <c r="K335" s="91">
        <f t="shared" si="49"/>
        <v>0.66666666666666663</v>
      </c>
      <c r="L335" s="91">
        <f t="shared" si="50"/>
        <v>4.375</v>
      </c>
      <c r="M335" s="29">
        <f t="shared" si="47"/>
        <v>20</v>
      </c>
      <c r="N335" s="92">
        <f t="shared" si="42"/>
        <v>0.49999999999999956</v>
      </c>
      <c r="O335" s="104">
        <f t="shared" si="43"/>
        <v>1.016</v>
      </c>
      <c r="P335" s="105">
        <f t="shared" si="44"/>
        <v>7.111999999999993</v>
      </c>
    </row>
    <row r="336" spans="2:16" x14ac:dyDescent="0.25">
      <c r="B336" s="88" t="str">
        <f t="shared" si="45"/>
        <v>Fazenda Altenor</v>
      </c>
      <c r="C336" s="106">
        <f t="shared" si="48"/>
        <v>2020</v>
      </c>
      <c r="D336" s="101">
        <v>43895</v>
      </c>
      <c r="E336" s="102">
        <v>0.3125</v>
      </c>
      <c r="F336" s="103">
        <v>0.33333333333333331</v>
      </c>
      <c r="G336" s="103">
        <v>0.3125</v>
      </c>
      <c r="H336" s="103">
        <v>0.36458333333333331</v>
      </c>
      <c r="I336" s="90">
        <f t="shared" si="46"/>
        <v>0.49999999999999956</v>
      </c>
      <c r="J336" s="90">
        <f t="shared" si="41"/>
        <v>1.2499999999999996</v>
      </c>
      <c r="K336" s="91">
        <f t="shared" si="49"/>
        <v>0.66666666666666663</v>
      </c>
      <c r="L336" s="91">
        <f t="shared" si="50"/>
        <v>4.375</v>
      </c>
      <c r="M336" s="29">
        <f t="shared" si="47"/>
        <v>20</v>
      </c>
      <c r="N336" s="92">
        <f t="shared" si="42"/>
        <v>0.49999999999999956</v>
      </c>
      <c r="O336" s="104">
        <f t="shared" si="43"/>
        <v>1.016</v>
      </c>
      <c r="P336" s="105">
        <f t="shared" si="44"/>
        <v>7.111999999999993</v>
      </c>
    </row>
    <row r="337" spans="2:16" x14ac:dyDescent="0.25">
      <c r="B337" s="88" t="str">
        <f t="shared" si="45"/>
        <v>Fazenda Altenor</v>
      </c>
      <c r="C337" s="106">
        <f t="shared" si="48"/>
        <v>2020</v>
      </c>
      <c r="D337" s="101">
        <v>43896</v>
      </c>
      <c r="E337" s="102"/>
      <c r="F337" s="103"/>
      <c r="G337" s="103"/>
      <c r="H337" s="103"/>
      <c r="I337" s="90">
        <f t="shared" si="46"/>
        <v>0</v>
      </c>
      <c r="J337" s="90">
        <f t="shared" si="41"/>
        <v>0</v>
      </c>
      <c r="K337" s="91">
        <f t="shared" si="49"/>
        <v>0.66666666666666663</v>
      </c>
      <c r="L337" s="91">
        <f t="shared" si="50"/>
        <v>4.375</v>
      </c>
      <c r="M337" s="29">
        <f t="shared" si="47"/>
        <v>20</v>
      </c>
      <c r="N337" s="92">
        <f t="shared" si="42"/>
        <v>0</v>
      </c>
      <c r="O337" s="104">
        <f t="shared" si="43"/>
        <v>1.016</v>
      </c>
      <c r="P337" s="105">
        <f t="shared" si="44"/>
        <v>0</v>
      </c>
    </row>
    <row r="338" spans="2:16" x14ac:dyDescent="0.25">
      <c r="B338" s="88" t="str">
        <f t="shared" si="45"/>
        <v>Fazenda Altenor</v>
      </c>
      <c r="C338" s="106">
        <f t="shared" si="48"/>
        <v>2020</v>
      </c>
      <c r="D338" s="101">
        <v>43897</v>
      </c>
      <c r="E338" s="102">
        <v>0.32291666666666669</v>
      </c>
      <c r="F338" s="103">
        <v>0.33263888888888887</v>
      </c>
      <c r="G338" s="103">
        <v>0.32291666666666669</v>
      </c>
      <c r="H338" s="103">
        <v>0.36458333333333331</v>
      </c>
      <c r="I338" s="90">
        <f t="shared" si="46"/>
        <v>0.2333333333333325</v>
      </c>
      <c r="J338" s="90">
        <f t="shared" si="41"/>
        <v>0.99999999999999911</v>
      </c>
      <c r="K338" s="91">
        <f t="shared" si="49"/>
        <v>0.66666666666666663</v>
      </c>
      <c r="L338" s="91">
        <f t="shared" si="50"/>
        <v>4.375</v>
      </c>
      <c r="M338" s="29">
        <f t="shared" si="47"/>
        <v>20</v>
      </c>
      <c r="N338" s="92">
        <f t="shared" si="42"/>
        <v>0.2333333333333325</v>
      </c>
      <c r="O338" s="104">
        <f t="shared" si="43"/>
        <v>1.016</v>
      </c>
      <c r="P338" s="105">
        <f t="shared" si="44"/>
        <v>3.3189333333333213</v>
      </c>
    </row>
    <row r="339" spans="2:16" x14ac:dyDescent="0.25">
      <c r="B339" s="88" t="str">
        <f t="shared" si="45"/>
        <v>Fazenda Altenor</v>
      </c>
      <c r="C339" s="106">
        <f t="shared" si="48"/>
        <v>2020</v>
      </c>
      <c r="D339" s="101">
        <v>43898</v>
      </c>
      <c r="E339" s="102">
        <v>0.33333333333333331</v>
      </c>
      <c r="F339" s="103">
        <v>0.35416666666666669</v>
      </c>
      <c r="G339" s="103">
        <v>0.33333333333333331</v>
      </c>
      <c r="H339" s="103">
        <v>0.375</v>
      </c>
      <c r="I339" s="90">
        <f t="shared" si="46"/>
        <v>0.50000000000000089</v>
      </c>
      <c r="J339" s="90">
        <f t="shared" si="41"/>
        <v>1.0000000000000004</v>
      </c>
      <c r="K339" s="91">
        <f t="shared" si="49"/>
        <v>0.66666666666666663</v>
      </c>
      <c r="L339" s="91">
        <f t="shared" si="50"/>
        <v>4.375</v>
      </c>
      <c r="M339" s="29">
        <f t="shared" si="47"/>
        <v>20</v>
      </c>
      <c r="N339" s="92">
        <f t="shared" si="42"/>
        <v>0.50000000000000089</v>
      </c>
      <c r="O339" s="104">
        <f t="shared" si="43"/>
        <v>1.016</v>
      </c>
      <c r="P339" s="105">
        <f t="shared" si="44"/>
        <v>7.1120000000000116</v>
      </c>
    </row>
    <row r="340" spans="2:16" x14ac:dyDescent="0.25">
      <c r="B340" s="88" t="str">
        <f t="shared" si="45"/>
        <v>Fazenda Altenor</v>
      </c>
      <c r="C340" s="106">
        <f t="shared" si="48"/>
        <v>2020</v>
      </c>
      <c r="D340" s="101">
        <v>43899</v>
      </c>
      <c r="E340" s="102">
        <v>0.29166666666666669</v>
      </c>
      <c r="F340" s="103">
        <v>0.3125</v>
      </c>
      <c r="G340" s="103">
        <v>0.29166666666666669</v>
      </c>
      <c r="H340" s="103">
        <v>0.33333333333333331</v>
      </c>
      <c r="I340" s="90">
        <f t="shared" si="46"/>
        <v>0.49999999999999956</v>
      </c>
      <c r="J340" s="90">
        <f t="shared" si="41"/>
        <v>0.99999999999999911</v>
      </c>
      <c r="K340" s="91">
        <f t="shared" si="49"/>
        <v>0.66666666666666663</v>
      </c>
      <c r="L340" s="91">
        <f t="shared" si="50"/>
        <v>4.375</v>
      </c>
      <c r="M340" s="29">
        <f t="shared" si="47"/>
        <v>20</v>
      </c>
      <c r="N340" s="92">
        <f t="shared" si="42"/>
        <v>0.49999999999999956</v>
      </c>
      <c r="O340" s="104">
        <f t="shared" si="43"/>
        <v>1.016</v>
      </c>
      <c r="P340" s="105">
        <f t="shared" si="44"/>
        <v>7.111999999999993</v>
      </c>
    </row>
    <row r="341" spans="2:16" x14ac:dyDescent="0.25">
      <c r="B341" s="88" t="str">
        <f t="shared" si="45"/>
        <v>Fazenda Altenor</v>
      </c>
      <c r="C341" s="106">
        <f t="shared" si="48"/>
        <v>2020</v>
      </c>
      <c r="D341" s="101">
        <v>43900</v>
      </c>
      <c r="E341" s="102">
        <v>0.35416666666666669</v>
      </c>
      <c r="F341" s="103">
        <v>0.375</v>
      </c>
      <c r="G341" s="103">
        <v>0.35416666666666669</v>
      </c>
      <c r="H341" s="103">
        <v>0.41666666666666669</v>
      </c>
      <c r="I341" s="90">
        <f t="shared" si="46"/>
        <v>0.49999999999999956</v>
      </c>
      <c r="J341" s="90">
        <f t="shared" si="41"/>
        <v>1.5</v>
      </c>
      <c r="K341" s="91">
        <f t="shared" si="49"/>
        <v>0.66666666666666663</v>
      </c>
      <c r="L341" s="91">
        <f t="shared" si="50"/>
        <v>4.375</v>
      </c>
      <c r="M341" s="29">
        <f t="shared" si="47"/>
        <v>20</v>
      </c>
      <c r="N341" s="92">
        <f t="shared" si="42"/>
        <v>0.49999999999999956</v>
      </c>
      <c r="O341" s="104">
        <f t="shared" si="43"/>
        <v>1.016</v>
      </c>
      <c r="P341" s="105">
        <f t="shared" si="44"/>
        <v>7.111999999999993</v>
      </c>
    </row>
    <row r="342" spans="2:16" x14ac:dyDescent="0.25">
      <c r="B342" s="88" t="str">
        <f t="shared" si="45"/>
        <v>Fazenda Altenor</v>
      </c>
      <c r="C342" s="106">
        <f t="shared" si="48"/>
        <v>2020</v>
      </c>
      <c r="D342" s="101">
        <v>43901</v>
      </c>
      <c r="E342" s="102">
        <v>0.3125</v>
      </c>
      <c r="F342" s="103">
        <v>0.33333333333333331</v>
      </c>
      <c r="G342" s="103">
        <v>0.3125</v>
      </c>
      <c r="H342" s="103">
        <v>0.36458333333333331</v>
      </c>
      <c r="I342" s="90">
        <f t="shared" si="46"/>
        <v>0.49999999999999956</v>
      </c>
      <c r="J342" s="90">
        <f t="shared" si="41"/>
        <v>1.2499999999999996</v>
      </c>
      <c r="K342" s="91">
        <f t="shared" si="49"/>
        <v>0.66666666666666663</v>
      </c>
      <c r="L342" s="91">
        <f t="shared" si="50"/>
        <v>4.375</v>
      </c>
      <c r="M342" s="29">
        <f t="shared" si="47"/>
        <v>20</v>
      </c>
      <c r="N342" s="92">
        <f t="shared" si="42"/>
        <v>0.49999999999999956</v>
      </c>
      <c r="O342" s="104">
        <f t="shared" si="43"/>
        <v>1.016</v>
      </c>
      <c r="P342" s="105">
        <f t="shared" si="44"/>
        <v>7.111999999999993</v>
      </c>
    </row>
    <row r="343" spans="2:16" x14ac:dyDescent="0.25">
      <c r="B343" s="88" t="str">
        <f t="shared" si="45"/>
        <v>Fazenda Altenor</v>
      </c>
      <c r="C343" s="106">
        <f t="shared" si="48"/>
        <v>2020</v>
      </c>
      <c r="D343" s="101">
        <v>43902</v>
      </c>
      <c r="E343" s="102">
        <v>0.33333333333333331</v>
      </c>
      <c r="F343" s="103">
        <v>0.35416666666666669</v>
      </c>
      <c r="G343" s="103">
        <v>0.33333333333333331</v>
      </c>
      <c r="H343" s="103">
        <v>0.375</v>
      </c>
      <c r="I343" s="90">
        <f t="shared" si="46"/>
        <v>0.50000000000000089</v>
      </c>
      <c r="J343" s="90">
        <f t="shared" si="41"/>
        <v>1.0000000000000004</v>
      </c>
      <c r="K343" s="91">
        <f t="shared" si="49"/>
        <v>0.66666666666666663</v>
      </c>
      <c r="L343" s="91">
        <f t="shared" si="50"/>
        <v>4.375</v>
      </c>
      <c r="M343" s="29">
        <f t="shared" si="47"/>
        <v>20</v>
      </c>
      <c r="N343" s="92">
        <f t="shared" si="42"/>
        <v>0.50000000000000089</v>
      </c>
      <c r="O343" s="104">
        <f t="shared" si="43"/>
        <v>1.016</v>
      </c>
      <c r="P343" s="105">
        <f t="shared" si="44"/>
        <v>7.1120000000000116</v>
      </c>
    </row>
    <row r="344" spans="2:16" x14ac:dyDescent="0.25">
      <c r="B344" s="88" t="str">
        <f t="shared" si="45"/>
        <v>Fazenda Altenor</v>
      </c>
      <c r="C344" s="106">
        <f t="shared" si="48"/>
        <v>2020</v>
      </c>
      <c r="D344" s="101">
        <v>43903</v>
      </c>
      <c r="E344" s="102">
        <v>0.29166666666666669</v>
      </c>
      <c r="F344" s="103">
        <v>0.3125</v>
      </c>
      <c r="G344" s="103">
        <v>0.29166666666666669</v>
      </c>
      <c r="H344" s="103">
        <v>0.33333333333333331</v>
      </c>
      <c r="I344" s="90">
        <f t="shared" si="46"/>
        <v>0.49999999999999956</v>
      </c>
      <c r="J344" s="90">
        <f t="shared" si="41"/>
        <v>0.99999999999999911</v>
      </c>
      <c r="K344" s="91">
        <f t="shared" si="49"/>
        <v>0.66666666666666663</v>
      </c>
      <c r="L344" s="91">
        <f t="shared" si="50"/>
        <v>4.375</v>
      </c>
      <c r="M344" s="29">
        <f t="shared" si="47"/>
        <v>20</v>
      </c>
      <c r="N344" s="92">
        <f t="shared" si="42"/>
        <v>0.49999999999999956</v>
      </c>
      <c r="O344" s="104">
        <f t="shared" si="43"/>
        <v>1.016</v>
      </c>
      <c r="P344" s="105">
        <f t="shared" si="44"/>
        <v>7.111999999999993</v>
      </c>
    </row>
    <row r="345" spans="2:16" x14ac:dyDescent="0.25">
      <c r="B345" s="88" t="str">
        <f t="shared" si="45"/>
        <v>Fazenda Altenor</v>
      </c>
      <c r="C345" s="106">
        <f t="shared" si="48"/>
        <v>2020</v>
      </c>
      <c r="D345" s="101">
        <v>43904</v>
      </c>
      <c r="E345" s="102">
        <v>0.3125</v>
      </c>
      <c r="F345" s="103">
        <v>0.33333333333333331</v>
      </c>
      <c r="G345" s="103">
        <v>0.3125</v>
      </c>
      <c r="H345" s="103">
        <v>0.35416666666666669</v>
      </c>
      <c r="I345" s="90">
        <f t="shared" si="46"/>
        <v>0.49999999999999956</v>
      </c>
      <c r="J345" s="90">
        <f t="shared" si="41"/>
        <v>1.0000000000000004</v>
      </c>
      <c r="K345" s="91">
        <f t="shared" si="49"/>
        <v>0.66666666666666663</v>
      </c>
      <c r="L345" s="91">
        <f t="shared" si="50"/>
        <v>4.375</v>
      </c>
      <c r="M345" s="29">
        <f t="shared" si="47"/>
        <v>20</v>
      </c>
      <c r="N345" s="92">
        <f t="shared" si="42"/>
        <v>0.49999999999999956</v>
      </c>
      <c r="O345" s="104">
        <f t="shared" si="43"/>
        <v>1.016</v>
      </c>
      <c r="P345" s="105">
        <f t="shared" si="44"/>
        <v>7.111999999999993</v>
      </c>
    </row>
    <row r="346" spans="2:16" x14ac:dyDescent="0.25">
      <c r="B346" s="88" t="str">
        <f t="shared" si="45"/>
        <v>Fazenda Altenor</v>
      </c>
      <c r="C346" s="106">
        <f t="shared" si="48"/>
        <v>2020</v>
      </c>
      <c r="D346" s="101">
        <v>43905</v>
      </c>
      <c r="E346" s="102">
        <v>0.29166666666666669</v>
      </c>
      <c r="F346" s="103">
        <v>0.3125</v>
      </c>
      <c r="G346" s="103">
        <v>0.29166666666666669</v>
      </c>
      <c r="H346" s="103">
        <v>0.33333333333333331</v>
      </c>
      <c r="I346" s="90">
        <f t="shared" si="46"/>
        <v>0.49999999999999956</v>
      </c>
      <c r="J346" s="90">
        <f t="shared" si="41"/>
        <v>0.99999999999999911</v>
      </c>
      <c r="K346" s="91">
        <f t="shared" si="49"/>
        <v>0.66666666666666663</v>
      </c>
      <c r="L346" s="91">
        <f t="shared" si="50"/>
        <v>4.375</v>
      </c>
      <c r="M346" s="29">
        <f t="shared" si="47"/>
        <v>20</v>
      </c>
      <c r="N346" s="92">
        <f t="shared" si="42"/>
        <v>0.49999999999999956</v>
      </c>
      <c r="O346" s="104">
        <f t="shared" si="43"/>
        <v>1.016</v>
      </c>
      <c r="P346" s="105">
        <f t="shared" si="44"/>
        <v>7.111999999999993</v>
      </c>
    </row>
    <row r="347" spans="2:16" x14ac:dyDescent="0.25">
      <c r="B347" s="88" t="str">
        <f t="shared" si="45"/>
        <v>Fazenda Altenor</v>
      </c>
      <c r="C347" s="106">
        <f t="shared" si="48"/>
        <v>2020</v>
      </c>
      <c r="D347" s="101">
        <v>43906</v>
      </c>
      <c r="E347" s="102">
        <v>0.3125</v>
      </c>
      <c r="F347" s="103">
        <v>0.33333333333333331</v>
      </c>
      <c r="G347" s="103">
        <v>0.3125</v>
      </c>
      <c r="H347" s="103">
        <v>0.36458333333333331</v>
      </c>
      <c r="I347" s="90">
        <f t="shared" si="46"/>
        <v>0.49999999999999956</v>
      </c>
      <c r="J347" s="90">
        <f t="shared" ref="J347:J410" si="51">((H347-G347)-INT($D$20))*24</f>
        <v>1.2499999999999996</v>
      </c>
      <c r="K347" s="91">
        <f t="shared" si="49"/>
        <v>0.66666666666666663</v>
      </c>
      <c r="L347" s="91">
        <f t="shared" si="50"/>
        <v>4.375</v>
      </c>
      <c r="M347" s="29">
        <f t="shared" si="47"/>
        <v>20</v>
      </c>
      <c r="N347" s="92">
        <f t="shared" ref="N347:N410" si="52">I347</f>
        <v>0.49999999999999956</v>
      </c>
      <c r="O347" s="104">
        <f t="shared" ref="O347:O410" si="53">$D$21/1000</f>
        <v>1.016</v>
      </c>
      <c r="P347" s="105">
        <f t="shared" ref="P347:P410" si="54">M347*N347*O347*0.7</f>
        <v>7.111999999999993</v>
      </c>
    </row>
    <row r="348" spans="2:16" x14ac:dyDescent="0.25">
      <c r="B348" s="88" t="str">
        <f t="shared" ref="B348:B411" si="55">$B$5</f>
        <v>Fazenda Altenor</v>
      </c>
      <c r="C348" s="106">
        <f t="shared" si="48"/>
        <v>2020</v>
      </c>
      <c r="D348" s="101">
        <v>43907</v>
      </c>
      <c r="E348" s="102">
        <v>0.45833333333333331</v>
      </c>
      <c r="F348" s="103">
        <v>0.47916666666666669</v>
      </c>
      <c r="G348" s="103">
        <v>0.45833333333333331</v>
      </c>
      <c r="H348" s="103">
        <v>0.47916666666666669</v>
      </c>
      <c r="I348" s="90">
        <f t="shared" ref="I348:I411" si="56">((F348-E348)-INT($D$20))*24</f>
        <v>0.50000000000000089</v>
      </c>
      <c r="J348" s="90">
        <f t="shared" si="51"/>
        <v>0.50000000000000089</v>
      </c>
      <c r="K348" s="91">
        <f t="shared" si="49"/>
        <v>0.66666666666666663</v>
      </c>
      <c r="L348" s="91">
        <f t="shared" si="50"/>
        <v>4.375</v>
      </c>
      <c r="M348" s="29">
        <f t="shared" ref="M348:M411" si="57">VLOOKUP(B348,$I$5:$J$17,2,FALSE)</f>
        <v>20</v>
      </c>
      <c r="N348" s="92">
        <f t="shared" si="52"/>
        <v>0.50000000000000089</v>
      </c>
      <c r="O348" s="104">
        <f t="shared" si="53"/>
        <v>1.016</v>
      </c>
      <c r="P348" s="105">
        <f t="shared" si="54"/>
        <v>7.1120000000000116</v>
      </c>
    </row>
    <row r="349" spans="2:16" x14ac:dyDescent="0.25">
      <c r="B349" s="88" t="str">
        <f t="shared" si="55"/>
        <v>Fazenda Altenor</v>
      </c>
      <c r="C349" s="106">
        <f t="shared" ref="C349:C412" si="58">YEAR(D349)</f>
        <v>2020</v>
      </c>
      <c r="D349" s="101">
        <v>43908</v>
      </c>
      <c r="E349" s="102">
        <v>0.35416666666666669</v>
      </c>
      <c r="F349" s="103">
        <v>0.375</v>
      </c>
      <c r="G349" s="103">
        <v>0.35416666666666669</v>
      </c>
      <c r="H349" s="103">
        <v>0.39583333333333331</v>
      </c>
      <c r="I349" s="90">
        <f t="shared" si="56"/>
        <v>0.49999999999999956</v>
      </c>
      <c r="J349" s="90">
        <f t="shared" si="51"/>
        <v>0.99999999999999911</v>
      </c>
      <c r="K349" s="91">
        <f t="shared" ref="K349:K412" si="59">VLOOKUP(B349,$B$5:$J$17,5,FALSE)</f>
        <v>0.66666666666666663</v>
      </c>
      <c r="L349" s="91">
        <f t="shared" ref="L349:L412" si="60">VLOOKUP(B349,$B$5:$J$17,6,FALSE)</f>
        <v>4.375</v>
      </c>
      <c r="M349" s="29">
        <f t="shared" si="57"/>
        <v>20</v>
      </c>
      <c r="N349" s="92">
        <f t="shared" si="52"/>
        <v>0.49999999999999956</v>
      </c>
      <c r="O349" s="104">
        <f t="shared" si="53"/>
        <v>1.016</v>
      </c>
      <c r="P349" s="105">
        <f t="shared" si="54"/>
        <v>7.111999999999993</v>
      </c>
    </row>
    <row r="350" spans="2:16" x14ac:dyDescent="0.25">
      <c r="B350" s="88" t="str">
        <f t="shared" si="55"/>
        <v>Fazenda Altenor</v>
      </c>
      <c r="C350" s="106">
        <f t="shared" si="58"/>
        <v>2020</v>
      </c>
      <c r="D350" s="101">
        <v>43909</v>
      </c>
      <c r="E350" s="102">
        <v>0.29166666666666669</v>
      </c>
      <c r="F350" s="103">
        <v>0.3125</v>
      </c>
      <c r="G350" s="103">
        <v>0.29166666666666669</v>
      </c>
      <c r="H350" s="103">
        <v>0.33333333333333331</v>
      </c>
      <c r="I350" s="90">
        <f t="shared" si="56"/>
        <v>0.49999999999999956</v>
      </c>
      <c r="J350" s="90">
        <f t="shared" si="51"/>
        <v>0.99999999999999911</v>
      </c>
      <c r="K350" s="91">
        <f t="shared" si="59"/>
        <v>0.66666666666666663</v>
      </c>
      <c r="L350" s="91">
        <f t="shared" si="60"/>
        <v>4.375</v>
      </c>
      <c r="M350" s="29">
        <f t="shared" si="57"/>
        <v>20</v>
      </c>
      <c r="N350" s="92">
        <f t="shared" si="52"/>
        <v>0.49999999999999956</v>
      </c>
      <c r="O350" s="104">
        <f t="shared" si="53"/>
        <v>1.016</v>
      </c>
      <c r="P350" s="105">
        <f t="shared" si="54"/>
        <v>7.111999999999993</v>
      </c>
    </row>
    <row r="351" spans="2:16" x14ac:dyDescent="0.25">
      <c r="B351" s="88" t="str">
        <f t="shared" si="55"/>
        <v>Fazenda Altenor</v>
      </c>
      <c r="C351" s="106">
        <f t="shared" si="58"/>
        <v>2020</v>
      </c>
      <c r="D351" s="101">
        <v>43910</v>
      </c>
      <c r="E351" s="102">
        <v>0.33333333333333331</v>
      </c>
      <c r="F351" s="103">
        <v>0.35416666666666669</v>
      </c>
      <c r="G351" s="103">
        <v>0.33333333333333331</v>
      </c>
      <c r="H351" s="103">
        <v>0.375</v>
      </c>
      <c r="I351" s="90">
        <f t="shared" si="56"/>
        <v>0.50000000000000089</v>
      </c>
      <c r="J351" s="90">
        <f t="shared" si="51"/>
        <v>1.0000000000000004</v>
      </c>
      <c r="K351" s="91">
        <f t="shared" si="59"/>
        <v>0.66666666666666663</v>
      </c>
      <c r="L351" s="91">
        <f t="shared" si="60"/>
        <v>4.375</v>
      </c>
      <c r="M351" s="29">
        <f t="shared" si="57"/>
        <v>20</v>
      </c>
      <c r="N351" s="92">
        <f t="shared" si="52"/>
        <v>0.50000000000000089</v>
      </c>
      <c r="O351" s="104">
        <f t="shared" si="53"/>
        <v>1.016</v>
      </c>
      <c r="P351" s="105">
        <f t="shared" si="54"/>
        <v>7.1120000000000116</v>
      </c>
    </row>
    <row r="352" spans="2:16" x14ac:dyDescent="0.25">
      <c r="B352" s="88" t="str">
        <f t="shared" si="55"/>
        <v>Fazenda Altenor</v>
      </c>
      <c r="C352" s="106">
        <f t="shared" si="58"/>
        <v>2020</v>
      </c>
      <c r="D352" s="101">
        <v>43911</v>
      </c>
      <c r="E352" s="102">
        <v>0.375</v>
      </c>
      <c r="F352" s="103">
        <v>0.39583333333333331</v>
      </c>
      <c r="G352" s="103">
        <v>0.375</v>
      </c>
      <c r="H352" s="103">
        <v>0.41666666666666669</v>
      </c>
      <c r="I352" s="90">
        <f t="shared" si="56"/>
        <v>0.49999999999999956</v>
      </c>
      <c r="J352" s="90">
        <f t="shared" si="51"/>
        <v>1.0000000000000004</v>
      </c>
      <c r="K352" s="91">
        <f t="shared" si="59"/>
        <v>0.66666666666666663</v>
      </c>
      <c r="L352" s="91">
        <f t="shared" si="60"/>
        <v>4.375</v>
      </c>
      <c r="M352" s="29">
        <f t="shared" si="57"/>
        <v>20</v>
      </c>
      <c r="N352" s="92">
        <f t="shared" si="52"/>
        <v>0.49999999999999956</v>
      </c>
      <c r="O352" s="104">
        <f t="shared" si="53"/>
        <v>1.016</v>
      </c>
      <c r="P352" s="105">
        <f t="shared" si="54"/>
        <v>7.111999999999993</v>
      </c>
    </row>
    <row r="353" spans="2:16" x14ac:dyDescent="0.25">
      <c r="B353" s="88" t="str">
        <f t="shared" si="55"/>
        <v>Fazenda Altenor</v>
      </c>
      <c r="C353" s="106">
        <f t="shared" si="58"/>
        <v>2020</v>
      </c>
      <c r="D353" s="101">
        <v>43912</v>
      </c>
      <c r="E353" s="102"/>
      <c r="F353" s="103"/>
      <c r="G353" s="103"/>
      <c r="H353" s="103"/>
      <c r="I353" s="90">
        <f t="shared" si="56"/>
        <v>0</v>
      </c>
      <c r="J353" s="90">
        <f t="shared" si="51"/>
        <v>0</v>
      </c>
      <c r="K353" s="91">
        <f t="shared" si="59"/>
        <v>0.66666666666666663</v>
      </c>
      <c r="L353" s="91">
        <f t="shared" si="60"/>
        <v>4.375</v>
      </c>
      <c r="M353" s="29">
        <f t="shared" si="57"/>
        <v>20</v>
      </c>
      <c r="N353" s="92">
        <f t="shared" si="52"/>
        <v>0</v>
      </c>
      <c r="O353" s="104">
        <f t="shared" si="53"/>
        <v>1.016</v>
      </c>
      <c r="P353" s="105">
        <f t="shared" si="54"/>
        <v>0</v>
      </c>
    </row>
    <row r="354" spans="2:16" x14ac:dyDescent="0.25">
      <c r="B354" s="88" t="str">
        <f t="shared" si="55"/>
        <v>Fazenda Altenor</v>
      </c>
      <c r="C354" s="106">
        <f t="shared" si="58"/>
        <v>2020</v>
      </c>
      <c r="D354" s="101">
        <v>43913</v>
      </c>
      <c r="E354" s="102">
        <v>0.29166666666666669</v>
      </c>
      <c r="F354" s="103">
        <v>0.3125</v>
      </c>
      <c r="G354" s="103">
        <v>0.29166666666666669</v>
      </c>
      <c r="H354" s="103">
        <v>0.33333333333333331</v>
      </c>
      <c r="I354" s="90">
        <f t="shared" si="56"/>
        <v>0.49999999999999956</v>
      </c>
      <c r="J354" s="90">
        <f t="shared" si="51"/>
        <v>0.99999999999999911</v>
      </c>
      <c r="K354" s="91">
        <f t="shared" si="59"/>
        <v>0.66666666666666663</v>
      </c>
      <c r="L354" s="91">
        <f t="shared" si="60"/>
        <v>4.375</v>
      </c>
      <c r="M354" s="29">
        <f t="shared" si="57"/>
        <v>20</v>
      </c>
      <c r="N354" s="92">
        <f t="shared" si="52"/>
        <v>0.49999999999999956</v>
      </c>
      <c r="O354" s="104">
        <f t="shared" si="53"/>
        <v>1.016</v>
      </c>
      <c r="P354" s="105">
        <f t="shared" si="54"/>
        <v>7.111999999999993</v>
      </c>
    </row>
    <row r="355" spans="2:16" x14ac:dyDescent="0.25">
      <c r="B355" s="88" t="str">
        <f t="shared" si="55"/>
        <v>Fazenda Altenor</v>
      </c>
      <c r="C355" s="106">
        <f t="shared" si="58"/>
        <v>2020</v>
      </c>
      <c r="D355" s="101">
        <v>43914</v>
      </c>
      <c r="E355" s="102">
        <v>0.33333333333333331</v>
      </c>
      <c r="F355" s="103">
        <v>0.35416666666666669</v>
      </c>
      <c r="G355" s="103">
        <v>0.33333333333333331</v>
      </c>
      <c r="H355" s="103">
        <v>0.375</v>
      </c>
      <c r="I355" s="90">
        <f t="shared" si="56"/>
        <v>0.50000000000000089</v>
      </c>
      <c r="J355" s="90">
        <f t="shared" si="51"/>
        <v>1.0000000000000004</v>
      </c>
      <c r="K355" s="91">
        <f t="shared" si="59"/>
        <v>0.66666666666666663</v>
      </c>
      <c r="L355" s="91">
        <f t="shared" si="60"/>
        <v>4.375</v>
      </c>
      <c r="M355" s="29">
        <f t="shared" si="57"/>
        <v>20</v>
      </c>
      <c r="N355" s="92">
        <f t="shared" si="52"/>
        <v>0.50000000000000089</v>
      </c>
      <c r="O355" s="104">
        <f t="shared" si="53"/>
        <v>1.016</v>
      </c>
      <c r="P355" s="105">
        <f t="shared" si="54"/>
        <v>7.1120000000000116</v>
      </c>
    </row>
    <row r="356" spans="2:16" x14ac:dyDescent="0.25">
      <c r="B356" s="88" t="str">
        <f t="shared" si="55"/>
        <v>Fazenda Altenor</v>
      </c>
      <c r="C356" s="106">
        <f t="shared" si="58"/>
        <v>2020</v>
      </c>
      <c r="D356" s="101">
        <v>43915</v>
      </c>
      <c r="E356" s="102">
        <v>0.3125</v>
      </c>
      <c r="F356" s="103">
        <v>0.33333333333333331</v>
      </c>
      <c r="G356" s="103">
        <v>0.3125</v>
      </c>
      <c r="H356" s="103">
        <v>0.35416666666666669</v>
      </c>
      <c r="I356" s="90">
        <f t="shared" si="56"/>
        <v>0.49999999999999956</v>
      </c>
      <c r="J356" s="90">
        <f t="shared" si="51"/>
        <v>1.0000000000000004</v>
      </c>
      <c r="K356" s="91">
        <f t="shared" si="59"/>
        <v>0.66666666666666663</v>
      </c>
      <c r="L356" s="91">
        <f t="shared" si="60"/>
        <v>4.375</v>
      </c>
      <c r="M356" s="29">
        <f t="shared" si="57"/>
        <v>20</v>
      </c>
      <c r="N356" s="92">
        <f t="shared" si="52"/>
        <v>0.49999999999999956</v>
      </c>
      <c r="O356" s="104">
        <f t="shared" si="53"/>
        <v>1.016</v>
      </c>
      <c r="P356" s="105">
        <f t="shared" si="54"/>
        <v>7.111999999999993</v>
      </c>
    </row>
    <row r="357" spans="2:16" x14ac:dyDescent="0.25">
      <c r="B357" s="88" t="str">
        <f t="shared" si="55"/>
        <v>Fazenda Altenor</v>
      </c>
      <c r="C357" s="106">
        <f t="shared" si="58"/>
        <v>2020</v>
      </c>
      <c r="D357" s="101">
        <v>43916</v>
      </c>
      <c r="E357" s="102">
        <v>0.33333333333333331</v>
      </c>
      <c r="F357" s="103">
        <v>0.35416666666666669</v>
      </c>
      <c r="G357" s="103">
        <v>0.33333333333333331</v>
      </c>
      <c r="H357" s="103">
        <v>0.375</v>
      </c>
      <c r="I357" s="90">
        <f t="shared" si="56"/>
        <v>0.50000000000000089</v>
      </c>
      <c r="J357" s="90">
        <f t="shared" si="51"/>
        <v>1.0000000000000004</v>
      </c>
      <c r="K357" s="91">
        <f t="shared" si="59"/>
        <v>0.66666666666666663</v>
      </c>
      <c r="L357" s="91">
        <f t="shared" si="60"/>
        <v>4.375</v>
      </c>
      <c r="M357" s="29">
        <f t="shared" si="57"/>
        <v>20</v>
      </c>
      <c r="N357" s="92">
        <f t="shared" si="52"/>
        <v>0.50000000000000089</v>
      </c>
      <c r="O357" s="104">
        <f t="shared" si="53"/>
        <v>1.016</v>
      </c>
      <c r="P357" s="105">
        <f t="shared" si="54"/>
        <v>7.1120000000000116</v>
      </c>
    </row>
    <row r="358" spans="2:16" x14ac:dyDescent="0.25">
      <c r="B358" s="88" t="str">
        <f t="shared" si="55"/>
        <v>Fazenda Altenor</v>
      </c>
      <c r="C358" s="106">
        <f t="shared" si="58"/>
        <v>2020</v>
      </c>
      <c r="D358" s="101">
        <v>43917</v>
      </c>
      <c r="E358" s="102">
        <v>0.35416666666666669</v>
      </c>
      <c r="F358" s="103">
        <v>0.375</v>
      </c>
      <c r="G358" s="103">
        <v>0.35416666666666669</v>
      </c>
      <c r="H358" s="103">
        <v>0.39583333333333331</v>
      </c>
      <c r="I358" s="90">
        <f t="shared" si="56"/>
        <v>0.49999999999999956</v>
      </c>
      <c r="J358" s="90">
        <f t="shared" si="51"/>
        <v>0.99999999999999911</v>
      </c>
      <c r="K358" s="91">
        <f t="shared" si="59"/>
        <v>0.66666666666666663</v>
      </c>
      <c r="L358" s="91">
        <f t="shared" si="60"/>
        <v>4.375</v>
      </c>
      <c r="M358" s="29">
        <f t="shared" si="57"/>
        <v>20</v>
      </c>
      <c r="N358" s="92">
        <f t="shared" si="52"/>
        <v>0.49999999999999956</v>
      </c>
      <c r="O358" s="104">
        <f t="shared" si="53"/>
        <v>1.016</v>
      </c>
      <c r="P358" s="105">
        <f t="shared" si="54"/>
        <v>7.111999999999993</v>
      </c>
    </row>
    <row r="359" spans="2:16" x14ac:dyDescent="0.25">
      <c r="B359" s="88" t="str">
        <f t="shared" si="55"/>
        <v>Fazenda Altenor</v>
      </c>
      <c r="C359" s="106">
        <f t="shared" si="58"/>
        <v>2020</v>
      </c>
      <c r="D359" s="101">
        <v>43918</v>
      </c>
      <c r="E359" s="102">
        <v>0.29166666666666669</v>
      </c>
      <c r="F359" s="103">
        <v>0.3125</v>
      </c>
      <c r="G359" s="103">
        <v>0.29166666666666669</v>
      </c>
      <c r="H359" s="103">
        <v>0.33333333333333331</v>
      </c>
      <c r="I359" s="90">
        <f t="shared" si="56"/>
        <v>0.49999999999999956</v>
      </c>
      <c r="J359" s="90">
        <f t="shared" si="51"/>
        <v>0.99999999999999911</v>
      </c>
      <c r="K359" s="91">
        <f t="shared" si="59"/>
        <v>0.66666666666666663</v>
      </c>
      <c r="L359" s="91">
        <f t="shared" si="60"/>
        <v>4.375</v>
      </c>
      <c r="M359" s="29">
        <f t="shared" si="57"/>
        <v>20</v>
      </c>
      <c r="N359" s="92">
        <f t="shared" si="52"/>
        <v>0.49999999999999956</v>
      </c>
      <c r="O359" s="104">
        <f t="shared" si="53"/>
        <v>1.016</v>
      </c>
      <c r="P359" s="105">
        <f t="shared" si="54"/>
        <v>7.111999999999993</v>
      </c>
    </row>
    <row r="360" spans="2:16" x14ac:dyDescent="0.25">
      <c r="B360" s="88" t="str">
        <f t="shared" si="55"/>
        <v>Fazenda Altenor</v>
      </c>
      <c r="C360" s="106">
        <f t="shared" si="58"/>
        <v>2020</v>
      </c>
      <c r="D360" s="101">
        <v>43919</v>
      </c>
      <c r="E360" s="102">
        <v>0.3125</v>
      </c>
      <c r="F360" s="103">
        <v>0.33333333333333331</v>
      </c>
      <c r="G360" s="103">
        <v>0.29166666666666669</v>
      </c>
      <c r="H360" s="103">
        <v>0.35416666666666669</v>
      </c>
      <c r="I360" s="90">
        <f t="shared" si="56"/>
        <v>0.49999999999999956</v>
      </c>
      <c r="J360" s="90">
        <f t="shared" si="51"/>
        <v>1.5</v>
      </c>
      <c r="K360" s="91">
        <f t="shared" si="59"/>
        <v>0.66666666666666663</v>
      </c>
      <c r="L360" s="91">
        <f t="shared" si="60"/>
        <v>4.375</v>
      </c>
      <c r="M360" s="29">
        <f t="shared" si="57"/>
        <v>20</v>
      </c>
      <c r="N360" s="92">
        <f t="shared" si="52"/>
        <v>0.49999999999999956</v>
      </c>
      <c r="O360" s="104">
        <f t="shared" si="53"/>
        <v>1.016</v>
      </c>
      <c r="P360" s="105">
        <f t="shared" si="54"/>
        <v>7.111999999999993</v>
      </c>
    </row>
    <row r="361" spans="2:16" x14ac:dyDescent="0.25">
      <c r="B361" s="88" t="str">
        <f t="shared" si="55"/>
        <v>Fazenda Altenor</v>
      </c>
      <c r="C361" s="106">
        <f t="shared" si="58"/>
        <v>2020</v>
      </c>
      <c r="D361" s="101">
        <v>43920</v>
      </c>
      <c r="E361" s="102">
        <v>0.33333333333333331</v>
      </c>
      <c r="F361" s="103">
        <v>0.35416666666666669</v>
      </c>
      <c r="G361" s="103">
        <v>0.33333333333333331</v>
      </c>
      <c r="H361" s="103">
        <v>0.375</v>
      </c>
      <c r="I361" s="90">
        <f t="shared" si="56"/>
        <v>0.50000000000000089</v>
      </c>
      <c r="J361" s="90">
        <f t="shared" si="51"/>
        <v>1.0000000000000004</v>
      </c>
      <c r="K361" s="91">
        <f t="shared" si="59"/>
        <v>0.66666666666666663</v>
      </c>
      <c r="L361" s="91">
        <f t="shared" si="60"/>
        <v>4.375</v>
      </c>
      <c r="M361" s="29">
        <f t="shared" si="57"/>
        <v>20</v>
      </c>
      <c r="N361" s="92">
        <f t="shared" si="52"/>
        <v>0.50000000000000089</v>
      </c>
      <c r="O361" s="104">
        <f t="shared" si="53"/>
        <v>1.016</v>
      </c>
      <c r="P361" s="105">
        <f t="shared" si="54"/>
        <v>7.1120000000000116</v>
      </c>
    </row>
    <row r="362" spans="2:16" x14ac:dyDescent="0.25">
      <c r="B362" s="88" t="str">
        <f t="shared" si="55"/>
        <v>Fazenda Altenor</v>
      </c>
      <c r="C362" s="106">
        <f t="shared" si="58"/>
        <v>2020</v>
      </c>
      <c r="D362" s="101">
        <v>43921</v>
      </c>
      <c r="E362" s="102">
        <v>0.29166666666666669</v>
      </c>
      <c r="F362" s="103">
        <v>0.3125</v>
      </c>
      <c r="G362" s="103">
        <v>0.29166666666666669</v>
      </c>
      <c r="H362" s="103">
        <v>0.33333333333333331</v>
      </c>
      <c r="I362" s="90">
        <f t="shared" si="56"/>
        <v>0.49999999999999956</v>
      </c>
      <c r="J362" s="90">
        <f t="shared" si="51"/>
        <v>0.99999999999999911</v>
      </c>
      <c r="K362" s="91">
        <f t="shared" si="59"/>
        <v>0.66666666666666663</v>
      </c>
      <c r="L362" s="91">
        <f t="shared" si="60"/>
        <v>4.375</v>
      </c>
      <c r="M362" s="29">
        <f t="shared" si="57"/>
        <v>20</v>
      </c>
      <c r="N362" s="92">
        <f t="shared" si="52"/>
        <v>0.49999999999999956</v>
      </c>
      <c r="O362" s="104">
        <f t="shared" si="53"/>
        <v>1.016</v>
      </c>
      <c r="P362" s="105">
        <f t="shared" si="54"/>
        <v>7.111999999999993</v>
      </c>
    </row>
    <row r="363" spans="2:16" x14ac:dyDescent="0.25">
      <c r="B363" s="88" t="str">
        <f t="shared" si="55"/>
        <v>Fazenda Altenor</v>
      </c>
      <c r="C363" s="106">
        <f t="shared" si="58"/>
        <v>2020</v>
      </c>
      <c r="D363" s="101">
        <v>43922</v>
      </c>
      <c r="E363" s="102">
        <v>0.33333333333333331</v>
      </c>
      <c r="F363" s="103">
        <v>0.35416666666666669</v>
      </c>
      <c r="G363" s="103">
        <v>0.33333333333333331</v>
      </c>
      <c r="H363" s="103">
        <v>0.375</v>
      </c>
      <c r="I363" s="90">
        <f t="shared" si="56"/>
        <v>0.50000000000000089</v>
      </c>
      <c r="J363" s="90">
        <f t="shared" si="51"/>
        <v>1.0000000000000004</v>
      </c>
      <c r="K363" s="91">
        <f t="shared" si="59"/>
        <v>0.66666666666666663</v>
      </c>
      <c r="L363" s="91">
        <f t="shared" si="60"/>
        <v>4.375</v>
      </c>
      <c r="M363" s="29">
        <f t="shared" si="57"/>
        <v>20</v>
      </c>
      <c r="N363" s="92">
        <f t="shared" si="52"/>
        <v>0.50000000000000089</v>
      </c>
      <c r="O363" s="104">
        <f t="shared" si="53"/>
        <v>1.016</v>
      </c>
      <c r="P363" s="105">
        <f t="shared" si="54"/>
        <v>7.1120000000000116</v>
      </c>
    </row>
    <row r="364" spans="2:16" x14ac:dyDescent="0.25">
      <c r="B364" s="88" t="str">
        <f t="shared" si="55"/>
        <v>Fazenda Altenor</v>
      </c>
      <c r="C364" s="106">
        <f t="shared" si="58"/>
        <v>2020</v>
      </c>
      <c r="D364" s="101">
        <v>43923</v>
      </c>
      <c r="E364" s="102">
        <v>0.375</v>
      </c>
      <c r="F364" s="103">
        <v>0.39583333333333331</v>
      </c>
      <c r="G364" s="103">
        <v>0.33333333333333331</v>
      </c>
      <c r="H364" s="103">
        <v>0.375</v>
      </c>
      <c r="I364" s="90">
        <f t="shared" si="56"/>
        <v>0.49999999999999956</v>
      </c>
      <c r="J364" s="90">
        <f t="shared" si="51"/>
        <v>1.0000000000000004</v>
      </c>
      <c r="K364" s="91">
        <f t="shared" si="59"/>
        <v>0.66666666666666663</v>
      </c>
      <c r="L364" s="91">
        <f t="shared" si="60"/>
        <v>4.375</v>
      </c>
      <c r="M364" s="29">
        <f t="shared" si="57"/>
        <v>20</v>
      </c>
      <c r="N364" s="92">
        <f t="shared" si="52"/>
        <v>0.49999999999999956</v>
      </c>
      <c r="O364" s="104">
        <f t="shared" si="53"/>
        <v>1.016</v>
      </c>
      <c r="P364" s="105">
        <f t="shared" si="54"/>
        <v>7.111999999999993</v>
      </c>
    </row>
    <row r="365" spans="2:16" x14ac:dyDescent="0.25">
      <c r="B365" s="88" t="str">
        <f t="shared" si="55"/>
        <v>Fazenda Altenor</v>
      </c>
      <c r="C365" s="106">
        <f t="shared" si="58"/>
        <v>2020</v>
      </c>
      <c r="D365" s="101">
        <v>43924</v>
      </c>
      <c r="E365" s="102">
        <v>0.3125</v>
      </c>
      <c r="F365" s="103">
        <v>0.33333333333333331</v>
      </c>
      <c r="G365" s="103">
        <v>0.3125</v>
      </c>
      <c r="H365" s="103">
        <v>0.36458333333333331</v>
      </c>
      <c r="I365" s="90">
        <f t="shared" si="56"/>
        <v>0.49999999999999956</v>
      </c>
      <c r="J365" s="90">
        <f t="shared" si="51"/>
        <v>1.2499999999999996</v>
      </c>
      <c r="K365" s="91">
        <f t="shared" si="59"/>
        <v>0.66666666666666663</v>
      </c>
      <c r="L365" s="91">
        <f t="shared" si="60"/>
        <v>4.375</v>
      </c>
      <c r="M365" s="29">
        <f t="shared" si="57"/>
        <v>20</v>
      </c>
      <c r="N365" s="92">
        <f t="shared" si="52"/>
        <v>0.49999999999999956</v>
      </c>
      <c r="O365" s="104">
        <f t="shared" si="53"/>
        <v>1.016</v>
      </c>
      <c r="P365" s="105">
        <f t="shared" si="54"/>
        <v>7.111999999999993</v>
      </c>
    </row>
    <row r="366" spans="2:16" x14ac:dyDescent="0.25">
      <c r="B366" s="88" t="str">
        <f t="shared" si="55"/>
        <v>Fazenda Altenor</v>
      </c>
      <c r="C366" s="106">
        <f t="shared" si="58"/>
        <v>2020</v>
      </c>
      <c r="D366" s="101">
        <v>43925</v>
      </c>
      <c r="E366" s="102">
        <v>0.33333333333333331</v>
      </c>
      <c r="F366" s="103">
        <v>0.35416666666666669</v>
      </c>
      <c r="G366" s="103">
        <v>0.33333333333333331</v>
      </c>
      <c r="H366" s="103">
        <v>0.375</v>
      </c>
      <c r="I366" s="90">
        <f t="shared" si="56"/>
        <v>0.50000000000000089</v>
      </c>
      <c r="J366" s="90">
        <f t="shared" si="51"/>
        <v>1.0000000000000004</v>
      </c>
      <c r="K366" s="91">
        <f t="shared" si="59"/>
        <v>0.66666666666666663</v>
      </c>
      <c r="L366" s="91">
        <f t="shared" si="60"/>
        <v>4.375</v>
      </c>
      <c r="M366" s="29">
        <f t="shared" si="57"/>
        <v>20</v>
      </c>
      <c r="N366" s="92">
        <f t="shared" si="52"/>
        <v>0.50000000000000089</v>
      </c>
      <c r="O366" s="104">
        <f t="shared" si="53"/>
        <v>1.016</v>
      </c>
      <c r="P366" s="105">
        <f t="shared" si="54"/>
        <v>7.1120000000000116</v>
      </c>
    </row>
    <row r="367" spans="2:16" x14ac:dyDescent="0.25">
      <c r="B367" s="88" t="str">
        <f t="shared" si="55"/>
        <v>Fazenda Altenor</v>
      </c>
      <c r="C367" s="106">
        <f t="shared" si="58"/>
        <v>2020</v>
      </c>
      <c r="D367" s="101">
        <v>43926</v>
      </c>
      <c r="E367" s="102">
        <v>0.29166666666666669</v>
      </c>
      <c r="F367" s="103">
        <v>0.3125</v>
      </c>
      <c r="G367" s="103">
        <v>0.29166666666666669</v>
      </c>
      <c r="H367" s="103">
        <v>0.33333333333333331</v>
      </c>
      <c r="I367" s="90">
        <f t="shared" si="56"/>
        <v>0.49999999999999956</v>
      </c>
      <c r="J367" s="90">
        <f t="shared" si="51"/>
        <v>0.99999999999999911</v>
      </c>
      <c r="K367" s="91">
        <f t="shared" si="59"/>
        <v>0.66666666666666663</v>
      </c>
      <c r="L367" s="91">
        <f t="shared" si="60"/>
        <v>4.375</v>
      </c>
      <c r="M367" s="29">
        <f t="shared" si="57"/>
        <v>20</v>
      </c>
      <c r="N367" s="92">
        <f t="shared" si="52"/>
        <v>0.49999999999999956</v>
      </c>
      <c r="O367" s="104">
        <f t="shared" si="53"/>
        <v>1.016</v>
      </c>
      <c r="P367" s="105">
        <f t="shared" si="54"/>
        <v>7.111999999999993</v>
      </c>
    </row>
    <row r="368" spans="2:16" x14ac:dyDescent="0.25">
      <c r="B368" s="88" t="str">
        <f t="shared" si="55"/>
        <v>Fazenda Altenor</v>
      </c>
      <c r="C368" s="106">
        <f t="shared" si="58"/>
        <v>2020</v>
      </c>
      <c r="D368" s="101">
        <v>43927</v>
      </c>
      <c r="E368" s="102"/>
      <c r="F368" s="103"/>
      <c r="G368" s="103"/>
      <c r="H368" s="103"/>
      <c r="I368" s="90">
        <f t="shared" si="56"/>
        <v>0</v>
      </c>
      <c r="J368" s="90">
        <f t="shared" si="51"/>
        <v>0</v>
      </c>
      <c r="K368" s="91">
        <f t="shared" si="59"/>
        <v>0.66666666666666663</v>
      </c>
      <c r="L368" s="91">
        <f t="shared" si="60"/>
        <v>4.375</v>
      </c>
      <c r="M368" s="29">
        <f t="shared" si="57"/>
        <v>20</v>
      </c>
      <c r="N368" s="92">
        <f t="shared" si="52"/>
        <v>0</v>
      </c>
      <c r="O368" s="104">
        <f t="shared" si="53"/>
        <v>1.016</v>
      </c>
      <c r="P368" s="105">
        <f t="shared" si="54"/>
        <v>0</v>
      </c>
    </row>
    <row r="369" spans="2:16" x14ac:dyDescent="0.25">
      <c r="B369" s="88" t="str">
        <f t="shared" si="55"/>
        <v>Fazenda Altenor</v>
      </c>
      <c r="C369" s="106">
        <f t="shared" si="58"/>
        <v>2020</v>
      </c>
      <c r="D369" s="101">
        <v>43928</v>
      </c>
      <c r="E369" s="102">
        <v>0.33333333333333331</v>
      </c>
      <c r="F369" s="103">
        <v>0.35416666666666669</v>
      </c>
      <c r="G369" s="103">
        <v>0.33333333333333331</v>
      </c>
      <c r="H369" s="103">
        <v>0.375</v>
      </c>
      <c r="I369" s="90">
        <f t="shared" si="56"/>
        <v>0.50000000000000089</v>
      </c>
      <c r="J369" s="90">
        <f t="shared" si="51"/>
        <v>1.0000000000000004</v>
      </c>
      <c r="K369" s="91">
        <f t="shared" si="59"/>
        <v>0.66666666666666663</v>
      </c>
      <c r="L369" s="91">
        <f t="shared" si="60"/>
        <v>4.375</v>
      </c>
      <c r="M369" s="29">
        <f t="shared" si="57"/>
        <v>20</v>
      </c>
      <c r="N369" s="92">
        <f t="shared" si="52"/>
        <v>0.50000000000000089</v>
      </c>
      <c r="O369" s="104">
        <f t="shared" si="53"/>
        <v>1.016</v>
      </c>
      <c r="P369" s="105">
        <f t="shared" si="54"/>
        <v>7.1120000000000116</v>
      </c>
    </row>
    <row r="370" spans="2:16" x14ac:dyDescent="0.25">
      <c r="B370" s="88" t="str">
        <f t="shared" si="55"/>
        <v>Fazenda Altenor</v>
      </c>
      <c r="C370" s="106">
        <f t="shared" si="58"/>
        <v>2020</v>
      </c>
      <c r="D370" s="101">
        <v>43929</v>
      </c>
      <c r="E370" s="102">
        <v>0.35416666666666669</v>
      </c>
      <c r="F370" s="103">
        <v>0.375</v>
      </c>
      <c r="G370" s="103">
        <v>0.35416666666666669</v>
      </c>
      <c r="H370" s="103">
        <v>0.39583333333333331</v>
      </c>
      <c r="I370" s="90">
        <f t="shared" si="56"/>
        <v>0.49999999999999956</v>
      </c>
      <c r="J370" s="90">
        <f t="shared" si="51"/>
        <v>0.99999999999999911</v>
      </c>
      <c r="K370" s="91">
        <f t="shared" si="59"/>
        <v>0.66666666666666663</v>
      </c>
      <c r="L370" s="91">
        <f t="shared" si="60"/>
        <v>4.375</v>
      </c>
      <c r="M370" s="29">
        <f t="shared" si="57"/>
        <v>20</v>
      </c>
      <c r="N370" s="92">
        <f t="shared" si="52"/>
        <v>0.49999999999999956</v>
      </c>
      <c r="O370" s="104">
        <f t="shared" si="53"/>
        <v>1.016</v>
      </c>
      <c r="P370" s="105">
        <f t="shared" si="54"/>
        <v>7.111999999999993</v>
      </c>
    </row>
    <row r="371" spans="2:16" x14ac:dyDescent="0.25">
      <c r="B371" s="88" t="str">
        <f t="shared" si="55"/>
        <v>Fazenda Altenor</v>
      </c>
      <c r="C371" s="106">
        <f t="shared" si="58"/>
        <v>2020</v>
      </c>
      <c r="D371" s="101">
        <v>43930</v>
      </c>
      <c r="E371" s="102">
        <v>0.375</v>
      </c>
      <c r="F371" s="103">
        <v>0.39583333333333331</v>
      </c>
      <c r="G371" s="103">
        <v>0.375</v>
      </c>
      <c r="H371" s="103">
        <v>0.41666666666666669</v>
      </c>
      <c r="I371" s="90">
        <f t="shared" si="56"/>
        <v>0.49999999999999956</v>
      </c>
      <c r="J371" s="90">
        <f t="shared" si="51"/>
        <v>1.0000000000000004</v>
      </c>
      <c r="K371" s="91">
        <f t="shared" si="59"/>
        <v>0.66666666666666663</v>
      </c>
      <c r="L371" s="91">
        <f t="shared" si="60"/>
        <v>4.375</v>
      </c>
      <c r="M371" s="29">
        <f t="shared" si="57"/>
        <v>20</v>
      </c>
      <c r="N371" s="92">
        <f t="shared" si="52"/>
        <v>0.49999999999999956</v>
      </c>
      <c r="O371" s="104">
        <f t="shared" si="53"/>
        <v>1.016</v>
      </c>
      <c r="P371" s="105">
        <f t="shared" si="54"/>
        <v>7.111999999999993</v>
      </c>
    </row>
    <row r="372" spans="2:16" x14ac:dyDescent="0.25">
      <c r="B372" s="88" t="str">
        <f t="shared" si="55"/>
        <v>Fazenda Altenor</v>
      </c>
      <c r="C372" s="106">
        <f t="shared" si="58"/>
        <v>2020</v>
      </c>
      <c r="D372" s="101">
        <v>43931</v>
      </c>
      <c r="E372" s="102">
        <v>0.29166666666666669</v>
      </c>
      <c r="F372" s="103">
        <v>0.3125</v>
      </c>
      <c r="G372" s="103">
        <v>0.29166666666666669</v>
      </c>
      <c r="H372" s="103">
        <v>0.33333333333333331</v>
      </c>
      <c r="I372" s="90">
        <f t="shared" si="56"/>
        <v>0.49999999999999956</v>
      </c>
      <c r="J372" s="90">
        <f t="shared" si="51"/>
        <v>0.99999999999999911</v>
      </c>
      <c r="K372" s="91">
        <f t="shared" si="59"/>
        <v>0.66666666666666663</v>
      </c>
      <c r="L372" s="91">
        <f t="shared" si="60"/>
        <v>4.375</v>
      </c>
      <c r="M372" s="29">
        <f t="shared" si="57"/>
        <v>20</v>
      </c>
      <c r="N372" s="92">
        <f t="shared" si="52"/>
        <v>0.49999999999999956</v>
      </c>
      <c r="O372" s="104">
        <f t="shared" si="53"/>
        <v>1.016</v>
      </c>
      <c r="P372" s="105">
        <f t="shared" si="54"/>
        <v>7.111999999999993</v>
      </c>
    </row>
    <row r="373" spans="2:16" x14ac:dyDescent="0.25">
      <c r="B373" s="88" t="str">
        <f t="shared" si="55"/>
        <v>Fazenda Altenor</v>
      </c>
      <c r="C373" s="106">
        <f t="shared" si="58"/>
        <v>2020</v>
      </c>
      <c r="D373" s="101">
        <v>43932</v>
      </c>
      <c r="E373" s="102">
        <v>0.3125</v>
      </c>
      <c r="F373" s="103">
        <v>0.33333333333333331</v>
      </c>
      <c r="G373" s="103">
        <v>0.3125</v>
      </c>
      <c r="H373" s="103">
        <v>0.35416666666666669</v>
      </c>
      <c r="I373" s="90">
        <f t="shared" si="56"/>
        <v>0.49999999999999956</v>
      </c>
      <c r="J373" s="90">
        <f t="shared" si="51"/>
        <v>1.0000000000000004</v>
      </c>
      <c r="K373" s="91">
        <f t="shared" si="59"/>
        <v>0.66666666666666663</v>
      </c>
      <c r="L373" s="91">
        <f t="shared" si="60"/>
        <v>4.375</v>
      </c>
      <c r="M373" s="29">
        <f t="shared" si="57"/>
        <v>20</v>
      </c>
      <c r="N373" s="92">
        <f t="shared" si="52"/>
        <v>0.49999999999999956</v>
      </c>
      <c r="O373" s="104">
        <f t="shared" si="53"/>
        <v>1.016</v>
      </c>
      <c r="P373" s="105">
        <f t="shared" si="54"/>
        <v>7.111999999999993</v>
      </c>
    </row>
    <row r="374" spans="2:16" x14ac:dyDescent="0.25">
      <c r="B374" s="88" t="str">
        <f t="shared" si="55"/>
        <v>Fazenda Altenor</v>
      </c>
      <c r="C374" s="106">
        <f t="shared" si="58"/>
        <v>2020</v>
      </c>
      <c r="D374" s="101">
        <v>43933</v>
      </c>
      <c r="E374" s="102">
        <v>0.33333333333333331</v>
      </c>
      <c r="F374" s="103">
        <v>0.35416666666666669</v>
      </c>
      <c r="G374" s="103">
        <v>0.33333333333333331</v>
      </c>
      <c r="H374" s="103">
        <v>0.375</v>
      </c>
      <c r="I374" s="90">
        <f t="shared" si="56"/>
        <v>0.50000000000000089</v>
      </c>
      <c r="J374" s="90">
        <f t="shared" si="51"/>
        <v>1.0000000000000004</v>
      </c>
      <c r="K374" s="91">
        <f t="shared" si="59"/>
        <v>0.66666666666666663</v>
      </c>
      <c r="L374" s="91">
        <f t="shared" si="60"/>
        <v>4.375</v>
      </c>
      <c r="M374" s="29">
        <f t="shared" si="57"/>
        <v>20</v>
      </c>
      <c r="N374" s="92">
        <f t="shared" si="52"/>
        <v>0.50000000000000089</v>
      </c>
      <c r="O374" s="104">
        <f t="shared" si="53"/>
        <v>1.016</v>
      </c>
      <c r="P374" s="105">
        <f t="shared" si="54"/>
        <v>7.1120000000000116</v>
      </c>
    </row>
    <row r="375" spans="2:16" x14ac:dyDescent="0.25">
      <c r="B375" s="88" t="str">
        <f t="shared" si="55"/>
        <v>Fazenda Altenor</v>
      </c>
      <c r="C375" s="106">
        <f t="shared" si="58"/>
        <v>2020</v>
      </c>
      <c r="D375" s="101">
        <v>43934</v>
      </c>
      <c r="E375" s="102">
        <v>0.375</v>
      </c>
      <c r="F375" s="102">
        <v>0.39583333333333331</v>
      </c>
      <c r="G375" s="103">
        <v>0.375</v>
      </c>
      <c r="H375" s="103">
        <v>0.41666666666666669</v>
      </c>
      <c r="I375" s="90">
        <f t="shared" si="56"/>
        <v>0.49999999999999956</v>
      </c>
      <c r="J375" s="90">
        <f t="shared" si="51"/>
        <v>1.0000000000000004</v>
      </c>
      <c r="K375" s="91">
        <f t="shared" si="59"/>
        <v>0.66666666666666663</v>
      </c>
      <c r="L375" s="91">
        <f t="shared" si="60"/>
        <v>4.375</v>
      </c>
      <c r="M375" s="29">
        <f t="shared" si="57"/>
        <v>20</v>
      </c>
      <c r="N375" s="92">
        <f t="shared" si="52"/>
        <v>0.49999999999999956</v>
      </c>
      <c r="O375" s="104">
        <f t="shared" si="53"/>
        <v>1.016</v>
      </c>
      <c r="P375" s="105">
        <f t="shared" si="54"/>
        <v>7.111999999999993</v>
      </c>
    </row>
    <row r="376" spans="2:16" x14ac:dyDescent="0.25">
      <c r="B376" s="88" t="str">
        <f t="shared" si="55"/>
        <v>Fazenda Altenor</v>
      </c>
      <c r="C376" s="106">
        <f t="shared" si="58"/>
        <v>2020</v>
      </c>
      <c r="D376" s="101">
        <v>43935</v>
      </c>
      <c r="E376" s="102">
        <v>0.35416666666666669</v>
      </c>
      <c r="F376" s="103">
        <v>0.375</v>
      </c>
      <c r="G376" s="103">
        <v>0.35416666666666669</v>
      </c>
      <c r="H376" s="103">
        <v>0.40625</v>
      </c>
      <c r="I376" s="90">
        <f t="shared" si="56"/>
        <v>0.49999999999999956</v>
      </c>
      <c r="J376" s="90">
        <f t="shared" si="51"/>
        <v>1.2499999999999996</v>
      </c>
      <c r="K376" s="91">
        <f t="shared" si="59"/>
        <v>0.66666666666666663</v>
      </c>
      <c r="L376" s="91">
        <f t="shared" si="60"/>
        <v>4.375</v>
      </c>
      <c r="M376" s="29">
        <f t="shared" si="57"/>
        <v>20</v>
      </c>
      <c r="N376" s="92">
        <f t="shared" si="52"/>
        <v>0.49999999999999956</v>
      </c>
      <c r="O376" s="104">
        <f t="shared" si="53"/>
        <v>1.016</v>
      </c>
      <c r="P376" s="105">
        <f t="shared" si="54"/>
        <v>7.111999999999993</v>
      </c>
    </row>
    <row r="377" spans="2:16" x14ac:dyDescent="0.25">
      <c r="B377" s="88" t="str">
        <f t="shared" si="55"/>
        <v>Fazenda Altenor</v>
      </c>
      <c r="C377" s="106">
        <f t="shared" si="58"/>
        <v>2020</v>
      </c>
      <c r="D377" s="101">
        <v>43936</v>
      </c>
      <c r="E377" s="102">
        <v>0.375</v>
      </c>
      <c r="F377" s="103">
        <v>0.39583333333333331</v>
      </c>
      <c r="G377" s="103">
        <v>0.375</v>
      </c>
      <c r="H377" s="103">
        <v>0.41666666666666669</v>
      </c>
      <c r="I377" s="90">
        <f t="shared" si="56"/>
        <v>0.49999999999999956</v>
      </c>
      <c r="J377" s="90">
        <f t="shared" si="51"/>
        <v>1.0000000000000004</v>
      </c>
      <c r="K377" s="91">
        <f t="shared" si="59"/>
        <v>0.66666666666666663</v>
      </c>
      <c r="L377" s="91">
        <f t="shared" si="60"/>
        <v>4.375</v>
      </c>
      <c r="M377" s="29">
        <f t="shared" si="57"/>
        <v>20</v>
      </c>
      <c r="N377" s="92">
        <f t="shared" si="52"/>
        <v>0.49999999999999956</v>
      </c>
      <c r="O377" s="104">
        <f t="shared" si="53"/>
        <v>1.016</v>
      </c>
      <c r="P377" s="105">
        <f t="shared" si="54"/>
        <v>7.111999999999993</v>
      </c>
    </row>
    <row r="378" spans="2:16" x14ac:dyDescent="0.25">
      <c r="B378" s="88" t="str">
        <f t="shared" si="55"/>
        <v>Fazenda Altenor</v>
      </c>
      <c r="C378" s="106">
        <f t="shared" si="58"/>
        <v>2020</v>
      </c>
      <c r="D378" s="101">
        <v>43937</v>
      </c>
      <c r="E378" s="102">
        <v>0.29166666666666669</v>
      </c>
      <c r="F378" s="103">
        <v>0.3125</v>
      </c>
      <c r="G378" s="103">
        <v>0.29166666666666669</v>
      </c>
      <c r="H378" s="103">
        <v>0.33333333333333331</v>
      </c>
      <c r="I378" s="90">
        <f t="shared" si="56"/>
        <v>0.49999999999999956</v>
      </c>
      <c r="J378" s="90">
        <f t="shared" si="51"/>
        <v>0.99999999999999911</v>
      </c>
      <c r="K378" s="91">
        <f t="shared" si="59"/>
        <v>0.66666666666666663</v>
      </c>
      <c r="L378" s="91">
        <f t="shared" si="60"/>
        <v>4.375</v>
      </c>
      <c r="M378" s="29">
        <f t="shared" si="57"/>
        <v>20</v>
      </c>
      <c r="N378" s="92">
        <f t="shared" si="52"/>
        <v>0.49999999999999956</v>
      </c>
      <c r="O378" s="104">
        <f t="shared" si="53"/>
        <v>1.016</v>
      </c>
      <c r="P378" s="105">
        <f t="shared" si="54"/>
        <v>7.111999999999993</v>
      </c>
    </row>
    <row r="379" spans="2:16" x14ac:dyDescent="0.25">
      <c r="B379" s="88" t="str">
        <f t="shared" si="55"/>
        <v>Fazenda Altenor</v>
      </c>
      <c r="C379" s="106">
        <f t="shared" si="58"/>
        <v>2020</v>
      </c>
      <c r="D379" s="101">
        <v>43938</v>
      </c>
      <c r="E379" s="102">
        <v>0.3125</v>
      </c>
      <c r="F379" s="103">
        <v>0.33333333333333331</v>
      </c>
      <c r="G379" s="103">
        <v>0.3125</v>
      </c>
      <c r="H379" s="103">
        <v>0.35416666666666669</v>
      </c>
      <c r="I379" s="90">
        <f t="shared" si="56"/>
        <v>0.49999999999999956</v>
      </c>
      <c r="J379" s="90">
        <f t="shared" si="51"/>
        <v>1.0000000000000004</v>
      </c>
      <c r="K379" s="91">
        <f t="shared" si="59"/>
        <v>0.66666666666666663</v>
      </c>
      <c r="L379" s="91">
        <f t="shared" si="60"/>
        <v>4.375</v>
      </c>
      <c r="M379" s="29">
        <f t="shared" si="57"/>
        <v>20</v>
      </c>
      <c r="N379" s="92">
        <f t="shared" si="52"/>
        <v>0.49999999999999956</v>
      </c>
      <c r="O379" s="104">
        <f t="shared" si="53"/>
        <v>1.016</v>
      </c>
      <c r="P379" s="105">
        <f t="shared" si="54"/>
        <v>7.111999999999993</v>
      </c>
    </row>
    <row r="380" spans="2:16" x14ac:dyDescent="0.25">
      <c r="B380" s="88" t="str">
        <f t="shared" si="55"/>
        <v>Fazenda Altenor</v>
      </c>
      <c r="C380" s="106">
        <f t="shared" si="58"/>
        <v>2020</v>
      </c>
      <c r="D380" s="101">
        <v>43939</v>
      </c>
      <c r="E380" s="102">
        <v>0.33333333333333331</v>
      </c>
      <c r="F380" s="103">
        <v>0.35416666666666669</v>
      </c>
      <c r="G380" s="103">
        <v>0.33333333333333331</v>
      </c>
      <c r="H380" s="103">
        <v>0.375</v>
      </c>
      <c r="I380" s="90">
        <f t="shared" si="56"/>
        <v>0.50000000000000089</v>
      </c>
      <c r="J380" s="90">
        <f t="shared" si="51"/>
        <v>1.0000000000000004</v>
      </c>
      <c r="K380" s="91">
        <f t="shared" si="59"/>
        <v>0.66666666666666663</v>
      </c>
      <c r="L380" s="91">
        <f t="shared" si="60"/>
        <v>4.375</v>
      </c>
      <c r="M380" s="29">
        <f t="shared" si="57"/>
        <v>20</v>
      </c>
      <c r="N380" s="92">
        <f t="shared" si="52"/>
        <v>0.50000000000000089</v>
      </c>
      <c r="O380" s="104">
        <f t="shared" si="53"/>
        <v>1.016</v>
      </c>
      <c r="P380" s="105">
        <f t="shared" si="54"/>
        <v>7.1120000000000116</v>
      </c>
    </row>
    <row r="381" spans="2:16" x14ac:dyDescent="0.25">
      <c r="B381" s="88" t="str">
        <f t="shared" si="55"/>
        <v>Fazenda Altenor</v>
      </c>
      <c r="C381" s="106">
        <f t="shared" si="58"/>
        <v>2020</v>
      </c>
      <c r="D381" s="101">
        <v>43940</v>
      </c>
      <c r="E381" s="102">
        <v>0.35416666666666669</v>
      </c>
      <c r="F381" s="103">
        <v>0.375</v>
      </c>
      <c r="G381" s="103">
        <v>0.35416666666666669</v>
      </c>
      <c r="H381" s="103">
        <v>0.41666666666666669</v>
      </c>
      <c r="I381" s="90">
        <f t="shared" si="56"/>
        <v>0.49999999999999956</v>
      </c>
      <c r="J381" s="90">
        <f t="shared" si="51"/>
        <v>1.5</v>
      </c>
      <c r="K381" s="91">
        <f t="shared" si="59"/>
        <v>0.66666666666666663</v>
      </c>
      <c r="L381" s="91">
        <f t="shared" si="60"/>
        <v>4.375</v>
      </c>
      <c r="M381" s="29">
        <f t="shared" si="57"/>
        <v>20</v>
      </c>
      <c r="N381" s="92">
        <f t="shared" si="52"/>
        <v>0.49999999999999956</v>
      </c>
      <c r="O381" s="104">
        <f t="shared" si="53"/>
        <v>1.016</v>
      </c>
      <c r="P381" s="105">
        <f t="shared" si="54"/>
        <v>7.111999999999993</v>
      </c>
    </row>
    <row r="382" spans="2:16" x14ac:dyDescent="0.25">
      <c r="B382" s="88" t="str">
        <f t="shared" si="55"/>
        <v>Fazenda Altenor</v>
      </c>
      <c r="C382" s="106">
        <f t="shared" si="58"/>
        <v>2020</v>
      </c>
      <c r="D382" s="101">
        <v>43941</v>
      </c>
      <c r="E382" s="102">
        <v>0.375</v>
      </c>
      <c r="F382" s="103">
        <v>0.39583333333333331</v>
      </c>
      <c r="G382" s="103">
        <v>0.375</v>
      </c>
      <c r="H382" s="103">
        <v>0.41666666666666669</v>
      </c>
      <c r="I382" s="90">
        <f t="shared" si="56"/>
        <v>0.49999999999999956</v>
      </c>
      <c r="J382" s="90">
        <f t="shared" si="51"/>
        <v>1.0000000000000004</v>
      </c>
      <c r="K382" s="91">
        <f t="shared" si="59"/>
        <v>0.66666666666666663</v>
      </c>
      <c r="L382" s="91">
        <f t="shared" si="60"/>
        <v>4.375</v>
      </c>
      <c r="M382" s="29">
        <f t="shared" si="57"/>
        <v>20</v>
      </c>
      <c r="N382" s="92">
        <f t="shared" si="52"/>
        <v>0.49999999999999956</v>
      </c>
      <c r="O382" s="104">
        <f t="shared" si="53"/>
        <v>1.016</v>
      </c>
      <c r="P382" s="105">
        <f t="shared" si="54"/>
        <v>7.111999999999993</v>
      </c>
    </row>
    <row r="383" spans="2:16" x14ac:dyDescent="0.25">
      <c r="B383" s="88" t="str">
        <f t="shared" si="55"/>
        <v>Fazenda Altenor</v>
      </c>
      <c r="C383" s="106">
        <f t="shared" si="58"/>
        <v>2020</v>
      </c>
      <c r="D383" s="101">
        <v>43942</v>
      </c>
      <c r="E383" s="102">
        <v>0.29166666666666669</v>
      </c>
      <c r="F383" s="103">
        <v>0.3125</v>
      </c>
      <c r="G383" s="103">
        <v>0.29166666666666669</v>
      </c>
      <c r="H383" s="103">
        <v>0.33333333333333331</v>
      </c>
      <c r="I383" s="90">
        <f t="shared" si="56"/>
        <v>0.49999999999999956</v>
      </c>
      <c r="J383" s="90">
        <f t="shared" si="51"/>
        <v>0.99999999999999911</v>
      </c>
      <c r="K383" s="91">
        <f t="shared" si="59"/>
        <v>0.66666666666666663</v>
      </c>
      <c r="L383" s="91">
        <f t="shared" si="60"/>
        <v>4.375</v>
      </c>
      <c r="M383" s="29">
        <f t="shared" si="57"/>
        <v>20</v>
      </c>
      <c r="N383" s="92">
        <f t="shared" si="52"/>
        <v>0.49999999999999956</v>
      </c>
      <c r="O383" s="104">
        <f t="shared" si="53"/>
        <v>1.016</v>
      </c>
      <c r="P383" s="105">
        <f t="shared" si="54"/>
        <v>7.111999999999993</v>
      </c>
    </row>
    <row r="384" spans="2:16" x14ac:dyDescent="0.25">
      <c r="B384" s="88" t="str">
        <f t="shared" si="55"/>
        <v>Fazenda Altenor</v>
      </c>
      <c r="C384" s="106">
        <f t="shared" si="58"/>
        <v>2020</v>
      </c>
      <c r="D384" s="101">
        <v>43943</v>
      </c>
      <c r="E384" s="102"/>
      <c r="F384" s="103"/>
      <c r="G384" s="103"/>
      <c r="H384" s="103"/>
      <c r="I384" s="90">
        <f t="shared" si="56"/>
        <v>0</v>
      </c>
      <c r="J384" s="90">
        <f t="shared" si="51"/>
        <v>0</v>
      </c>
      <c r="K384" s="91">
        <f t="shared" si="59"/>
        <v>0.66666666666666663</v>
      </c>
      <c r="L384" s="91">
        <f t="shared" si="60"/>
        <v>4.375</v>
      </c>
      <c r="M384" s="29">
        <f t="shared" si="57"/>
        <v>20</v>
      </c>
      <c r="N384" s="92">
        <f t="shared" si="52"/>
        <v>0</v>
      </c>
      <c r="O384" s="104">
        <f t="shared" si="53"/>
        <v>1.016</v>
      </c>
      <c r="P384" s="105">
        <f t="shared" si="54"/>
        <v>0</v>
      </c>
    </row>
    <row r="385" spans="2:16" x14ac:dyDescent="0.25">
      <c r="B385" s="88" t="str">
        <f t="shared" si="55"/>
        <v>Fazenda Altenor</v>
      </c>
      <c r="C385" s="106">
        <f t="shared" si="58"/>
        <v>2020</v>
      </c>
      <c r="D385" s="101">
        <v>43944</v>
      </c>
      <c r="E385" s="102">
        <v>0.33333333333333331</v>
      </c>
      <c r="F385" s="103">
        <v>0.35416666666666669</v>
      </c>
      <c r="G385" s="103">
        <v>0.33333333333333331</v>
      </c>
      <c r="H385" s="103">
        <v>0.375</v>
      </c>
      <c r="I385" s="90">
        <f t="shared" si="56"/>
        <v>0.50000000000000089</v>
      </c>
      <c r="J385" s="90">
        <f t="shared" si="51"/>
        <v>1.0000000000000004</v>
      </c>
      <c r="K385" s="91">
        <f t="shared" si="59"/>
        <v>0.66666666666666663</v>
      </c>
      <c r="L385" s="91">
        <f t="shared" si="60"/>
        <v>4.375</v>
      </c>
      <c r="M385" s="29">
        <f t="shared" si="57"/>
        <v>20</v>
      </c>
      <c r="N385" s="92">
        <f t="shared" si="52"/>
        <v>0.50000000000000089</v>
      </c>
      <c r="O385" s="104">
        <f t="shared" si="53"/>
        <v>1.016</v>
      </c>
      <c r="P385" s="105">
        <f t="shared" si="54"/>
        <v>7.1120000000000116</v>
      </c>
    </row>
    <row r="386" spans="2:16" x14ac:dyDescent="0.25">
      <c r="B386" s="88" t="str">
        <f t="shared" si="55"/>
        <v>Fazenda Altenor</v>
      </c>
      <c r="C386" s="106">
        <f t="shared" si="58"/>
        <v>2020</v>
      </c>
      <c r="D386" s="101">
        <v>43945</v>
      </c>
      <c r="E386" s="102">
        <v>0.29166666666666669</v>
      </c>
      <c r="F386" s="103">
        <v>0.3125</v>
      </c>
      <c r="G386" s="103">
        <v>0.29166666666666669</v>
      </c>
      <c r="H386" s="103">
        <v>0.33333333333333331</v>
      </c>
      <c r="I386" s="90">
        <f t="shared" si="56"/>
        <v>0.49999999999999956</v>
      </c>
      <c r="J386" s="90">
        <f t="shared" si="51"/>
        <v>0.99999999999999911</v>
      </c>
      <c r="K386" s="91">
        <f t="shared" si="59"/>
        <v>0.66666666666666663</v>
      </c>
      <c r="L386" s="91">
        <f t="shared" si="60"/>
        <v>4.375</v>
      </c>
      <c r="M386" s="29">
        <f t="shared" si="57"/>
        <v>20</v>
      </c>
      <c r="N386" s="92">
        <f t="shared" si="52"/>
        <v>0.49999999999999956</v>
      </c>
      <c r="O386" s="104">
        <f t="shared" si="53"/>
        <v>1.016</v>
      </c>
      <c r="P386" s="105">
        <f t="shared" si="54"/>
        <v>7.111999999999993</v>
      </c>
    </row>
    <row r="387" spans="2:16" x14ac:dyDescent="0.25">
      <c r="B387" s="88" t="str">
        <f t="shared" si="55"/>
        <v>Fazenda Altenor</v>
      </c>
      <c r="C387" s="106">
        <f t="shared" si="58"/>
        <v>2020</v>
      </c>
      <c r="D387" s="101">
        <v>43946</v>
      </c>
      <c r="E387" s="102">
        <v>0.3125</v>
      </c>
      <c r="F387" s="103">
        <v>0.33333333333333331</v>
      </c>
      <c r="G387" s="103">
        <v>0.3125</v>
      </c>
      <c r="H387" s="103">
        <v>0.35416666666666669</v>
      </c>
      <c r="I387" s="90">
        <f t="shared" si="56"/>
        <v>0.49999999999999956</v>
      </c>
      <c r="J387" s="90">
        <f t="shared" si="51"/>
        <v>1.0000000000000004</v>
      </c>
      <c r="K387" s="91">
        <f t="shared" si="59"/>
        <v>0.66666666666666663</v>
      </c>
      <c r="L387" s="91">
        <f t="shared" si="60"/>
        <v>4.375</v>
      </c>
      <c r="M387" s="29">
        <f t="shared" si="57"/>
        <v>20</v>
      </c>
      <c r="N387" s="92">
        <f t="shared" si="52"/>
        <v>0.49999999999999956</v>
      </c>
      <c r="O387" s="104">
        <f t="shared" si="53"/>
        <v>1.016</v>
      </c>
      <c r="P387" s="105">
        <f t="shared" si="54"/>
        <v>7.111999999999993</v>
      </c>
    </row>
    <row r="388" spans="2:16" x14ac:dyDescent="0.25">
      <c r="B388" s="88" t="str">
        <f t="shared" si="55"/>
        <v>Fazenda Altenor</v>
      </c>
      <c r="C388" s="106">
        <f t="shared" si="58"/>
        <v>2020</v>
      </c>
      <c r="D388" s="101">
        <v>43947</v>
      </c>
      <c r="E388" s="102">
        <v>0.33333333333333331</v>
      </c>
      <c r="F388" s="103">
        <v>0.35416666666666669</v>
      </c>
      <c r="G388" s="103">
        <v>0.33333333333333331</v>
      </c>
      <c r="H388" s="103">
        <v>0.375</v>
      </c>
      <c r="I388" s="90">
        <f t="shared" si="56"/>
        <v>0.50000000000000089</v>
      </c>
      <c r="J388" s="90">
        <f t="shared" si="51"/>
        <v>1.0000000000000004</v>
      </c>
      <c r="K388" s="91">
        <f t="shared" si="59"/>
        <v>0.66666666666666663</v>
      </c>
      <c r="L388" s="91">
        <f t="shared" si="60"/>
        <v>4.375</v>
      </c>
      <c r="M388" s="29">
        <f t="shared" si="57"/>
        <v>20</v>
      </c>
      <c r="N388" s="92">
        <f t="shared" si="52"/>
        <v>0.50000000000000089</v>
      </c>
      <c r="O388" s="104">
        <f t="shared" si="53"/>
        <v>1.016</v>
      </c>
      <c r="P388" s="105">
        <f t="shared" si="54"/>
        <v>7.1120000000000116</v>
      </c>
    </row>
    <row r="389" spans="2:16" x14ac:dyDescent="0.25">
      <c r="B389" s="88" t="str">
        <f t="shared" si="55"/>
        <v>Fazenda Altenor</v>
      </c>
      <c r="C389" s="106">
        <f t="shared" si="58"/>
        <v>2020</v>
      </c>
      <c r="D389" s="101">
        <v>43948</v>
      </c>
      <c r="E389" s="102">
        <v>0.375</v>
      </c>
      <c r="F389" s="103">
        <v>0.39583333333333331</v>
      </c>
      <c r="G389" s="103">
        <v>0.375</v>
      </c>
      <c r="H389" s="103">
        <v>0.41666666666666669</v>
      </c>
      <c r="I389" s="90">
        <f t="shared" si="56"/>
        <v>0.49999999999999956</v>
      </c>
      <c r="J389" s="90">
        <f t="shared" si="51"/>
        <v>1.0000000000000004</v>
      </c>
      <c r="K389" s="91">
        <f t="shared" si="59"/>
        <v>0.66666666666666663</v>
      </c>
      <c r="L389" s="91">
        <f t="shared" si="60"/>
        <v>4.375</v>
      </c>
      <c r="M389" s="29">
        <f t="shared" si="57"/>
        <v>20</v>
      </c>
      <c r="N389" s="92">
        <f t="shared" si="52"/>
        <v>0.49999999999999956</v>
      </c>
      <c r="O389" s="104">
        <f t="shared" si="53"/>
        <v>1.016</v>
      </c>
      <c r="P389" s="105">
        <f t="shared" si="54"/>
        <v>7.111999999999993</v>
      </c>
    </row>
    <row r="390" spans="2:16" x14ac:dyDescent="0.25">
      <c r="B390" s="88" t="str">
        <f t="shared" si="55"/>
        <v>Fazenda Altenor</v>
      </c>
      <c r="C390" s="106">
        <f t="shared" si="58"/>
        <v>2020</v>
      </c>
      <c r="D390" s="101">
        <v>43949</v>
      </c>
      <c r="E390" s="102">
        <v>0.29166666666666669</v>
      </c>
      <c r="F390" s="103">
        <v>0.3125</v>
      </c>
      <c r="G390" s="103">
        <v>0.29166666666666669</v>
      </c>
      <c r="H390" s="103">
        <v>0.33333333333333331</v>
      </c>
      <c r="I390" s="90">
        <f t="shared" si="56"/>
        <v>0.49999999999999956</v>
      </c>
      <c r="J390" s="90">
        <f t="shared" si="51"/>
        <v>0.99999999999999911</v>
      </c>
      <c r="K390" s="91">
        <f t="shared" si="59"/>
        <v>0.66666666666666663</v>
      </c>
      <c r="L390" s="91">
        <f t="shared" si="60"/>
        <v>4.375</v>
      </c>
      <c r="M390" s="29">
        <f t="shared" si="57"/>
        <v>20</v>
      </c>
      <c r="N390" s="92">
        <f t="shared" si="52"/>
        <v>0.49999999999999956</v>
      </c>
      <c r="O390" s="104">
        <f t="shared" si="53"/>
        <v>1.016</v>
      </c>
      <c r="P390" s="105">
        <f t="shared" si="54"/>
        <v>7.111999999999993</v>
      </c>
    </row>
    <row r="391" spans="2:16" x14ac:dyDescent="0.25">
      <c r="B391" s="88" t="str">
        <f t="shared" si="55"/>
        <v>Fazenda Altenor</v>
      </c>
      <c r="C391" s="106">
        <f t="shared" si="58"/>
        <v>2020</v>
      </c>
      <c r="D391" s="101">
        <v>43950</v>
      </c>
      <c r="E391" s="102">
        <v>0.33333333333333331</v>
      </c>
      <c r="F391" s="103">
        <v>0.35416666666666669</v>
      </c>
      <c r="G391" s="103">
        <v>0.33333333333333331</v>
      </c>
      <c r="H391" s="103">
        <v>0.375</v>
      </c>
      <c r="I391" s="90">
        <f t="shared" si="56"/>
        <v>0.50000000000000089</v>
      </c>
      <c r="J391" s="90">
        <f t="shared" si="51"/>
        <v>1.0000000000000004</v>
      </c>
      <c r="K391" s="91">
        <f t="shared" si="59"/>
        <v>0.66666666666666663</v>
      </c>
      <c r="L391" s="91">
        <f t="shared" si="60"/>
        <v>4.375</v>
      </c>
      <c r="M391" s="29">
        <f t="shared" si="57"/>
        <v>20</v>
      </c>
      <c r="N391" s="92">
        <f t="shared" si="52"/>
        <v>0.50000000000000089</v>
      </c>
      <c r="O391" s="104">
        <f t="shared" si="53"/>
        <v>1.016</v>
      </c>
      <c r="P391" s="105">
        <f t="shared" si="54"/>
        <v>7.1120000000000116</v>
      </c>
    </row>
    <row r="392" spans="2:16" x14ac:dyDescent="0.25">
      <c r="B392" s="88" t="str">
        <f t="shared" si="55"/>
        <v>Fazenda Altenor</v>
      </c>
      <c r="C392" s="106">
        <f t="shared" si="58"/>
        <v>2020</v>
      </c>
      <c r="D392" s="101">
        <v>43951</v>
      </c>
      <c r="E392" s="102">
        <v>0.3125</v>
      </c>
      <c r="F392" s="103">
        <v>0.33333333333333331</v>
      </c>
      <c r="G392" s="103">
        <v>0.3125</v>
      </c>
      <c r="H392" s="103">
        <v>0.35416666666666669</v>
      </c>
      <c r="I392" s="90">
        <f t="shared" si="56"/>
        <v>0.49999999999999956</v>
      </c>
      <c r="J392" s="90">
        <f t="shared" si="51"/>
        <v>1.0000000000000004</v>
      </c>
      <c r="K392" s="91">
        <f t="shared" si="59"/>
        <v>0.66666666666666663</v>
      </c>
      <c r="L392" s="91">
        <f t="shared" si="60"/>
        <v>4.375</v>
      </c>
      <c r="M392" s="29">
        <f t="shared" si="57"/>
        <v>20</v>
      </c>
      <c r="N392" s="92">
        <f t="shared" si="52"/>
        <v>0.49999999999999956</v>
      </c>
      <c r="O392" s="104">
        <f t="shared" si="53"/>
        <v>1.016</v>
      </c>
      <c r="P392" s="105">
        <f t="shared" si="54"/>
        <v>7.111999999999993</v>
      </c>
    </row>
    <row r="393" spans="2:16" x14ac:dyDescent="0.25">
      <c r="B393" s="88" t="str">
        <f t="shared" si="55"/>
        <v>Fazenda Altenor</v>
      </c>
      <c r="C393" s="106">
        <f t="shared" si="58"/>
        <v>2020</v>
      </c>
      <c r="D393" s="101">
        <v>43952</v>
      </c>
      <c r="E393" s="102">
        <v>0.35416666666666669</v>
      </c>
      <c r="F393" s="103">
        <v>0.375</v>
      </c>
      <c r="G393" s="103">
        <v>0.35416666666666669</v>
      </c>
      <c r="H393" s="103">
        <v>0.39583333333333331</v>
      </c>
      <c r="I393" s="90">
        <f t="shared" si="56"/>
        <v>0.49999999999999956</v>
      </c>
      <c r="J393" s="90">
        <f t="shared" si="51"/>
        <v>0.99999999999999911</v>
      </c>
      <c r="K393" s="91">
        <f t="shared" si="59"/>
        <v>0.66666666666666663</v>
      </c>
      <c r="L393" s="91">
        <f t="shared" si="60"/>
        <v>4.375</v>
      </c>
      <c r="M393" s="29">
        <f t="shared" si="57"/>
        <v>20</v>
      </c>
      <c r="N393" s="92">
        <f t="shared" si="52"/>
        <v>0.49999999999999956</v>
      </c>
      <c r="O393" s="104">
        <f t="shared" si="53"/>
        <v>1.016</v>
      </c>
      <c r="P393" s="105">
        <f t="shared" si="54"/>
        <v>7.111999999999993</v>
      </c>
    </row>
    <row r="394" spans="2:16" x14ac:dyDescent="0.25">
      <c r="B394" s="88" t="str">
        <f t="shared" si="55"/>
        <v>Fazenda Altenor</v>
      </c>
      <c r="C394" s="106">
        <f t="shared" si="58"/>
        <v>2020</v>
      </c>
      <c r="D394" s="101">
        <v>43953</v>
      </c>
      <c r="E394" s="102">
        <v>0.29166666666666669</v>
      </c>
      <c r="F394" s="103">
        <v>0.3125</v>
      </c>
      <c r="G394" s="103">
        <v>0.29166666666666669</v>
      </c>
      <c r="H394" s="103">
        <v>0.33333333333333331</v>
      </c>
      <c r="I394" s="90">
        <f t="shared" si="56"/>
        <v>0.49999999999999956</v>
      </c>
      <c r="J394" s="90">
        <f t="shared" si="51"/>
        <v>0.99999999999999911</v>
      </c>
      <c r="K394" s="91">
        <f t="shared" si="59"/>
        <v>0.66666666666666663</v>
      </c>
      <c r="L394" s="91">
        <f t="shared" si="60"/>
        <v>4.375</v>
      </c>
      <c r="M394" s="29">
        <f t="shared" si="57"/>
        <v>20</v>
      </c>
      <c r="N394" s="92">
        <f t="shared" si="52"/>
        <v>0.49999999999999956</v>
      </c>
      <c r="O394" s="104">
        <f t="shared" si="53"/>
        <v>1.016</v>
      </c>
      <c r="P394" s="105">
        <f t="shared" si="54"/>
        <v>7.111999999999993</v>
      </c>
    </row>
    <row r="395" spans="2:16" x14ac:dyDescent="0.25">
      <c r="B395" s="88" t="str">
        <f t="shared" si="55"/>
        <v>Fazenda Altenor</v>
      </c>
      <c r="C395" s="106">
        <f t="shared" si="58"/>
        <v>2020</v>
      </c>
      <c r="D395" s="101">
        <v>43954</v>
      </c>
      <c r="E395" s="102">
        <v>0.3125</v>
      </c>
      <c r="F395" s="103">
        <v>0.33333333333333331</v>
      </c>
      <c r="G395" s="103">
        <v>0.3125</v>
      </c>
      <c r="H395" s="103">
        <v>0.35416666666666669</v>
      </c>
      <c r="I395" s="90">
        <f t="shared" si="56"/>
        <v>0.49999999999999956</v>
      </c>
      <c r="J395" s="90">
        <f t="shared" si="51"/>
        <v>1.0000000000000004</v>
      </c>
      <c r="K395" s="91">
        <f t="shared" si="59"/>
        <v>0.66666666666666663</v>
      </c>
      <c r="L395" s="91">
        <f t="shared" si="60"/>
        <v>4.375</v>
      </c>
      <c r="M395" s="29">
        <f t="shared" si="57"/>
        <v>20</v>
      </c>
      <c r="N395" s="92">
        <f t="shared" si="52"/>
        <v>0.49999999999999956</v>
      </c>
      <c r="O395" s="104">
        <f t="shared" si="53"/>
        <v>1.016</v>
      </c>
      <c r="P395" s="105">
        <f t="shared" si="54"/>
        <v>7.111999999999993</v>
      </c>
    </row>
    <row r="396" spans="2:16" x14ac:dyDescent="0.25">
      <c r="B396" s="88" t="str">
        <f t="shared" si="55"/>
        <v>Fazenda Altenor</v>
      </c>
      <c r="C396" s="106">
        <f t="shared" si="58"/>
        <v>2020</v>
      </c>
      <c r="D396" s="101">
        <v>43955</v>
      </c>
      <c r="E396" s="102">
        <v>0.33333333333333331</v>
      </c>
      <c r="F396" s="103">
        <v>0.35416666666666669</v>
      </c>
      <c r="G396" s="103">
        <v>0.33333333333333331</v>
      </c>
      <c r="H396" s="103">
        <v>0.375</v>
      </c>
      <c r="I396" s="90">
        <f t="shared" si="56"/>
        <v>0.50000000000000089</v>
      </c>
      <c r="J396" s="90">
        <f t="shared" si="51"/>
        <v>1.0000000000000004</v>
      </c>
      <c r="K396" s="91">
        <f t="shared" si="59"/>
        <v>0.66666666666666663</v>
      </c>
      <c r="L396" s="91">
        <f t="shared" si="60"/>
        <v>4.375</v>
      </c>
      <c r="M396" s="29">
        <f t="shared" si="57"/>
        <v>20</v>
      </c>
      <c r="N396" s="92">
        <f t="shared" si="52"/>
        <v>0.50000000000000089</v>
      </c>
      <c r="O396" s="104">
        <f t="shared" si="53"/>
        <v>1.016</v>
      </c>
      <c r="P396" s="105">
        <f t="shared" si="54"/>
        <v>7.1120000000000116</v>
      </c>
    </row>
    <row r="397" spans="2:16" x14ac:dyDescent="0.25">
      <c r="B397" s="88" t="str">
        <f t="shared" si="55"/>
        <v>Fazenda Altenor</v>
      </c>
      <c r="C397" s="106">
        <f t="shared" si="58"/>
        <v>2020</v>
      </c>
      <c r="D397" s="101">
        <v>43956</v>
      </c>
      <c r="E397" s="102">
        <v>0.375</v>
      </c>
      <c r="F397" s="103">
        <v>0.39583333333333331</v>
      </c>
      <c r="G397" s="103">
        <v>0.375</v>
      </c>
      <c r="H397" s="103">
        <v>0.41666666666666669</v>
      </c>
      <c r="I397" s="90">
        <f t="shared" si="56"/>
        <v>0.49999999999999956</v>
      </c>
      <c r="J397" s="90">
        <f t="shared" si="51"/>
        <v>1.0000000000000004</v>
      </c>
      <c r="K397" s="91">
        <f t="shared" si="59"/>
        <v>0.66666666666666663</v>
      </c>
      <c r="L397" s="91">
        <f t="shared" si="60"/>
        <v>4.375</v>
      </c>
      <c r="M397" s="29">
        <f t="shared" si="57"/>
        <v>20</v>
      </c>
      <c r="N397" s="92">
        <f t="shared" si="52"/>
        <v>0.49999999999999956</v>
      </c>
      <c r="O397" s="104">
        <f t="shared" si="53"/>
        <v>1.016</v>
      </c>
      <c r="P397" s="105">
        <f t="shared" si="54"/>
        <v>7.111999999999993</v>
      </c>
    </row>
    <row r="398" spans="2:16" x14ac:dyDescent="0.25">
      <c r="B398" s="88" t="str">
        <f t="shared" si="55"/>
        <v>Fazenda Altenor</v>
      </c>
      <c r="C398" s="106">
        <f t="shared" si="58"/>
        <v>2020</v>
      </c>
      <c r="D398" s="101">
        <v>43957</v>
      </c>
      <c r="E398" s="102">
        <v>0.3125</v>
      </c>
      <c r="F398" s="103">
        <v>0.33333333333333331</v>
      </c>
      <c r="G398" s="103">
        <v>0.3125</v>
      </c>
      <c r="H398" s="103">
        <v>0.36458333333333331</v>
      </c>
      <c r="I398" s="90">
        <f t="shared" si="56"/>
        <v>0.49999999999999956</v>
      </c>
      <c r="J398" s="90">
        <f t="shared" si="51"/>
        <v>1.2499999999999996</v>
      </c>
      <c r="K398" s="91">
        <f t="shared" si="59"/>
        <v>0.66666666666666663</v>
      </c>
      <c r="L398" s="91">
        <f t="shared" si="60"/>
        <v>4.375</v>
      </c>
      <c r="M398" s="29">
        <f t="shared" si="57"/>
        <v>20</v>
      </c>
      <c r="N398" s="92">
        <f t="shared" si="52"/>
        <v>0.49999999999999956</v>
      </c>
      <c r="O398" s="104">
        <f t="shared" si="53"/>
        <v>1.016</v>
      </c>
      <c r="P398" s="105">
        <f t="shared" si="54"/>
        <v>7.111999999999993</v>
      </c>
    </row>
    <row r="399" spans="2:16" x14ac:dyDescent="0.25">
      <c r="B399" s="88" t="str">
        <f t="shared" si="55"/>
        <v>Fazenda Altenor</v>
      </c>
      <c r="C399" s="106">
        <f t="shared" si="58"/>
        <v>2020</v>
      </c>
      <c r="D399" s="101">
        <v>43958</v>
      </c>
      <c r="E399" s="102">
        <v>0.29166666666666669</v>
      </c>
      <c r="F399" s="103">
        <v>0.3125</v>
      </c>
      <c r="G399" s="103">
        <v>0.29166666666666669</v>
      </c>
      <c r="H399" s="103">
        <v>0.34375</v>
      </c>
      <c r="I399" s="90">
        <f t="shared" si="56"/>
        <v>0.49999999999999956</v>
      </c>
      <c r="J399" s="90">
        <f t="shared" si="51"/>
        <v>1.2499999999999996</v>
      </c>
      <c r="K399" s="91">
        <f t="shared" si="59"/>
        <v>0.66666666666666663</v>
      </c>
      <c r="L399" s="91">
        <f t="shared" si="60"/>
        <v>4.375</v>
      </c>
      <c r="M399" s="29">
        <f t="shared" si="57"/>
        <v>20</v>
      </c>
      <c r="N399" s="92">
        <f t="shared" si="52"/>
        <v>0.49999999999999956</v>
      </c>
      <c r="O399" s="104">
        <f t="shared" si="53"/>
        <v>1.016</v>
      </c>
      <c r="P399" s="105">
        <f t="shared" si="54"/>
        <v>7.111999999999993</v>
      </c>
    </row>
    <row r="400" spans="2:16" x14ac:dyDescent="0.25">
      <c r="B400" s="88" t="str">
        <f t="shared" si="55"/>
        <v>Fazenda Altenor</v>
      </c>
      <c r="C400" s="106">
        <f t="shared" si="58"/>
        <v>2020</v>
      </c>
      <c r="D400" s="101">
        <v>43959</v>
      </c>
      <c r="E400" s="102">
        <v>0.375</v>
      </c>
      <c r="F400" s="103">
        <v>0.39583333333333331</v>
      </c>
      <c r="G400" s="103">
        <v>0.375</v>
      </c>
      <c r="H400" s="103">
        <v>0.41666666666666669</v>
      </c>
      <c r="I400" s="90">
        <f t="shared" si="56"/>
        <v>0.49999999999999956</v>
      </c>
      <c r="J400" s="90">
        <f t="shared" si="51"/>
        <v>1.0000000000000004</v>
      </c>
      <c r="K400" s="91">
        <f t="shared" si="59"/>
        <v>0.66666666666666663</v>
      </c>
      <c r="L400" s="91">
        <f t="shared" si="60"/>
        <v>4.375</v>
      </c>
      <c r="M400" s="29">
        <f t="shared" si="57"/>
        <v>20</v>
      </c>
      <c r="N400" s="92">
        <f t="shared" si="52"/>
        <v>0.49999999999999956</v>
      </c>
      <c r="O400" s="104">
        <f t="shared" si="53"/>
        <v>1.016</v>
      </c>
      <c r="P400" s="105">
        <f t="shared" si="54"/>
        <v>7.111999999999993</v>
      </c>
    </row>
    <row r="401" spans="2:16" x14ac:dyDescent="0.25">
      <c r="B401" s="88" t="str">
        <f t="shared" si="55"/>
        <v>Fazenda Altenor</v>
      </c>
      <c r="C401" s="106">
        <f t="shared" si="58"/>
        <v>2020</v>
      </c>
      <c r="D401" s="101">
        <v>43960</v>
      </c>
      <c r="E401" s="102"/>
      <c r="F401" s="103"/>
      <c r="G401" s="103"/>
      <c r="H401" s="103"/>
      <c r="I401" s="90">
        <f t="shared" si="56"/>
        <v>0</v>
      </c>
      <c r="J401" s="90">
        <f t="shared" si="51"/>
        <v>0</v>
      </c>
      <c r="K401" s="91">
        <f t="shared" si="59"/>
        <v>0.66666666666666663</v>
      </c>
      <c r="L401" s="91">
        <f t="shared" si="60"/>
        <v>4.375</v>
      </c>
      <c r="M401" s="29">
        <f t="shared" si="57"/>
        <v>20</v>
      </c>
      <c r="N401" s="92">
        <f t="shared" si="52"/>
        <v>0</v>
      </c>
      <c r="O401" s="104">
        <f t="shared" si="53"/>
        <v>1.016</v>
      </c>
      <c r="P401" s="105">
        <f t="shared" si="54"/>
        <v>0</v>
      </c>
    </row>
    <row r="402" spans="2:16" x14ac:dyDescent="0.25">
      <c r="B402" s="88" t="str">
        <f t="shared" si="55"/>
        <v>Fazenda Altenor</v>
      </c>
      <c r="C402" s="106">
        <f t="shared" si="58"/>
        <v>2020</v>
      </c>
      <c r="D402" s="101">
        <v>43961</v>
      </c>
      <c r="E402" s="102">
        <v>0.29166666666666669</v>
      </c>
      <c r="F402" s="103">
        <v>0.3125</v>
      </c>
      <c r="G402" s="103">
        <v>0.29166666666666669</v>
      </c>
      <c r="H402" s="103">
        <v>0.33333333333333331</v>
      </c>
      <c r="I402" s="90">
        <f t="shared" si="56"/>
        <v>0.49999999999999956</v>
      </c>
      <c r="J402" s="90">
        <f t="shared" si="51"/>
        <v>0.99999999999999911</v>
      </c>
      <c r="K402" s="91">
        <f t="shared" si="59"/>
        <v>0.66666666666666663</v>
      </c>
      <c r="L402" s="91">
        <f t="shared" si="60"/>
        <v>4.375</v>
      </c>
      <c r="M402" s="29">
        <f t="shared" si="57"/>
        <v>20</v>
      </c>
      <c r="N402" s="92">
        <f t="shared" si="52"/>
        <v>0.49999999999999956</v>
      </c>
      <c r="O402" s="104">
        <f t="shared" si="53"/>
        <v>1.016</v>
      </c>
      <c r="P402" s="105">
        <f t="shared" si="54"/>
        <v>7.111999999999993</v>
      </c>
    </row>
    <row r="403" spans="2:16" x14ac:dyDescent="0.25">
      <c r="B403" s="88" t="str">
        <f t="shared" si="55"/>
        <v>Fazenda Altenor</v>
      </c>
      <c r="C403" s="106">
        <f t="shared" si="58"/>
        <v>2020</v>
      </c>
      <c r="D403" s="101">
        <v>43962</v>
      </c>
      <c r="E403" s="102">
        <v>0.33333333333333331</v>
      </c>
      <c r="F403" s="103">
        <v>0.35416666666666669</v>
      </c>
      <c r="G403" s="103">
        <v>0.33333333333333331</v>
      </c>
      <c r="H403" s="103">
        <v>0.375</v>
      </c>
      <c r="I403" s="90">
        <f t="shared" si="56"/>
        <v>0.50000000000000089</v>
      </c>
      <c r="J403" s="90">
        <f t="shared" si="51"/>
        <v>1.0000000000000004</v>
      </c>
      <c r="K403" s="91">
        <f t="shared" si="59"/>
        <v>0.66666666666666663</v>
      </c>
      <c r="L403" s="91">
        <f t="shared" si="60"/>
        <v>4.375</v>
      </c>
      <c r="M403" s="29">
        <f t="shared" si="57"/>
        <v>20</v>
      </c>
      <c r="N403" s="92">
        <f t="shared" si="52"/>
        <v>0.50000000000000089</v>
      </c>
      <c r="O403" s="104">
        <f t="shared" si="53"/>
        <v>1.016</v>
      </c>
      <c r="P403" s="105">
        <f t="shared" si="54"/>
        <v>7.1120000000000116</v>
      </c>
    </row>
    <row r="404" spans="2:16" x14ac:dyDescent="0.25">
      <c r="B404" s="88" t="str">
        <f t="shared" si="55"/>
        <v>Fazenda Altenor</v>
      </c>
      <c r="C404" s="106">
        <f t="shared" si="58"/>
        <v>2020</v>
      </c>
      <c r="D404" s="101">
        <v>43963</v>
      </c>
      <c r="E404" s="102">
        <v>0.375</v>
      </c>
      <c r="F404" s="103">
        <v>0.39583333333333331</v>
      </c>
      <c r="G404" s="103">
        <v>0.375</v>
      </c>
      <c r="H404" s="103">
        <v>0.41666666666666669</v>
      </c>
      <c r="I404" s="90">
        <f t="shared" si="56"/>
        <v>0.49999999999999956</v>
      </c>
      <c r="J404" s="90">
        <f t="shared" si="51"/>
        <v>1.0000000000000004</v>
      </c>
      <c r="K404" s="91">
        <f t="shared" si="59"/>
        <v>0.66666666666666663</v>
      </c>
      <c r="L404" s="91">
        <f t="shared" si="60"/>
        <v>4.375</v>
      </c>
      <c r="M404" s="29">
        <f t="shared" si="57"/>
        <v>20</v>
      </c>
      <c r="N404" s="92">
        <f t="shared" si="52"/>
        <v>0.49999999999999956</v>
      </c>
      <c r="O404" s="104">
        <f t="shared" si="53"/>
        <v>1.016</v>
      </c>
      <c r="P404" s="105">
        <f t="shared" si="54"/>
        <v>7.111999999999993</v>
      </c>
    </row>
    <row r="405" spans="2:16" x14ac:dyDescent="0.25">
      <c r="B405" s="88" t="str">
        <f t="shared" si="55"/>
        <v>Fazenda Altenor</v>
      </c>
      <c r="C405" s="106">
        <f t="shared" si="58"/>
        <v>2020</v>
      </c>
      <c r="D405" s="101">
        <v>43964</v>
      </c>
      <c r="E405" s="102">
        <v>0.3125</v>
      </c>
      <c r="F405" s="103">
        <v>0.33333333333333331</v>
      </c>
      <c r="G405" s="103">
        <v>0.3125</v>
      </c>
      <c r="H405" s="103">
        <v>0.36458333333333331</v>
      </c>
      <c r="I405" s="90">
        <f t="shared" si="56"/>
        <v>0.49999999999999956</v>
      </c>
      <c r="J405" s="90">
        <f t="shared" si="51"/>
        <v>1.2499999999999996</v>
      </c>
      <c r="K405" s="91">
        <f t="shared" si="59"/>
        <v>0.66666666666666663</v>
      </c>
      <c r="L405" s="91">
        <f t="shared" si="60"/>
        <v>4.375</v>
      </c>
      <c r="M405" s="29">
        <f t="shared" si="57"/>
        <v>20</v>
      </c>
      <c r="N405" s="92">
        <f t="shared" si="52"/>
        <v>0.49999999999999956</v>
      </c>
      <c r="O405" s="104">
        <f t="shared" si="53"/>
        <v>1.016</v>
      </c>
      <c r="P405" s="105">
        <f t="shared" si="54"/>
        <v>7.111999999999993</v>
      </c>
    </row>
    <row r="406" spans="2:16" x14ac:dyDescent="0.25">
      <c r="B406" s="88" t="str">
        <f t="shared" si="55"/>
        <v>Fazenda Altenor</v>
      </c>
      <c r="C406" s="106">
        <f t="shared" si="58"/>
        <v>2020</v>
      </c>
      <c r="D406" s="101">
        <v>43965</v>
      </c>
      <c r="E406" s="102">
        <v>0.33333333333333331</v>
      </c>
      <c r="F406" s="103">
        <v>0.35416666666666669</v>
      </c>
      <c r="G406" s="103">
        <v>0.33333333333333331</v>
      </c>
      <c r="H406" s="103">
        <v>0.375</v>
      </c>
      <c r="I406" s="90">
        <f t="shared" si="56"/>
        <v>0.50000000000000089</v>
      </c>
      <c r="J406" s="90">
        <f t="shared" si="51"/>
        <v>1.0000000000000004</v>
      </c>
      <c r="K406" s="91">
        <f t="shared" si="59"/>
        <v>0.66666666666666663</v>
      </c>
      <c r="L406" s="91">
        <f t="shared" si="60"/>
        <v>4.375</v>
      </c>
      <c r="M406" s="29">
        <f t="shared" si="57"/>
        <v>20</v>
      </c>
      <c r="N406" s="92">
        <f t="shared" si="52"/>
        <v>0.50000000000000089</v>
      </c>
      <c r="O406" s="104">
        <f t="shared" si="53"/>
        <v>1.016</v>
      </c>
      <c r="P406" s="105">
        <f t="shared" si="54"/>
        <v>7.1120000000000116</v>
      </c>
    </row>
    <row r="407" spans="2:16" x14ac:dyDescent="0.25">
      <c r="B407" s="88" t="str">
        <f t="shared" si="55"/>
        <v>Fazenda Altenor</v>
      </c>
      <c r="C407" s="106">
        <f t="shared" si="58"/>
        <v>2020</v>
      </c>
      <c r="D407" s="101">
        <v>43966</v>
      </c>
      <c r="E407" s="102">
        <v>0.29166666666666669</v>
      </c>
      <c r="F407" s="103">
        <v>0.3125</v>
      </c>
      <c r="G407" s="103">
        <v>0.29166666666666669</v>
      </c>
      <c r="H407" s="103">
        <v>0.33333333333333331</v>
      </c>
      <c r="I407" s="90">
        <f t="shared" si="56"/>
        <v>0.49999999999999956</v>
      </c>
      <c r="J407" s="90">
        <f t="shared" si="51"/>
        <v>0.99999999999999911</v>
      </c>
      <c r="K407" s="91">
        <f t="shared" si="59"/>
        <v>0.66666666666666663</v>
      </c>
      <c r="L407" s="91">
        <f t="shared" si="60"/>
        <v>4.375</v>
      </c>
      <c r="M407" s="29">
        <f t="shared" si="57"/>
        <v>20</v>
      </c>
      <c r="N407" s="92">
        <f t="shared" si="52"/>
        <v>0.49999999999999956</v>
      </c>
      <c r="O407" s="104">
        <f t="shared" si="53"/>
        <v>1.016</v>
      </c>
      <c r="P407" s="105">
        <f t="shared" si="54"/>
        <v>7.111999999999993</v>
      </c>
    </row>
    <row r="408" spans="2:16" x14ac:dyDescent="0.25">
      <c r="B408" s="88" t="str">
        <f t="shared" si="55"/>
        <v>Fazenda Altenor</v>
      </c>
      <c r="C408" s="106">
        <f t="shared" si="58"/>
        <v>2020</v>
      </c>
      <c r="D408" s="101">
        <v>43967</v>
      </c>
      <c r="E408" s="102">
        <v>0.3125</v>
      </c>
      <c r="F408" s="103">
        <v>0.33333333333333331</v>
      </c>
      <c r="G408" s="103">
        <v>0.3125</v>
      </c>
      <c r="H408" s="103">
        <v>0.36458333333333331</v>
      </c>
      <c r="I408" s="90">
        <f t="shared" si="56"/>
        <v>0.49999999999999956</v>
      </c>
      <c r="J408" s="90">
        <f t="shared" si="51"/>
        <v>1.2499999999999996</v>
      </c>
      <c r="K408" s="91">
        <f t="shared" si="59"/>
        <v>0.66666666666666663</v>
      </c>
      <c r="L408" s="91">
        <f t="shared" si="60"/>
        <v>4.375</v>
      </c>
      <c r="M408" s="29">
        <f t="shared" si="57"/>
        <v>20</v>
      </c>
      <c r="N408" s="92">
        <f t="shared" si="52"/>
        <v>0.49999999999999956</v>
      </c>
      <c r="O408" s="104">
        <f t="shared" si="53"/>
        <v>1.016</v>
      </c>
      <c r="P408" s="105">
        <f t="shared" si="54"/>
        <v>7.111999999999993</v>
      </c>
    </row>
    <row r="409" spans="2:16" x14ac:dyDescent="0.25">
      <c r="B409" s="88" t="str">
        <f t="shared" si="55"/>
        <v>Fazenda Altenor</v>
      </c>
      <c r="C409" s="106">
        <f t="shared" si="58"/>
        <v>2020</v>
      </c>
      <c r="D409" s="101">
        <v>43968</v>
      </c>
      <c r="E409" s="102">
        <v>0.33333333333333331</v>
      </c>
      <c r="F409" s="103">
        <v>0.35416666666666669</v>
      </c>
      <c r="G409" s="103">
        <v>0.33333333333333331</v>
      </c>
      <c r="H409" s="103">
        <v>0.375</v>
      </c>
      <c r="I409" s="90">
        <f t="shared" si="56"/>
        <v>0.50000000000000089</v>
      </c>
      <c r="J409" s="90">
        <f t="shared" si="51"/>
        <v>1.0000000000000004</v>
      </c>
      <c r="K409" s="91">
        <f t="shared" si="59"/>
        <v>0.66666666666666663</v>
      </c>
      <c r="L409" s="91">
        <f t="shared" si="60"/>
        <v>4.375</v>
      </c>
      <c r="M409" s="29">
        <f t="shared" si="57"/>
        <v>20</v>
      </c>
      <c r="N409" s="92">
        <f t="shared" si="52"/>
        <v>0.50000000000000089</v>
      </c>
      <c r="O409" s="104">
        <f t="shared" si="53"/>
        <v>1.016</v>
      </c>
      <c r="P409" s="105">
        <f t="shared" si="54"/>
        <v>7.1120000000000116</v>
      </c>
    </row>
    <row r="410" spans="2:16" x14ac:dyDescent="0.25">
      <c r="B410" s="88" t="str">
        <f t="shared" si="55"/>
        <v>Fazenda Altenor</v>
      </c>
      <c r="C410" s="106">
        <f t="shared" si="58"/>
        <v>2020</v>
      </c>
      <c r="D410" s="101">
        <v>43969</v>
      </c>
      <c r="E410" s="102">
        <v>0.29166666666666669</v>
      </c>
      <c r="F410" s="103">
        <v>0.3125</v>
      </c>
      <c r="G410" s="103">
        <v>0.29166666666666669</v>
      </c>
      <c r="H410" s="103">
        <v>0.33333333333333331</v>
      </c>
      <c r="I410" s="90">
        <f t="shared" si="56"/>
        <v>0.49999999999999956</v>
      </c>
      <c r="J410" s="90">
        <f t="shared" si="51"/>
        <v>0.99999999999999911</v>
      </c>
      <c r="K410" s="91">
        <f t="shared" si="59"/>
        <v>0.66666666666666663</v>
      </c>
      <c r="L410" s="91">
        <f t="shared" si="60"/>
        <v>4.375</v>
      </c>
      <c r="M410" s="29">
        <f t="shared" si="57"/>
        <v>20</v>
      </c>
      <c r="N410" s="92">
        <f t="shared" si="52"/>
        <v>0.49999999999999956</v>
      </c>
      <c r="O410" s="104">
        <f t="shared" si="53"/>
        <v>1.016</v>
      </c>
      <c r="P410" s="105">
        <f t="shared" si="54"/>
        <v>7.111999999999993</v>
      </c>
    </row>
    <row r="411" spans="2:16" x14ac:dyDescent="0.25">
      <c r="B411" s="88" t="str">
        <f t="shared" si="55"/>
        <v>Fazenda Altenor</v>
      </c>
      <c r="C411" s="106">
        <f t="shared" si="58"/>
        <v>2020</v>
      </c>
      <c r="D411" s="101">
        <v>43970</v>
      </c>
      <c r="E411" s="102">
        <v>0.3125</v>
      </c>
      <c r="F411" s="103">
        <v>0.33333333333333331</v>
      </c>
      <c r="G411" s="103">
        <v>0.3125</v>
      </c>
      <c r="H411" s="103">
        <v>0.35416666666666669</v>
      </c>
      <c r="I411" s="90">
        <f t="shared" si="56"/>
        <v>0.49999999999999956</v>
      </c>
      <c r="J411" s="90">
        <f t="shared" ref="J411:J474" si="61">((H411-G411)-INT($D$20))*24</f>
        <v>1.0000000000000004</v>
      </c>
      <c r="K411" s="91">
        <f t="shared" si="59"/>
        <v>0.66666666666666663</v>
      </c>
      <c r="L411" s="91">
        <f t="shared" si="60"/>
        <v>4.375</v>
      </c>
      <c r="M411" s="29">
        <f t="shared" si="57"/>
        <v>20</v>
      </c>
      <c r="N411" s="92">
        <f t="shared" ref="N411:N474" si="62">I411</f>
        <v>0.49999999999999956</v>
      </c>
      <c r="O411" s="104">
        <f t="shared" ref="O411:O474" si="63">$D$21/1000</f>
        <v>1.016</v>
      </c>
      <c r="P411" s="105">
        <f t="shared" ref="P411:P474" si="64">M411*N411*O411*0.7</f>
        <v>7.111999999999993</v>
      </c>
    </row>
    <row r="412" spans="2:16" x14ac:dyDescent="0.25">
      <c r="B412" s="88" t="str">
        <f t="shared" ref="B412:B475" si="65">$B$5</f>
        <v>Fazenda Altenor</v>
      </c>
      <c r="C412" s="106">
        <f t="shared" si="58"/>
        <v>2020</v>
      </c>
      <c r="D412" s="101">
        <v>43971</v>
      </c>
      <c r="E412" s="102">
        <v>0.33333333333333331</v>
      </c>
      <c r="F412" s="103">
        <v>0.35416666666666669</v>
      </c>
      <c r="G412" s="103">
        <v>0.33333333333333331</v>
      </c>
      <c r="H412" s="103">
        <v>0.375</v>
      </c>
      <c r="I412" s="90">
        <f t="shared" ref="I412:I476" si="66">((F412-E412)-INT($D$20))*24</f>
        <v>0.50000000000000089</v>
      </c>
      <c r="J412" s="90">
        <f t="shared" si="61"/>
        <v>1.0000000000000004</v>
      </c>
      <c r="K412" s="91">
        <f t="shared" si="59"/>
        <v>0.66666666666666663</v>
      </c>
      <c r="L412" s="91">
        <f t="shared" si="60"/>
        <v>4.375</v>
      </c>
      <c r="M412" s="29">
        <f t="shared" ref="M412:M475" si="67">VLOOKUP(B412,$I$5:$J$17,2,FALSE)</f>
        <v>20</v>
      </c>
      <c r="N412" s="92">
        <f t="shared" si="62"/>
        <v>0.50000000000000089</v>
      </c>
      <c r="O412" s="104">
        <f t="shared" si="63"/>
        <v>1.016</v>
      </c>
      <c r="P412" s="105">
        <f t="shared" si="64"/>
        <v>7.1120000000000116</v>
      </c>
    </row>
    <row r="413" spans="2:16" x14ac:dyDescent="0.25">
      <c r="B413" s="88" t="str">
        <f t="shared" si="65"/>
        <v>Fazenda Altenor</v>
      </c>
      <c r="C413" s="106">
        <f t="shared" ref="C413:C475" si="68">YEAR(D413)</f>
        <v>2020</v>
      </c>
      <c r="D413" s="101">
        <v>43972</v>
      </c>
      <c r="E413" s="102">
        <v>0.29166666666666669</v>
      </c>
      <c r="F413" s="103">
        <v>0.3125</v>
      </c>
      <c r="G413" s="103">
        <v>0.29166666666666669</v>
      </c>
      <c r="H413" s="103">
        <v>0.33333333333333331</v>
      </c>
      <c r="I413" s="90">
        <f t="shared" si="66"/>
        <v>0.49999999999999956</v>
      </c>
      <c r="J413" s="90">
        <f t="shared" si="61"/>
        <v>0.99999999999999911</v>
      </c>
      <c r="K413" s="91">
        <f t="shared" ref="K413:K476" si="69">VLOOKUP(B413,$B$5:$J$17,5,FALSE)</f>
        <v>0.66666666666666663</v>
      </c>
      <c r="L413" s="91">
        <f t="shared" ref="L413:L476" si="70">VLOOKUP(B413,$B$5:$J$17,6,FALSE)</f>
        <v>4.375</v>
      </c>
      <c r="M413" s="29">
        <f t="shared" si="67"/>
        <v>20</v>
      </c>
      <c r="N413" s="92">
        <f t="shared" si="62"/>
        <v>0.49999999999999956</v>
      </c>
      <c r="O413" s="104">
        <f t="shared" si="63"/>
        <v>1.016</v>
      </c>
      <c r="P413" s="105">
        <f t="shared" si="64"/>
        <v>7.111999999999993</v>
      </c>
    </row>
    <row r="414" spans="2:16" x14ac:dyDescent="0.25">
      <c r="B414" s="88" t="str">
        <f t="shared" si="65"/>
        <v>Fazenda Altenor</v>
      </c>
      <c r="C414" s="106">
        <f t="shared" si="68"/>
        <v>2020</v>
      </c>
      <c r="D414" s="101">
        <v>43973</v>
      </c>
      <c r="E414" s="102">
        <v>0.375</v>
      </c>
      <c r="F414" s="103">
        <v>0.39583333333333331</v>
      </c>
      <c r="G414" s="103">
        <v>0.375</v>
      </c>
      <c r="H414" s="103">
        <v>0.41666666666666669</v>
      </c>
      <c r="I414" s="90">
        <f t="shared" si="66"/>
        <v>0.49999999999999956</v>
      </c>
      <c r="J414" s="90">
        <f t="shared" si="61"/>
        <v>1.0000000000000004</v>
      </c>
      <c r="K414" s="91">
        <f t="shared" si="69"/>
        <v>0.66666666666666663</v>
      </c>
      <c r="L414" s="91">
        <f t="shared" si="70"/>
        <v>4.375</v>
      </c>
      <c r="M414" s="29">
        <f t="shared" si="67"/>
        <v>20</v>
      </c>
      <c r="N414" s="92">
        <f t="shared" si="62"/>
        <v>0.49999999999999956</v>
      </c>
      <c r="O414" s="104">
        <f t="shared" si="63"/>
        <v>1.016</v>
      </c>
      <c r="P414" s="105">
        <f t="shared" si="64"/>
        <v>7.111999999999993</v>
      </c>
    </row>
    <row r="415" spans="2:16" x14ac:dyDescent="0.25">
      <c r="B415" s="88" t="str">
        <f t="shared" si="65"/>
        <v>Fazenda Altenor</v>
      </c>
      <c r="C415" s="106">
        <f t="shared" si="68"/>
        <v>2020</v>
      </c>
      <c r="D415" s="101">
        <v>43974</v>
      </c>
      <c r="E415" s="102">
        <v>0.3125</v>
      </c>
      <c r="F415" s="103">
        <v>0.33333333333333331</v>
      </c>
      <c r="G415" s="103">
        <v>0.3125</v>
      </c>
      <c r="H415" s="103">
        <v>0.36458333333333331</v>
      </c>
      <c r="I415" s="90">
        <f t="shared" si="66"/>
        <v>0.49999999999999956</v>
      </c>
      <c r="J415" s="90">
        <f t="shared" si="61"/>
        <v>1.2499999999999996</v>
      </c>
      <c r="K415" s="91">
        <f t="shared" si="69"/>
        <v>0.66666666666666663</v>
      </c>
      <c r="L415" s="91">
        <f t="shared" si="70"/>
        <v>4.375</v>
      </c>
      <c r="M415" s="29">
        <f t="shared" si="67"/>
        <v>20</v>
      </c>
      <c r="N415" s="92">
        <f t="shared" si="62"/>
        <v>0.49999999999999956</v>
      </c>
      <c r="O415" s="104">
        <f t="shared" si="63"/>
        <v>1.016</v>
      </c>
      <c r="P415" s="105">
        <f t="shared" si="64"/>
        <v>7.111999999999993</v>
      </c>
    </row>
    <row r="416" spans="2:16" x14ac:dyDescent="0.25">
      <c r="B416" s="88" t="str">
        <f t="shared" si="65"/>
        <v>Fazenda Altenor</v>
      </c>
      <c r="C416" s="106">
        <f t="shared" si="68"/>
        <v>2020</v>
      </c>
      <c r="D416" s="101">
        <v>43975</v>
      </c>
      <c r="E416" s="102">
        <v>0.33333333333333331</v>
      </c>
      <c r="F416" s="103">
        <v>0.35416666666666669</v>
      </c>
      <c r="G416" s="103">
        <v>0.33333333333333331</v>
      </c>
      <c r="H416" s="103">
        <v>0.375</v>
      </c>
      <c r="I416" s="90">
        <f t="shared" si="66"/>
        <v>0.50000000000000089</v>
      </c>
      <c r="J416" s="90">
        <f t="shared" si="61"/>
        <v>1.0000000000000004</v>
      </c>
      <c r="K416" s="91">
        <f t="shared" si="69"/>
        <v>0.66666666666666663</v>
      </c>
      <c r="L416" s="91">
        <f t="shared" si="70"/>
        <v>4.375</v>
      </c>
      <c r="M416" s="29">
        <f t="shared" si="67"/>
        <v>20</v>
      </c>
      <c r="N416" s="92">
        <f t="shared" si="62"/>
        <v>0.50000000000000089</v>
      </c>
      <c r="O416" s="104">
        <f t="shared" si="63"/>
        <v>1.016</v>
      </c>
      <c r="P416" s="105">
        <f t="shared" si="64"/>
        <v>7.1120000000000116</v>
      </c>
    </row>
    <row r="417" spans="2:16" x14ac:dyDescent="0.25">
      <c r="B417" s="88" t="str">
        <f t="shared" si="65"/>
        <v>Fazenda Altenor</v>
      </c>
      <c r="C417" s="106">
        <f t="shared" si="68"/>
        <v>2020</v>
      </c>
      <c r="D417" s="101">
        <v>43976</v>
      </c>
      <c r="E417" s="102"/>
      <c r="F417" s="103"/>
      <c r="G417" s="103"/>
      <c r="H417" s="103"/>
      <c r="I417" s="90">
        <f t="shared" si="66"/>
        <v>0</v>
      </c>
      <c r="J417" s="90">
        <f t="shared" si="61"/>
        <v>0</v>
      </c>
      <c r="K417" s="91">
        <f t="shared" si="69"/>
        <v>0.66666666666666663</v>
      </c>
      <c r="L417" s="91">
        <f t="shared" si="70"/>
        <v>4.375</v>
      </c>
      <c r="M417" s="29">
        <f t="shared" si="67"/>
        <v>20</v>
      </c>
      <c r="N417" s="92">
        <f t="shared" si="62"/>
        <v>0</v>
      </c>
      <c r="O417" s="104">
        <f t="shared" si="63"/>
        <v>1.016</v>
      </c>
      <c r="P417" s="105">
        <f t="shared" si="64"/>
        <v>0</v>
      </c>
    </row>
    <row r="418" spans="2:16" x14ac:dyDescent="0.25">
      <c r="B418" s="88" t="str">
        <f t="shared" si="65"/>
        <v>Fazenda Altenor</v>
      </c>
      <c r="C418" s="106">
        <f t="shared" si="68"/>
        <v>2020</v>
      </c>
      <c r="D418" s="101">
        <v>43977</v>
      </c>
      <c r="E418" s="102">
        <v>0.375</v>
      </c>
      <c r="F418" s="103">
        <v>0.39583333333333331</v>
      </c>
      <c r="G418" s="103">
        <v>0.375</v>
      </c>
      <c r="H418" s="103">
        <v>0.41666666666666669</v>
      </c>
      <c r="I418" s="90">
        <f t="shared" si="66"/>
        <v>0.49999999999999956</v>
      </c>
      <c r="J418" s="90">
        <f t="shared" si="61"/>
        <v>1.0000000000000004</v>
      </c>
      <c r="K418" s="91">
        <f t="shared" si="69"/>
        <v>0.66666666666666663</v>
      </c>
      <c r="L418" s="91">
        <f t="shared" si="70"/>
        <v>4.375</v>
      </c>
      <c r="M418" s="29">
        <f t="shared" si="67"/>
        <v>20</v>
      </c>
      <c r="N418" s="92">
        <f t="shared" si="62"/>
        <v>0.49999999999999956</v>
      </c>
      <c r="O418" s="104">
        <f t="shared" si="63"/>
        <v>1.016</v>
      </c>
      <c r="P418" s="105">
        <f t="shared" si="64"/>
        <v>7.111999999999993</v>
      </c>
    </row>
    <row r="419" spans="2:16" x14ac:dyDescent="0.25">
      <c r="B419" s="88" t="str">
        <f t="shared" si="65"/>
        <v>Fazenda Altenor</v>
      </c>
      <c r="C419" s="106">
        <f t="shared" si="68"/>
        <v>2020</v>
      </c>
      <c r="D419" s="101">
        <v>43978</v>
      </c>
      <c r="E419" s="102">
        <v>0.29166666666666669</v>
      </c>
      <c r="F419" s="103">
        <v>0.3125</v>
      </c>
      <c r="G419" s="103">
        <v>0.29166666666666669</v>
      </c>
      <c r="H419" s="103">
        <v>0.33333333333333331</v>
      </c>
      <c r="I419" s="90">
        <f t="shared" si="66"/>
        <v>0.49999999999999956</v>
      </c>
      <c r="J419" s="90">
        <f t="shared" si="61"/>
        <v>0.99999999999999911</v>
      </c>
      <c r="K419" s="91">
        <f t="shared" si="69"/>
        <v>0.66666666666666663</v>
      </c>
      <c r="L419" s="91">
        <f t="shared" si="70"/>
        <v>4.375</v>
      </c>
      <c r="M419" s="29">
        <f t="shared" si="67"/>
        <v>20</v>
      </c>
      <c r="N419" s="92">
        <f t="shared" si="62"/>
        <v>0.49999999999999956</v>
      </c>
      <c r="O419" s="104">
        <f t="shared" si="63"/>
        <v>1.016</v>
      </c>
      <c r="P419" s="105">
        <f t="shared" si="64"/>
        <v>7.111999999999993</v>
      </c>
    </row>
    <row r="420" spans="2:16" x14ac:dyDescent="0.25">
      <c r="B420" s="88" t="str">
        <f t="shared" si="65"/>
        <v>Fazenda Altenor</v>
      </c>
      <c r="C420" s="106">
        <f t="shared" si="68"/>
        <v>2020</v>
      </c>
      <c r="D420" s="101">
        <v>43979</v>
      </c>
      <c r="E420" s="102">
        <v>0.3125</v>
      </c>
      <c r="F420" s="103">
        <v>0.33333333333333331</v>
      </c>
      <c r="G420" s="103">
        <v>0.3125</v>
      </c>
      <c r="H420" s="103">
        <v>0.36458333333333331</v>
      </c>
      <c r="I420" s="90">
        <f t="shared" si="66"/>
        <v>0.49999999999999956</v>
      </c>
      <c r="J420" s="90">
        <f t="shared" si="61"/>
        <v>1.2499999999999996</v>
      </c>
      <c r="K420" s="91">
        <f t="shared" si="69"/>
        <v>0.66666666666666663</v>
      </c>
      <c r="L420" s="91">
        <f t="shared" si="70"/>
        <v>4.375</v>
      </c>
      <c r="M420" s="29">
        <f t="shared" si="67"/>
        <v>20</v>
      </c>
      <c r="N420" s="92">
        <f t="shared" si="62"/>
        <v>0.49999999999999956</v>
      </c>
      <c r="O420" s="104">
        <f t="shared" si="63"/>
        <v>1.016</v>
      </c>
      <c r="P420" s="105">
        <f t="shared" si="64"/>
        <v>7.111999999999993</v>
      </c>
    </row>
    <row r="421" spans="2:16" x14ac:dyDescent="0.25">
      <c r="B421" s="88" t="str">
        <f t="shared" si="65"/>
        <v>Fazenda Altenor</v>
      </c>
      <c r="C421" s="106">
        <f t="shared" si="68"/>
        <v>2020</v>
      </c>
      <c r="D421" s="101">
        <v>43980</v>
      </c>
      <c r="E421" s="102">
        <v>0.33333333333333331</v>
      </c>
      <c r="F421" s="103">
        <v>0.35416666666666669</v>
      </c>
      <c r="G421" s="103">
        <v>0.33333333333333331</v>
      </c>
      <c r="H421" s="103">
        <v>0.375</v>
      </c>
      <c r="I421" s="90">
        <f t="shared" si="66"/>
        <v>0.50000000000000089</v>
      </c>
      <c r="J421" s="90">
        <f t="shared" si="61"/>
        <v>1.0000000000000004</v>
      </c>
      <c r="K421" s="91">
        <f t="shared" si="69"/>
        <v>0.66666666666666663</v>
      </c>
      <c r="L421" s="91">
        <f t="shared" si="70"/>
        <v>4.375</v>
      </c>
      <c r="M421" s="29">
        <f t="shared" si="67"/>
        <v>20</v>
      </c>
      <c r="N421" s="92">
        <f t="shared" si="62"/>
        <v>0.50000000000000089</v>
      </c>
      <c r="O421" s="104">
        <f t="shared" si="63"/>
        <v>1.016</v>
      </c>
      <c r="P421" s="105">
        <f t="shared" si="64"/>
        <v>7.1120000000000116</v>
      </c>
    </row>
    <row r="422" spans="2:16" x14ac:dyDescent="0.25">
      <c r="B422" s="88" t="str">
        <f t="shared" si="65"/>
        <v>Fazenda Altenor</v>
      </c>
      <c r="C422" s="106">
        <f t="shared" si="68"/>
        <v>2020</v>
      </c>
      <c r="D422" s="101">
        <v>43981</v>
      </c>
      <c r="E422" s="102">
        <v>0.375</v>
      </c>
      <c r="F422" s="103">
        <v>0.39583333333333331</v>
      </c>
      <c r="G422" s="103">
        <v>0.375</v>
      </c>
      <c r="H422" s="103">
        <v>0.41666666666666669</v>
      </c>
      <c r="I422" s="90">
        <f t="shared" si="66"/>
        <v>0.49999999999999956</v>
      </c>
      <c r="J422" s="90">
        <f t="shared" si="61"/>
        <v>1.0000000000000004</v>
      </c>
      <c r="K422" s="91">
        <f t="shared" si="69"/>
        <v>0.66666666666666663</v>
      </c>
      <c r="L422" s="91">
        <f t="shared" si="70"/>
        <v>4.375</v>
      </c>
      <c r="M422" s="29">
        <f t="shared" si="67"/>
        <v>20</v>
      </c>
      <c r="N422" s="92">
        <f t="shared" si="62"/>
        <v>0.49999999999999956</v>
      </c>
      <c r="O422" s="104">
        <f t="shared" si="63"/>
        <v>1.016</v>
      </c>
      <c r="P422" s="105">
        <f t="shared" si="64"/>
        <v>7.111999999999993</v>
      </c>
    </row>
    <row r="423" spans="2:16" x14ac:dyDescent="0.25">
      <c r="B423" s="88" t="str">
        <f t="shared" si="65"/>
        <v>Fazenda Altenor</v>
      </c>
      <c r="C423" s="106">
        <f t="shared" si="68"/>
        <v>2020</v>
      </c>
      <c r="D423" s="101">
        <v>43982</v>
      </c>
      <c r="E423" s="102">
        <v>0.29166666666666669</v>
      </c>
      <c r="F423" s="103">
        <v>0.3125</v>
      </c>
      <c r="G423" s="103">
        <v>0.29166666666666669</v>
      </c>
      <c r="H423" s="103">
        <v>0.33333333333333331</v>
      </c>
      <c r="I423" s="90">
        <f t="shared" si="66"/>
        <v>0.49999999999999956</v>
      </c>
      <c r="J423" s="90">
        <f t="shared" si="61"/>
        <v>0.99999999999999911</v>
      </c>
      <c r="K423" s="91">
        <f t="shared" si="69"/>
        <v>0.66666666666666663</v>
      </c>
      <c r="L423" s="91">
        <f t="shared" si="70"/>
        <v>4.375</v>
      </c>
      <c r="M423" s="29">
        <f t="shared" si="67"/>
        <v>20</v>
      </c>
      <c r="N423" s="92">
        <f t="shared" si="62"/>
        <v>0.49999999999999956</v>
      </c>
      <c r="O423" s="104">
        <f t="shared" si="63"/>
        <v>1.016</v>
      </c>
      <c r="P423" s="105">
        <f t="shared" si="64"/>
        <v>7.111999999999993</v>
      </c>
    </row>
    <row r="424" spans="2:16" x14ac:dyDescent="0.25">
      <c r="B424" s="88" t="str">
        <f t="shared" si="65"/>
        <v>Fazenda Altenor</v>
      </c>
      <c r="C424" s="106">
        <f t="shared" si="68"/>
        <v>2020</v>
      </c>
      <c r="D424" s="101">
        <v>43983</v>
      </c>
      <c r="E424" s="102">
        <v>0.3125</v>
      </c>
      <c r="F424" s="103">
        <v>0.33333333333333331</v>
      </c>
      <c r="G424" s="103">
        <v>0.3125</v>
      </c>
      <c r="H424" s="103">
        <v>0.375</v>
      </c>
      <c r="I424" s="90">
        <f t="shared" si="66"/>
        <v>0.49999999999999956</v>
      </c>
      <c r="J424" s="90">
        <f t="shared" si="61"/>
        <v>1.5</v>
      </c>
      <c r="K424" s="91">
        <f t="shared" si="69"/>
        <v>0.66666666666666663</v>
      </c>
      <c r="L424" s="91">
        <f t="shared" si="70"/>
        <v>4.375</v>
      </c>
      <c r="M424" s="29">
        <f t="shared" si="67"/>
        <v>20</v>
      </c>
      <c r="N424" s="92">
        <f t="shared" si="62"/>
        <v>0.49999999999999956</v>
      </c>
      <c r="O424" s="104">
        <f t="shared" si="63"/>
        <v>1.016</v>
      </c>
      <c r="P424" s="105">
        <f t="shared" si="64"/>
        <v>7.111999999999993</v>
      </c>
    </row>
    <row r="425" spans="2:16" x14ac:dyDescent="0.25">
      <c r="B425" s="88" t="str">
        <f t="shared" si="65"/>
        <v>Fazenda Altenor</v>
      </c>
      <c r="C425" s="106">
        <f t="shared" si="68"/>
        <v>2020</v>
      </c>
      <c r="D425" s="101">
        <v>43984</v>
      </c>
      <c r="E425" s="102">
        <v>0.33333333333333331</v>
      </c>
      <c r="F425" s="103">
        <v>0.35416666666666669</v>
      </c>
      <c r="G425" s="103">
        <v>0.33333333333333331</v>
      </c>
      <c r="H425" s="103">
        <v>0.39583333333333331</v>
      </c>
      <c r="I425" s="90">
        <f t="shared" si="66"/>
        <v>0.50000000000000089</v>
      </c>
      <c r="J425" s="90">
        <f t="shared" si="61"/>
        <v>1.5</v>
      </c>
      <c r="K425" s="91">
        <f t="shared" si="69"/>
        <v>0.66666666666666663</v>
      </c>
      <c r="L425" s="91">
        <f t="shared" si="70"/>
        <v>4.375</v>
      </c>
      <c r="M425" s="29">
        <f t="shared" si="67"/>
        <v>20</v>
      </c>
      <c r="N425" s="92">
        <f t="shared" si="62"/>
        <v>0.50000000000000089</v>
      </c>
      <c r="O425" s="104">
        <f t="shared" si="63"/>
        <v>1.016</v>
      </c>
      <c r="P425" s="105">
        <f t="shared" si="64"/>
        <v>7.1120000000000116</v>
      </c>
    </row>
    <row r="426" spans="2:16" x14ac:dyDescent="0.25">
      <c r="B426" s="88" t="str">
        <f t="shared" si="65"/>
        <v>Fazenda Altenor</v>
      </c>
      <c r="C426" s="106">
        <f t="shared" si="68"/>
        <v>2020</v>
      </c>
      <c r="D426" s="101">
        <v>43985</v>
      </c>
      <c r="E426" s="102">
        <v>0.29166666666666669</v>
      </c>
      <c r="F426" s="103">
        <v>0.3125</v>
      </c>
      <c r="G426" s="103">
        <v>0.29166666666666669</v>
      </c>
      <c r="H426" s="103">
        <v>0.33333333333333331</v>
      </c>
      <c r="I426" s="90">
        <f t="shared" si="66"/>
        <v>0.49999999999999956</v>
      </c>
      <c r="J426" s="90">
        <f t="shared" si="61"/>
        <v>0.99999999999999911</v>
      </c>
      <c r="K426" s="91">
        <f t="shared" si="69"/>
        <v>0.66666666666666663</v>
      </c>
      <c r="L426" s="91">
        <f t="shared" si="70"/>
        <v>4.375</v>
      </c>
      <c r="M426" s="29">
        <f t="shared" si="67"/>
        <v>20</v>
      </c>
      <c r="N426" s="92">
        <f t="shared" si="62"/>
        <v>0.49999999999999956</v>
      </c>
      <c r="O426" s="104">
        <f t="shared" si="63"/>
        <v>1.016</v>
      </c>
      <c r="P426" s="105">
        <f t="shared" si="64"/>
        <v>7.111999999999993</v>
      </c>
    </row>
    <row r="427" spans="2:16" x14ac:dyDescent="0.25">
      <c r="B427" s="88" t="str">
        <f t="shared" si="65"/>
        <v>Fazenda Altenor</v>
      </c>
      <c r="C427" s="106">
        <f t="shared" si="68"/>
        <v>2020</v>
      </c>
      <c r="D427" s="101">
        <v>43986</v>
      </c>
      <c r="E427" s="102">
        <v>0.3125</v>
      </c>
      <c r="F427" s="103">
        <v>0.33333333333333331</v>
      </c>
      <c r="G427" s="103">
        <v>0.3125</v>
      </c>
      <c r="H427" s="103">
        <v>0.35416666666666669</v>
      </c>
      <c r="I427" s="90">
        <f t="shared" si="66"/>
        <v>0.49999999999999956</v>
      </c>
      <c r="J427" s="90">
        <f t="shared" si="61"/>
        <v>1.0000000000000004</v>
      </c>
      <c r="K427" s="91">
        <f t="shared" si="69"/>
        <v>0.66666666666666663</v>
      </c>
      <c r="L427" s="91">
        <f t="shared" si="70"/>
        <v>4.375</v>
      </c>
      <c r="M427" s="29">
        <f t="shared" si="67"/>
        <v>20</v>
      </c>
      <c r="N427" s="92">
        <f t="shared" si="62"/>
        <v>0.49999999999999956</v>
      </c>
      <c r="O427" s="104">
        <f t="shared" si="63"/>
        <v>1.016</v>
      </c>
      <c r="P427" s="105">
        <f t="shared" si="64"/>
        <v>7.111999999999993</v>
      </c>
    </row>
    <row r="428" spans="2:16" x14ac:dyDescent="0.25">
      <c r="B428" s="88" t="str">
        <f t="shared" si="65"/>
        <v>Fazenda Altenor</v>
      </c>
      <c r="C428" s="106">
        <f t="shared" si="68"/>
        <v>2020</v>
      </c>
      <c r="D428" s="101">
        <v>43987</v>
      </c>
      <c r="E428" s="102">
        <v>0.33333333333333331</v>
      </c>
      <c r="F428" s="103">
        <v>0.35416666666666669</v>
      </c>
      <c r="G428" s="103">
        <v>0.33333333333333331</v>
      </c>
      <c r="H428" s="103">
        <v>0.375</v>
      </c>
      <c r="I428" s="90">
        <f t="shared" si="66"/>
        <v>0.50000000000000089</v>
      </c>
      <c r="J428" s="90">
        <f t="shared" si="61"/>
        <v>1.0000000000000004</v>
      </c>
      <c r="K428" s="91">
        <f t="shared" si="69"/>
        <v>0.66666666666666663</v>
      </c>
      <c r="L428" s="91">
        <f t="shared" si="70"/>
        <v>4.375</v>
      </c>
      <c r="M428" s="29">
        <f t="shared" si="67"/>
        <v>20</v>
      </c>
      <c r="N428" s="92">
        <f t="shared" si="62"/>
        <v>0.50000000000000089</v>
      </c>
      <c r="O428" s="104">
        <f t="shared" si="63"/>
        <v>1.016</v>
      </c>
      <c r="P428" s="105">
        <f t="shared" si="64"/>
        <v>7.1120000000000116</v>
      </c>
    </row>
    <row r="429" spans="2:16" x14ac:dyDescent="0.25">
      <c r="B429" s="88" t="str">
        <f t="shared" si="65"/>
        <v>Fazenda Altenor</v>
      </c>
      <c r="C429" s="106">
        <f t="shared" si="68"/>
        <v>2020</v>
      </c>
      <c r="D429" s="101">
        <v>43988</v>
      </c>
      <c r="E429" s="102">
        <v>0.29166666666666669</v>
      </c>
      <c r="F429" s="103">
        <v>0.32291666666666669</v>
      </c>
      <c r="G429" s="103">
        <v>0.29166666666666669</v>
      </c>
      <c r="H429" s="103">
        <v>0.33333333333333331</v>
      </c>
      <c r="I429" s="90">
        <f t="shared" si="66"/>
        <v>0.75</v>
      </c>
      <c r="J429" s="90">
        <f t="shared" si="61"/>
        <v>0.99999999999999911</v>
      </c>
      <c r="K429" s="91">
        <f t="shared" si="69"/>
        <v>0.66666666666666663</v>
      </c>
      <c r="L429" s="91">
        <f t="shared" si="70"/>
        <v>4.375</v>
      </c>
      <c r="M429" s="29">
        <f t="shared" si="67"/>
        <v>20</v>
      </c>
      <c r="N429" s="92">
        <f t="shared" si="62"/>
        <v>0.75</v>
      </c>
      <c r="O429" s="104">
        <f t="shared" si="63"/>
        <v>1.016</v>
      </c>
      <c r="P429" s="105">
        <f t="shared" si="64"/>
        <v>10.667999999999999</v>
      </c>
    </row>
    <row r="430" spans="2:16" x14ac:dyDescent="0.25">
      <c r="B430" s="88" t="str">
        <f t="shared" si="65"/>
        <v>Fazenda Altenor</v>
      </c>
      <c r="C430" s="106">
        <f t="shared" si="68"/>
        <v>2020</v>
      </c>
      <c r="D430" s="101">
        <v>43989</v>
      </c>
      <c r="E430" s="102">
        <v>0.33333333333333331</v>
      </c>
      <c r="F430" s="103">
        <v>0.35416666666666669</v>
      </c>
      <c r="G430" s="103">
        <v>0.33333333333333331</v>
      </c>
      <c r="H430" s="103">
        <v>0.36458333333333331</v>
      </c>
      <c r="I430" s="90">
        <f t="shared" si="66"/>
        <v>0.50000000000000089</v>
      </c>
      <c r="J430" s="90">
        <f t="shared" si="61"/>
        <v>0.75</v>
      </c>
      <c r="K430" s="91">
        <f t="shared" si="69"/>
        <v>0.66666666666666663</v>
      </c>
      <c r="L430" s="91">
        <f t="shared" si="70"/>
        <v>4.375</v>
      </c>
      <c r="M430" s="29">
        <f t="shared" si="67"/>
        <v>20</v>
      </c>
      <c r="N430" s="92">
        <f t="shared" si="62"/>
        <v>0.50000000000000089</v>
      </c>
      <c r="O430" s="104">
        <f t="shared" si="63"/>
        <v>1.016</v>
      </c>
      <c r="P430" s="105">
        <f t="shared" si="64"/>
        <v>7.1120000000000116</v>
      </c>
    </row>
    <row r="431" spans="2:16" x14ac:dyDescent="0.25">
      <c r="B431" s="88" t="str">
        <f t="shared" si="65"/>
        <v>Fazenda Altenor</v>
      </c>
      <c r="C431" s="106">
        <f t="shared" si="68"/>
        <v>2020</v>
      </c>
      <c r="D431" s="101">
        <v>43990</v>
      </c>
      <c r="E431" s="102">
        <v>0.3125</v>
      </c>
      <c r="F431" s="103">
        <v>0.33333333333333331</v>
      </c>
      <c r="G431" s="103">
        <v>0.3125</v>
      </c>
      <c r="H431" s="103">
        <v>0.35416666666666669</v>
      </c>
      <c r="I431" s="90">
        <f t="shared" si="66"/>
        <v>0.49999999999999956</v>
      </c>
      <c r="J431" s="90">
        <f t="shared" si="61"/>
        <v>1.0000000000000004</v>
      </c>
      <c r="K431" s="91">
        <f t="shared" si="69"/>
        <v>0.66666666666666663</v>
      </c>
      <c r="L431" s="91">
        <f t="shared" si="70"/>
        <v>4.375</v>
      </c>
      <c r="M431" s="29">
        <f t="shared" si="67"/>
        <v>20</v>
      </c>
      <c r="N431" s="92">
        <f t="shared" si="62"/>
        <v>0.49999999999999956</v>
      </c>
      <c r="O431" s="104">
        <f t="shared" si="63"/>
        <v>1.016</v>
      </c>
      <c r="P431" s="105">
        <f t="shared" si="64"/>
        <v>7.111999999999993</v>
      </c>
    </row>
    <row r="432" spans="2:16" x14ac:dyDescent="0.25">
      <c r="B432" s="88" t="str">
        <f t="shared" si="65"/>
        <v>Fazenda Altenor</v>
      </c>
      <c r="C432" s="106">
        <f t="shared" si="68"/>
        <v>2020</v>
      </c>
      <c r="D432" s="101">
        <v>43991</v>
      </c>
      <c r="E432" s="102">
        <v>0.29166666666666669</v>
      </c>
      <c r="F432" s="103">
        <v>0.3125</v>
      </c>
      <c r="G432" s="103">
        <v>0.29166666666666669</v>
      </c>
      <c r="H432" s="103">
        <v>0.33333333333333331</v>
      </c>
      <c r="I432" s="90">
        <f t="shared" si="66"/>
        <v>0.49999999999999956</v>
      </c>
      <c r="J432" s="90">
        <f t="shared" si="61"/>
        <v>0.99999999999999911</v>
      </c>
      <c r="K432" s="91">
        <f t="shared" si="69"/>
        <v>0.66666666666666663</v>
      </c>
      <c r="L432" s="91">
        <f t="shared" si="70"/>
        <v>4.375</v>
      </c>
      <c r="M432" s="29">
        <f t="shared" si="67"/>
        <v>20</v>
      </c>
      <c r="N432" s="92">
        <f t="shared" si="62"/>
        <v>0.49999999999999956</v>
      </c>
      <c r="O432" s="104">
        <f t="shared" si="63"/>
        <v>1.016</v>
      </c>
      <c r="P432" s="105">
        <f t="shared" si="64"/>
        <v>7.111999999999993</v>
      </c>
    </row>
    <row r="433" spans="2:16" x14ac:dyDescent="0.25">
      <c r="B433" s="88" t="str">
        <f t="shared" si="65"/>
        <v>Fazenda Altenor</v>
      </c>
      <c r="C433" s="106">
        <f t="shared" si="68"/>
        <v>2020</v>
      </c>
      <c r="D433" s="101">
        <v>43992</v>
      </c>
      <c r="E433" s="102"/>
      <c r="F433" s="103"/>
      <c r="G433" s="103"/>
      <c r="H433" s="103"/>
      <c r="I433" s="90">
        <f t="shared" si="66"/>
        <v>0</v>
      </c>
      <c r="J433" s="90">
        <f t="shared" si="61"/>
        <v>0</v>
      </c>
      <c r="K433" s="91">
        <f t="shared" si="69"/>
        <v>0.66666666666666663</v>
      </c>
      <c r="L433" s="91">
        <f t="shared" si="70"/>
        <v>4.375</v>
      </c>
      <c r="M433" s="29">
        <f t="shared" si="67"/>
        <v>20</v>
      </c>
      <c r="N433" s="92">
        <f t="shared" si="62"/>
        <v>0</v>
      </c>
      <c r="O433" s="104">
        <f t="shared" si="63"/>
        <v>1.016</v>
      </c>
      <c r="P433" s="105">
        <f t="shared" si="64"/>
        <v>0</v>
      </c>
    </row>
    <row r="434" spans="2:16" x14ac:dyDescent="0.25">
      <c r="B434" s="88" t="str">
        <f t="shared" si="65"/>
        <v>Fazenda Altenor</v>
      </c>
      <c r="C434" s="106">
        <f t="shared" si="68"/>
        <v>2020</v>
      </c>
      <c r="D434" s="101">
        <v>43993</v>
      </c>
      <c r="E434" s="102">
        <v>0.3125</v>
      </c>
      <c r="F434" s="103">
        <v>0.33333333333333331</v>
      </c>
      <c r="G434" s="103">
        <v>0.3125</v>
      </c>
      <c r="H434" s="103">
        <v>0.375</v>
      </c>
      <c r="I434" s="90">
        <f t="shared" si="66"/>
        <v>0.49999999999999956</v>
      </c>
      <c r="J434" s="90">
        <f t="shared" si="61"/>
        <v>1.5</v>
      </c>
      <c r="K434" s="91">
        <f t="shared" si="69"/>
        <v>0.66666666666666663</v>
      </c>
      <c r="L434" s="91">
        <f t="shared" si="70"/>
        <v>4.375</v>
      </c>
      <c r="M434" s="29">
        <f t="shared" si="67"/>
        <v>20</v>
      </c>
      <c r="N434" s="92">
        <f t="shared" si="62"/>
        <v>0.49999999999999956</v>
      </c>
      <c r="O434" s="104">
        <f t="shared" si="63"/>
        <v>1.016</v>
      </c>
      <c r="P434" s="105">
        <f t="shared" si="64"/>
        <v>7.111999999999993</v>
      </c>
    </row>
    <row r="435" spans="2:16" x14ac:dyDescent="0.25">
      <c r="B435" s="88" t="str">
        <f t="shared" si="65"/>
        <v>Fazenda Altenor</v>
      </c>
      <c r="C435" s="106">
        <f t="shared" si="68"/>
        <v>2020</v>
      </c>
      <c r="D435" s="101">
        <v>43994</v>
      </c>
      <c r="E435" s="102">
        <v>0.33333333333333331</v>
      </c>
      <c r="F435" s="103">
        <v>0.35416666666666669</v>
      </c>
      <c r="G435" s="103">
        <v>0.33333333333333331</v>
      </c>
      <c r="H435" s="103">
        <v>0.36458333333333331</v>
      </c>
      <c r="I435" s="90">
        <f t="shared" si="66"/>
        <v>0.50000000000000089</v>
      </c>
      <c r="J435" s="90">
        <f t="shared" si="61"/>
        <v>0.75</v>
      </c>
      <c r="K435" s="91">
        <f t="shared" si="69"/>
        <v>0.66666666666666663</v>
      </c>
      <c r="L435" s="91">
        <f t="shared" si="70"/>
        <v>4.375</v>
      </c>
      <c r="M435" s="29">
        <f t="shared" si="67"/>
        <v>20</v>
      </c>
      <c r="N435" s="92">
        <f t="shared" si="62"/>
        <v>0.50000000000000089</v>
      </c>
      <c r="O435" s="104">
        <f t="shared" si="63"/>
        <v>1.016</v>
      </c>
      <c r="P435" s="105">
        <f t="shared" si="64"/>
        <v>7.1120000000000116</v>
      </c>
    </row>
    <row r="436" spans="2:16" x14ac:dyDescent="0.25">
      <c r="B436" s="88" t="str">
        <f t="shared" si="65"/>
        <v>Fazenda Altenor</v>
      </c>
      <c r="C436" s="106">
        <f t="shared" si="68"/>
        <v>2020</v>
      </c>
      <c r="D436" s="101">
        <v>43995</v>
      </c>
      <c r="E436" s="102">
        <v>0.29166666666666669</v>
      </c>
      <c r="F436" s="103">
        <v>0.3125</v>
      </c>
      <c r="G436" s="103">
        <v>0.32291666666666669</v>
      </c>
      <c r="H436" s="103">
        <v>0.33333333333333331</v>
      </c>
      <c r="I436" s="90">
        <f t="shared" si="66"/>
        <v>0.49999999999999956</v>
      </c>
      <c r="J436" s="90">
        <f t="shared" si="61"/>
        <v>0.24999999999999911</v>
      </c>
      <c r="K436" s="91">
        <f t="shared" si="69"/>
        <v>0.66666666666666663</v>
      </c>
      <c r="L436" s="91">
        <f t="shared" si="70"/>
        <v>4.375</v>
      </c>
      <c r="M436" s="29">
        <f t="shared" si="67"/>
        <v>20</v>
      </c>
      <c r="N436" s="92">
        <f t="shared" si="62"/>
        <v>0.49999999999999956</v>
      </c>
      <c r="O436" s="104">
        <f t="shared" si="63"/>
        <v>1.016</v>
      </c>
      <c r="P436" s="105">
        <f t="shared" si="64"/>
        <v>7.111999999999993</v>
      </c>
    </row>
    <row r="437" spans="2:16" x14ac:dyDescent="0.25">
      <c r="B437" s="88" t="str">
        <f t="shared" si="65"/>
        <v>Fazenda Altenor</v>
      </c>
      <c r="C437" s="106">
        <f t="shared" si="68"/>
        <v>2020</v>
      </c>
      <c r="D437" s="101">
        <v>43996</v>
      </c>
      <c r="E437" s="102">
        <v>0.32291666666666669</v>
      </c>
      <c r="F437" s="103">
        <v>0.34375</v>
      </c>
      <c r="G437" s="103">
        <v>0.32291666666666669</v>
      </c>
      <c r="H437" s="103">
        <v>0.35416666666666669</v>
      </c>
      <c r="I437" s="90">
        <f t="shared" si="66"/>
        <v>0.49999999999999956</v>
      </c>
      <c r="J437" s="90">
        <f t="shared" si="61"/>
        <v>0.75</v>
      </c>
      <c r="K437" s="91">
        <f t="shared" si="69"/>
        <v>0.66666666666666663</v>
      </c>
      <c r="L437" s="91">
        <f t="shared" si="70"/>
        <v>4.375</v>
      </c>
      <c r="M437" s="29">
        <f t="shared" si="67"/>
        <v>20</v>
      </c>
      <c r="N437" s="92">
        <f t="shared" si="62"/>
        <v>0.49999999999999956</v>
      </c>
      <c r="O437" s="104">
        <f t="shared" si="63"/>
        <v>1.016</v>
      </c>
      <c r="P437" s="105">
        <f t="shared" si="64"/>
        <v>7.111999999999993</v>
      </c>
    </row>
    <row r="438" spans="2:16" x14ac:dyDescent="0.25">
      <c r="B438" s="88" t="str">
        <f t="shared" si="65"/>
        <v>Fazenda Altenor</v>
      </c>
      <c r="C438" s="106">
        <f t="shared" si="68"/>
        <v>2020</v>
      </c>
      <c r="D438" s="101">
        <v>43997</v>
      </c>
      <c r="E438" s="102">
        <v>0.33333333333333331</v>
      </c>
      <c r="F438" s="103">
        <v>0.35416666666666669</v>
      </c>
      <c r="G438" s="103">
        <v>0.33333333333333331</v>
      </c>
      <c r="H438" s="103">
        <v>0.375</v>
      </c>
      <c r="I438" s="90">
        <f t="shared" si="66"/>
        <v>0.50000000000000089</v>
      </c>
      <c r="J438" s="90">
        <f t="shared" si="61"/>
        <v>1.0000000000000004</v>
      </c>
      <c r="K438" s="91">
        <f t="shared" si="69"/>
        <v>0.66666666666666663</v>
      </c>
      <c r="L438" s="91">
        <f t="shared" si="70"/>
        <v>4.375</v>
      </c>
      <c r="M438" s="29">
        <f t="shared" si="67"/>
        <v>20</v>
      </c>
      <c r="N438" s="92">
        <f t="shared" si="62"/>
        <v>0.50000000000000089</v>
      </c>
      <c r="O438" s="104">
        <f t="shared" si="63"/>
        <v>1.016</v>
      </c>
      <c r="P438" s="105">
        <f t="shared" si="64"/>
        <v>7.1120000000000116</v>
      </c>
    </row>
    <row r="439" spans="2:16" x14ac:dyDescent="0.25">
      <c r="B439" s="88" t="str">
        <f t="shared" si="65"/>
        <v>Fazenda Altenor</v>
      </c>
      <c r="C439" s="106">
        <f t="shared" si="68"/>
        <v>2020</v>
      </c>
      <c r="D439" s="101">
        <v>43998</v>
      </c>
      <c r="E439" s="102">
        <v>0.52083333333333337</v>
      </c>
      <c r="F439" s="103">
        <v>0.54166666666666663</v>
      </c>
      <c r="G439" s="103">
        <v>0.52083333333333337</v>
      </c>
      <c r="H439" s="103">
        <v>0.54166666666666663</v>
      </c>
      <c r="I439" s="90">
        <f t="shared" si="66"/>
        <v>0.49999999999999822</v>
      </c>
      <c r="J439" s="90">
        <f t="shared" si="61"/>
        <v>0.49999999999999822</v>
      </c>
      <c r="K439" s="91">
        <f t="shared" si="69"/>
        <v>0.66666666666666663</v>
      </c>
      <c r="L439" s="91">
        <f t="shared" si="70"/>
        <v>4.375</v>
      </c>
      <c r="M439" s="29">
        <f t="shared" si="67"/>
        <v>20</v>
      </c>
      <c r="N439" s="92">
        <f t="shared" si="62"/>
        <v>0.49999999999999822</v>
      </c>
      <c r="O439" s="104">
        <f t="shared" si="63"/>
        <v>1.016</v>
      </c>
      <c r="P439" s="105">
        <f t="shared" si="64"/>
        <v>7.1119999999999743</v>
      </c>
    </row>
    <row r="440" spans="2:16" x14ac:dyDescent="0.25">
      <c r="B440" s="88" t="str">
        <f t="shared" si="65"/>
        <v>Fazenda Altenor</v>
      </c>
      <c r="C440" s="106">
        <f t="shared" si="68"/>
        <v>2020</v>
      </c>
      <c r="D440" s="101">
        <v>43999</v>
      </c>
      <c r="E440" s="102">
        <v>0.375</v>
      </c>
      <c r="F440" s="103">
        <v>0.40625</v>
      </c>
      <c r="G440" s="103">
        <v>0.375</v>
      </c>
      <c r="H440" s="103">
        <v>0.41666666666666669</v>
      </c>
      <c r="I440" s="90">
        <f t="shared" si="66"/>
        <v>0.75</v>
      </c>
      <c r="J440" s="90">
        <f t="shared" si="61"/>
        <v>1.0000000000000004</v>
      </c>
      <c r="K440" s="91">
        <f t="shared" si="69"/>
        <v>0.66666666666666663</v>
      </c>
      <c r="L440" s="91">
        <f t="shared" si="70"/>
        <v>4.375</v>
      </c>
      <c r="M440" s="29">
        <f t="shared" si="67"/>
        <v>20</v>
      </c>
      <c r="N440" s="92">
        <f t="shared" si="62"/>
        <v>0.75</v>
      </c>
      <c r="O440" s="104">
        <f t="shared" si="63"/>
        <v>1.016</v>
      </c>
      <c r="P440" s="105">
        <f t="shared" si="64"/>
        <v>10.667999999999999</v>
      </c>
    </row>
    <row r="441" spans="2:16" x14ac:dyDescent="0.25">
      <c r="B441" s="88" t="str">
        <f t="shared" si="65"/>
        <v>Fazenda Altenor</v>
      </c>
      <c r="C441" s="106">
        <f t="shared" si="68"/>
        <v>2020</v>
      </c>
      <c r="D441" s="101">
        <v>44000</v>
      </c>
      <c r="E441" s="102">
        <v>0.29166666666666669</v>
      </c>
      <c r="F441" s="103">
        <v>0.3125</v>
      </c>
      <c r="G441" s="103">
        <v>0.29166666666666669</v>
      </c>
      <c r="H441" s="103">
        <v>0.33333333333333331</v>
      </c>
      <c r="I441" s="90">
        <f t="shared" si="66"/>
        <v>0.49999999999999956</v>
      </c>
      <c r="J441" s="90">
        <f t="shared" si="61"/>
        <v>0.99999999999999911</v>
      </c>
      <c r="K441" s="91">
        <f t="shared" si="69"/>
        <v>0.66666666666666663</v>
      </c>
      <c r="L441" s="91">
        <f t="shared" si="70"/>
        <v>4.375</v>
      </c>
      <c r="M441" s="29">
        <f t="shared" si="67"/>
        <v>20</v>
      </c>
      <c r="N441" s="92">
        <f t="shared" si="62"/>
        <v>0.49999999999999956</v>
      </c>
      <c r="O441" s="104">
        <f t="shared" si="63"/>
        <v>1.016</v>
      </c>
      <c r="P441" s="105">
        <f t="shared" si="64"/>
        <v>7.111999999999993</v>
      </c>
    </row>
    <row r="442" spans="2:16" x14ac:dyDescent="0.25">
      <c r="B442" s="88" t="str">
        <f t="shared" si="65"/>
        <v>Fazenda Altenor</v>
      </c>
      <c r="C442" s="106">
        <f t="shared" si="68"/>
        <v>2020</v>
      </c>
      <c r="D442" s="101">
        <v>44001</v>
      </c>
      <c r="E442" s="102">
        <v>0.33333333333333331</v>
      </c>
      <c r="F442" s="103">
        <v>0.35416666666666669</v>
      </c>
      <c r="G442" s="103">
        <v>0.33333333333333331</v>
      </c>
      <c r="H442" s="103">
        <v>0.375</v>
      </c>
      <c r="I442" s="90">
        <f t="shared" si="66"/>
        <v>0.50000000000000089</v>
      </c>
      <c r="J442" s="90">
        <f t="shared" si="61"/>
        <v>1.0000000000000004</v>
      </c>
      <c r="K442" s="91">
        <f t="shared" si="69"/>
        <v>0.66666666666666663</v>
      </c>
      <c r="L442" s="91">
        <f t="shared" si="70"/>
        <v>4.375</v>
      </c>
      <c r="M442" s="29">
        <f t="shared" si="67"/>
        <v>20</v>
      </c>
      <c r="N442" s="92">
        <f t="shared" si="62"/>
        <v>0.50000000000000089</v>
      </c>
      <c r="O442" s="104">
        <f t="shared" si="63"/>
        <v>1.016</v>
      </c>
      <c r="P442" s="105">
        <f t="shared" si="64"/>
        <v>7.1120000000000116</v>
      </c>
    </row>
    <row r="443" spans="2:16" x14ac:dyDescent="0.25">
      <c r="B443" s="88" t="str">
        <f t="shared" si="65"/>
        <v>Fazenda Altenor</v>
      </c>
      <c r="C443" s="106">
        <f t="shared" si="68"/>
        <v>2020</v>
      </c>
      <c r="D443" s="101">
        <v>44002</v>
      </c>
      <c r="E443" s="102">
        <v>0.375</v>
      </c>
      <c r="F443" s="103">
        <v>0.39583333333333331</v>
      </c>
      <c r="G443" s="103">
        <v>0.375</v>
      </c>
      <c r="H443" s="103">
        <v>0.41666666666666669</v>
      </c>
      <c r="I443" s="90">
        <f t="shared" si="66"/>
        <v>0.49999999999999956</v>
      </c>
      <c r="J443" s="90">
        <f t="shared" si="61"/>
        <v>1.0000000000000004</v>
      </c>
      <c r="K443" s="91">
        <f t="shared" si="69"/>
        <v>0.66666666666666663</v>
      </c>
      <c r="L443" s="91">
        <f t="shared" si="70"/>
        <v>4.375</v>
      </c>
      <c r="M443" s="29">
        <f t="shared" si="67"/>
        <v>20</v>
      </c>
      <c r="N443" s="92">
        <f t="shared" si="62"/>
        <v>0.49999999999999956</v>
      </c>
      <c r="O443" s="104">
        <f t="shared" si="63"/>
        <v>1.016</v>
      </c>
      <c r="P443" s="105">
        <f t="shared" si="64"/>
        <v>7.111999999999993</v>
      </c>
    </row>
    <row r="444" spans="2:16" x14ac:dyDescent="0.25">
      <c r="B444" s="88" t="str">
        <f t="shared" si="65"/>
        <v>Fazenda Altenor</v>
      </c>
      <c r="C444" s="106">
        <f t="shared" si="68"/>
        <v>2020</v>
      </c>
      <c r="D444" s="101">
        <v>44003</v>
      </c>
      <c r="E444" s="102">
        <v>0.41666666666666669</v>
      </c>
      <c r="F444" s="103">
        <v>0.4375</v>
      </c>
      <c r="G444" s="103">
        <v>0.41666666666666669</v>
      </c>
      <c r="H444" s="103">
        <v>0.45833333333333331</v>
      </c>
      <c r="I444" s="90">
        <f t="shared" si="66"/>
        <v>0.49999999999999956</v>
      </c>
      <c r="J444" s="90">
        <f t="shared" si="61"/>
        <v>0.99999999999999911</v>
      </c>
      <c r="K444" s="91">
        <f t="shared" si="69"/>
        <v>0.66666666666666663</v>
      </c>
      <c r="L444" s="91">
        <f t="shared" si="70"/>
        <v>4.375</v>
      </c>
      <c r="M444" s="29">
        <f t="shared" si="67"/>
        <v>20</v>
      </c>
      <c r="N444" s="92">
        <f t="shared" si="62"/>
        <v>0.49999999999999956</v>
      </c>
      <c r="O444" s="104">
        <f t="shared" si="63"/>
        <v>1.016</v>
      </c>
      <c r="P444" s="105">
        <f t="shared" si="64"/>
        <v>7.111999999999993</v>
      </c>
    </row>
    <row r="445" spans="2:16" x14ac:dyDescent="0.25">
      <c r="B445" s="88" t="str">
        <f t="shared" si="65"/>
        <v>Fazenda Altenor</v>
      </c>
      <c r="C445" s="106">
        <f t="shared" si="68"/>
        <v>2020</v>
      </c>
      <c r="D445" s="101">
        <v>44004</v>
      </c>
      <c r="E445" s="102">
        <v>0.29166666666666669</v>
      </c>
      <c r="F445" s="103">
        <v>0.3125</v>
      </c>
      <c r="G445" s="103">
        <v>0.29166666666666669</v>
      </c>
      <c r="H445" s="103">
        <v>0.33333333333333331</v>
      </c>
      <c r="I445" s="90">
        <f t="shared" si="66"/>
        <v>0.49999999999999956</v>
      </c>
      <c r="J445" s="90">
        <f t="shared" si="61"/>
        <v>0.99999999999999911</v>
      </c>
      <c r="K445" s="91">
        <f t="shared" si="69"/>
        <v>0.66666666666666663</v>
      </c>
      <c r="L445" s="91">
        <f t="shared" si="70"/>
        <v>4.375</v>
      </c>
      <c r="M445" s="29">
        <f t="shared" si="67"/>
        <v>20</v>
      </c>
      <c r="N445" s="92">
        <f t="shared" si="62"/>
        <v>0.49999999999999956</v>
      </c>
      <c r="O445" s="104">
        <f t="shared" si="63"/>
        <v>1.016</v>
      </c>
      <c r="P445" s="105">
        <f t="shared" si="64"/>
        <v>7.111999999999993</v>
      </c>
    </row>
    <row r="446" spans="2:16" x14ac:dyDescent="0.25">
      <c r="B446" s="88" t="str">
        <f t="shared" si="65"/>
        <v>Fazenda Altenor</v>
      </c>
      <c r="C446" s="106">
        <f t="shared" si="68"/>
        <v>2020</v>
      </c>
      <c r="D446" s="101">
        <v>44005</v>
      </c>
      <c r="E446" s="102">
        <v>0.3125</v>
      </c>
      <c r="F446" s="103">
        <v>0.33333333333333331</v>
      </c>
      <c r="G446" s="103">
        <v>0.3125</v>
      </c>
      <c r="H446" s="103">
        <v>0.35416666666666669</v>
      </c>
      <c r="I446" s="90">
        <f t="shared" si="66"/>
        <v>0.49999999999999956</v>
      </c>
      <c r="J446" s="90">
        <f t="shared" si="61"/>
        <v>1.0000000000000004</v>
      </c>
      <c r="K446" s="91">
        <f t="shared" si="69"/>
        <v>0.66666666666666663</v>
      </c>
      <c r="L446" s="91">
        <f t="shared" si="70"/>
        <v>4.375</v>
      </c>
      <c r="M446" s="29">
        <f t="shared" si="67"/>
        <v>20</v>
      </c>
      <c r="N446" s="92">
        <f t="shared" si="62"/>
        <v>0.49999999999999956</v>
      </c>
      <c r="O446" s="104">
        <f t="shared" si="63"/>
        <v>1.016</v>
      </c>
      <c r="P446" s="105">
        <f t="shared" si="64"/>
        <v>7.111999999999993</v>
      </c>
    </row>
    <row r="447" spans="2:16" x14ac:dyDescent="0.25">
      <c r="B447" s="88" t="str">
        <f t="shared" si="65"/>
        <v>Fazenda Altenor</v>
      </c>
      <c r="C447" s="106">
        <f t="shared" si="68"/>
        <v>2020</v>
      </c>
      <c r="D447" s="101">
        <v>44006</v>
      </c>
      <c r="E447" s="102">
        <v>0.35416666666666669</v>
      </c>
      <c r="F447" s="103">
        <v>0.375</v>
      </c>
      <c r="G447" s="103">
        <v>0.35416666666666669</v>
      </c>
      <c r="H447" s="103">
        <v>0.39583333333333331</v>
      </c>
      <c r="I447" s="90">
        <f t="shared" si="66"/>
        <v>0.49999999999999956</v>
      </c>
      <c r="J447" s="90">
        <f t="shared" si="61"/>
        <v>0.99999999999999911</v>
      </c>
      <c r="K447" s="91">
        <f t="shared" si="69"/>
        <v>0.66666666666666663</v>
      </c>
      <c r="L447" s="91">
        <f t="shared" si="70"/>
        <v>4.375</v>
      </c>
      <c r="M447" s="29">
        <f t="shared" si="67"/>
        <v>20</v>
      </c>
      <c r="N447" s="92">
        <f t="shared" si="62"/>
        <v>0.49999999999999956</v>
      </c>
      <c r="O447" s="104">
        <f t="shared" si="63"/>
        <v>1.016</v>
      </c>
      <c r="P447" s="105">
        <f t="shared" si="64"/>
        <v>7.111999999999993</v>
      </c>
    </row>
    <row r="448" spans="2:16" x14ac:dyDescent="0.25">
      <c r="B448" s="88" t="str">
        <f t="shared" si="65"/>
        <v>Fazenda Altenor</v>
      </c>
      <c r="C448" s="106">
        <f t="shared" si="68"/>
        <v>2020</v>
      </c>
      <c r="D448" s="101">
        <v>44007</v>
      </c>
      <c r="E448" s="102">
        <v>0.375</v>
      </c>
      <c r="F448" s="103">
        <v>0.39583333333333331</v>
      </c>
      <c r="G448" s="103">
        <v>0.375</v>
      </c>
      <c r="H448" s="103">
        <v>0.41666666666666669</v>
      </c>
      <c r="I448" s="90">
        <f t="shared" si="66"/>
        <v>0.49999999999999956</v>
      </c>
      <c r="J448" s="90">
        <f t="shared" si="61"/>
        <v>1.0000000000000004</v>
      </c>
      <c r="K448" s="91">
        <f t="shared" si="69"/>
        <v>0.66666666666666663</v>
      </c>
      <c r="L448" s="91">
        <f t="shared" si="70"/>
        <v>4.375</v>
      </c>
      <c r="M448" s="29">
        <f t="shared" si="67"/>
        <v>20</v>
      </c>
      <c r="N448" s="92">
        <f t="shared" si="62"/>
        <v>0.49999999999999956</v>
      </c>
      <c r="O448" s="104">
        <f t="shared" si="63"/>
        <v>1.016</v>
      </c>
      <c r="P448" s="105">
        <f t="shared" si="64"/>
        <v>7.111999999999993</v>
      </c>
    </row>
    <row r="449" spans="2:16" x14ac:dyDescent="0.25">
      <c r="B449" s="88" t="str">
        <f t="shared" si="65"/>
        <v>Fazenda Altenor</v>
      </c>
      <c r="C449" s="106">
        <f t="shared" si="68"/>
        <v>2020</v>
      </c>
      <c r="D449" s="101">
        <v>44008</v>
      </c>
      <c r="E449" s="102"/>
      <c r="F449" s="103"/>
      <c r="G449" s="103"/>
      <c r="H449" s="103"/>
      <c r="I449" s="90">
        <f t="shared" si="66"/>
        <v>0</v>
      </c>
      <c r="J449" s="90">
        <f t="shared" si="61"/>
        <v>0</v>
      </c>
      <c r="K449" s="91">
        <f t="shared" si="69"/>
        <v>0.66666666666666663</v>
      </c>
      <c r="L449" s="91">
        <f t="shared" si="70"/>
        <v>4.375</v>
      </c>
      <c r="M449" s="29">
        <f t="shared" si="67"/>
        <v>20</v>
      </c>
      <c r="N449" s="92">
        <f t="shared" si="62"/>
        <v>0</v>
      </c>
      <c r="O449" s="104">
        <f t="shared" si="63"/>
        <v>1.016</v>
      </c>
      <c r="P449" s="105">
        <f t="shared" si="64"/>
        <v>0</v>
      </c>
    </row>
    <row r="450" spans="2:16" x14ac:dyDescent="0.25">
      <c r="B450" s="88" t="str">
        <f t="shared" si="65"/>
        <v>Fazenda Altenor</v>
      </c>
      <c r="C450" s="106">
        <f t="shared" si="68"/>
        <v>2020</v>
      </c>
      <c r="D450" s="101">
        <v>44009</v>
      </c>
      <c r="E450" s="102">
        <v>0.41666666666666669</v>
      </c>
      <c r="F450" s="103">
        <v>0.4375</v>
      </c>
      <c r="G450" s="103">
        <v>0.41666666666666669</v>
      </c>
      <c r="H450" s="103">
        <v>0.45833333333333331</v>
      </c>
      <c r="I450" s="90">
        <f t="shared" si="66"/>
        <v>0.49999999999999956</v>
      </c>
      <c r="J450" s="90">
        <f t="shared" si="61"/>
        <v>0.99999999999999911</v>
      </c>
      <c r="K450" s="91">
        <f t="shared" si="69"/>
        <v>0.66666666666666663</v>
      </c>
      <c r="L450" s="91">
        <f t="shared" si="70"/>
        <v>4.375</v>
      </c>
      <c r="M450" s="29">
        <f t="shared" si="67"/>
        <v>20</v>
      </c>
      <c r="N450" s="92">
        <f t="shared" si="62"/>
        <v>0.49999999999999956</v>
      </c>
      <c r="O450" s="104">
        <f t="shared" si="63"/>
        <v>1.016</v>
      </c>
      <c r="P450" s="105">
        <f t="shared" si="64"/>
        <v>7.111999999999993</v>
      </c>
    </row>
    <row r="451" spans="2:16" x14ac:dyDescent="0.25">
      <c r="B451" s="88" t="str">
        <f t="shared" si="65"/>
        <v>Fazenda Altenor</v>
      </c>
      <c r="C451" s="106">
        <f t="shared" si="68"/>
        <v>2020</v>
      </c>
      <c r="D451" s="101">
        <v>44010</v>
      </c>
      <c r="E451" s="102">
        <v>0.41666666666666669</v>
      </c>
      <c r="F451" s="103">
        <v>0.4375</v>
      </c>
      <c r="G451" s="103">
        <v>0.41666666666666669</v>
      </c>
      <c r="H451" s="103">
        <v>0.45833333333333331</v>
      </c>
      <c r="I451" s="90">
        <f t="shared" si="66"/>
        <v>0.49999999999999956</v>
      </c>
      <c r="J451" s="90">
        <f t="shared" si="61"/>
        <v>0.99999999999999911</v>
      </c>
      <c r="K451" s="91">
        <f t="shared" si="69"/>
        <v>0.66666666666666663</v>
      </c>
      <c r="L451" s="91">
        <f t="shared" si="70"/>
        <v>4.375</v>
      </c>
      <c r="M451" s="29">
        <f t="shared" si="67"/>
        <v>20</v>
      </c>
      <c r="N451" s="92">
        <f t="shared" si="62"/>
        <v>0.49999999999999956</v>
      </c>
      <c r="O451" s="104">
        <f t="shared" si="63"/>
        <v>1.016</v>
      </c>
      <c r="P451" s="105">
        <f t="shared" si="64"/>
        <v>7.111999999999993</v>
      </c>
    </row>
    <row r="452" spans="2:16" x14ac:dyDescent="0.25">
      <c r="B452" s="88" t="str">
        <f t="shared" si="65"/>
        <v>Fazenda Altenor</v>
      </c>
      <c r="C452" s="106">
        <f t="shared" si="68"/>
        <v>2020</v>
      </c>
      <c r="D452" s="101">
        <v>44011</v>
      </c>
      <c r="E452" s="102">
        <v>0.29166666666666669</v>
      </c>
      <c r="F452" s="103">
        <v>0.3125</v>
      </c>
      <c r="G452" s="103">
        <v>0.29166666666666669</v>
      </c>
      <c r="H452" s="103">
        <v>0.33333333333333331</v>
      </c>
      <c r="I452" s="90">
        <f t="shared" si="66"/>
        <v>0.49999999999999956</v>
      </c>
      <c r="J452" s="90">
        <f t="shared" si="61"/>
        <v>0.99999999999999911</v>
      </c>
      <c r="K452" s="91">
        <f t="shared" si="69"/>
        <v>0.66666666666666663</v>
      </c>
      <c r="L452" s="91">
        <f t="shared" si="70"/>
        <v>4.375</v>
      </c>
      <c r="M452" s="29">
        <f t="shared" si="67"/>
        <v>20</v>
      </c>
      <c r="N452" s="92">
        <f t="shared" si="62"/>
        <v>0.49999999999999956</v>
      </c>
      <c r="O452" s="104">
        <f t="shared" si="63"/>
        <v>1.016</v>
      </c>
      <c r="P452" s="105">
        <f t="shared" si="64"/>
        <v>7.111999999999993</v>
      </c>
    </row>
    <row r="453" spans="2:16" x14ac:dyDescent="0.25">
      <c r="B453" s="88" t="str">
        <f t="shared" si="65"/>
        <v>Fazenda Altenor</v>
      </c>
      <c r="C453" s="106">
        <f t="shared" si="68"/>
        <v>2020</v>
      </c>
      <c r="D453" s="101">
        <v>44012</v>
      </c>
      <c r="E453" s="102">
        <v>0.35416666666666669</v>
      </c>
      <c r="F453" s="103">
        <v>0.375</v>
      </c>
      <c r="G453" s="103">
        <v>0.35416666666666669</v>
      </c>
      <c r="H453" s="103">
        <v>0.39583333333333331</v>
      </c>
      <c r="I453" s="90">
        <f t="shared" si="66"/>
        <v>0.49999999999999956</v>
      </c>
      <c r="J453" s="90">
        <f t="shared" si="61"/>
        <v>0.99999999999999911</v>
      </c>
      <c r="K453" s="91">
        <f t="shared" si="69"/>
        <v>0.66666666666666663</v>
      </c>
      <c r="L453" s="91">
        <f t="shared" si="70"/>
        <v>4.375</v>
      </c>
      <c r="M453" s="29">
        <f t="shared" si="67"/>
        <v>20</v>
      </c>
      <c r="N453" s="92">
        <f t="shared" si="62"/>
        <v>0.49999999999999956</v>
      </c>
      <c r="O453" s="104">
        <f t="shared" si="63"/>
        <v>1.016</v>
      </c>
      <c r="P453" s="105">
        <f t="shared" si="64"/>
        <v>7.111999999999993</v>
      </c>
    </row>
    <row r="454" spans="2:16" x14ac:dyDescent="0.25">
      <c r="B454" s="88" t="str">
        <f t="shared" si="65"/>
        <v>Fazenda Altenor</v>
      </c>
      <c r="C454" s="106">
        <f t="shared" si="68"/>
        <v>2020</v>
      </c>
      <c r="D454" s="101">
        <v>44013</v>
      </c>
      <c r="E454" s="102">
        <v>0.375</v>
      </c>
      <c r="F454" s="103">
        <v>0.39583333333333331</v>
      </c>
      <c r="G454" s="103">
        <v>0.375</v>
      </c>
      <c r="H454" s="103">
        <v>0.41666666666666669</v>
      </c>
      <c r="I454" s="90">
        <f t="shared" si="66"/>
        <v>0.49999999999999956</v>
      </c>
      <c r="J454" s="90">
        <f t="shared" si="61"/>
        <v>1.0000000000000004</v>
      </c>
      <c r="K454" s="91">
        <f t="shared" si="69"/>
        <v>0.66666666666666663</v>
      </c>
      <c r="L454" s="91">
        <f t="shared" si="70"/>
        <v>4.375</v>
      </c>
      <c r="M454" s="29">
        <f t="shared" si="67"/>
        <v>20</v>
      </c>
      <c r="N454" s="92">
        <f t="shared" si="62"/>
        <v>0.49999999999999956</v>
      </c>
      <c r="O454" s="104">
        <f t="shared" si="63"/>
        <v>1.016</v>
      </c>
      <c r="P454" s="105">
        <f t="shared" si="64"/>
        <v>7.111999999999993</v>
      </c>
    </row>
    <row r="455" spans="2:16" x14ac:dyDescent="0.25">
      <c r="B455" s="88" t="str">
        <f t="shared" si="65"/>
        <v>Fazenda Altenor</v>
      </c>
      <c r="C455" s="106">
        <f t="shared" si="68"/>
        <v>2020</v>
      </c>
      <c r="D455" s="101">
        <v>44014</v>
      </c>
      <c r="E455" s="102">
        <v>0.3125</v>
      </c>
      <c r="F455" s="103">
        <v>0.33333333333333331</v>
      </c>
      <c r="G455" s="103">
        <v>0.3125</v>
      </c>
      <c r="H455" s="103">
        <v>0.35416666666666669</v>
      </c>
      <c r="I455" s="90">
        <f t="shared" si="66"/>
        <v>0.49999999999999956</v>
      </c>
      <c r="J455" s="90">
        <f t="shared" si="61"/>
        <v>1.0000000000000004</v>
      </c>
      <c r="K455" s="91">
        <f t="shared" si="69"/>
        <v>0.66666666666666663</v>
      </c>
      <c r="L455" s="91">
        <f t="shared" si="70"/>
        <v>4.375</v>
      </c>
      <c r="M455" s="29">
        <f t="shared" si="67"/>
        <v>20</v>
      </c>
      <c r="N455" s="92">
        <f t="shared" si="62"/>
        <v>0.49999999999999956</v>
      </c>
      <c r="O455" s="104">
        <f t="shared" si="63"/>
        <v>1.016</v>
      </c>
      <c r="P455" s="105">
        <f t="shared" si="64"/>
        <v>7.111999999999993</v>
      </c>
    </row>
    <row r="456" spans="2:16" x14ac:dyDescent="0.25">
      <c r="B456" s="88" t="str">
        <f t="shared" si="65"/>
        <v>Fazenda Altenor</v>
      </c>
      <c r="C456" s="106">
        <f t="shared" si="68"/>
        <v>2020</v>
      </c>
      <c r="D456" s="101">
        <v>44015</v>
      </c>
      <c r="E456" s="102">
        <v>0.32291666666666669</v>
      </c>
      <c r="F456" s="103">
        <v>0.34375</v>
      </c>
      <c r="G456" s="103">
        <v>0.32291666666666669</v>
      </c>
      <c r="H456" s="103">
        <v>0.36458333333333331</v>
      </c>
      <c r="I456" s="90">
        <f t="shared" si="66"/>
        <v>0.49999999999999956</v>
      </c>
      <c r="J456" s="90">
        <f t="shared" si="61"/>
        <v>0.99999999999999911</v>
      </c>
      <c r="K456" s="91">
        <f t="shared" si="69"/>
        <v>0.66666666666666663</v>
      </c>
      <c r="L456" s="91">
        <f t="shared" si="70"/>
        <v>4.375</v>
      </c>
      <c r="M456" s="29">
        <f t="shared" si="67"/>
        <v>20</v>
      </c>
      <c r="N456" s="92">
        <f t="shared" si="62"/>
        <v>0.49999999999999956</v>
      </c>
      <c r="O456" s="104">
        <f t="shared" si="63"/>
        <v>1.016</v>
      </c>
      <c r="P456" s="105">
        <f t="shared" si="64"/>
        <v>7.111999999999993</v>
      </c>
    </row>
    <row r="457" spans="2:16" x14ac:dyDescent="0.25">
      <c r="B457" s="88" t="str">
        <f t="shared" si="65"/>
        <v>Fazenda Altenor</v>
      </c>
      <c r="C457" s="106">
        <f t="shared" si="68"/>
        <v>2020</v>
      </c>
      <c r="D457" s="101">
        <v>44016</v>
      </c>
      <c r="E457" s="102">
        <v>0.32291666666666669</v>
      </c>
      <c r="F457" s="103">
        <v>0.34375</v>
      </c>
      <c r="G457" s="103">
        <v>0.32291666666666669</v>
      </c>
      <c r="H457" s="103">
        <v>0.36458333333333331</v>
      </c>
      <c r="I457" s="90">
        <f t="shared" si="66"/>
        <v>0.49999999999999956</v>
      </c>
      <c r="J457" s="90">
        <f t="shared" si="61"/>
        <v>0.99999999999999911</v>
      </c>
      <c r="K457" s="91">
        <f t="shared" si="69"/>
        <v>0.66666666666666663</v>
      </c>
      <c r="L457" s="91">
        <f t="shared" si="70"/>
        <v>4.375</v>
      </c>
      <c r="M457" s="29">
        <f t="shared" si="67"/>
        <v>20</v>
      </c>
      <c r="N457" s="92">
        <f t="shared" si="62"/>
        <v>0.49999999999999956</v>
      </c>
      <c r="O457" s="104">
        <f t="shared" si="63"/>
        <v>1.016</v>
      </c>
      <c r="P457" s="105">
        <f t="shared" si="64"/>
        <v>7.111999999999993</v>
      </c>
    </row>
    <row r="458" spans="2:16" x14ac:dyDescent="0.25">
      <c r="B458" s="88" t="str">
        <f t="shared" si="65"/>
        <v>Fazenda Altenor</v>
      </c>
      <c r="C458" s="106">
        <f t="shared" si="68"/>
        <v>2020</v>
      </c>
      <c r="D458" s="101">
        <v>44017</v>
      </c>
      <c r="E458" s="102">
        <v>0.29166666666666669</v>
      </c>
      <c r="F458" s="103">
        <v>0.3125</v>
      </c>
      <c r="G458" s="103">
        <v>0.29166666666666669</v>
      </c>
      <c r="H458" s="103">
        <v>0.32291666666666669</v>
      </c>
      <c r="I458" s="90">
        <f t="shared" si="66"/>
        <v>0.49999999999999956</v>
      </c>
      <c r="J458" s="90">
        <f t="shared" si="61"/>
        <v>0.75</v>
      </c>
      <c r="K458" s="91">
        <f t="shared" si="69"/>
        <v>0.66666666666666663</v>
      </c>
      <c r="L458" s="91">
        <f t="shared" si="70"/>
        <v>4.375</v>
      </c>
      <c r="M458" s="29">
        <f t="shared" si="67"/>
        <v>20</v>
      </c>
      <c r="N458" s="92">
        <f t="shared" si="62"/>
        <v>0.49999999999999956</v>
      </c>
      <c r="O458" s="104">
        <f t="shared" si="63"/>
        <v>1.016</v>
      </c>
      <c r="P458" s="105">
        <f t="shared" si="64"/>
        <v>7.111999999999993</v>
      </c>
    </row>
    <row r="459" spans="2:16" x14ac:dyDescent="0.25">
      <c r="B459" s="88" t="str">
        <f t="shared" si="65"/>
        <v>Fazenda Altenor</v>
      </c>
      <c r="C459" s="106">
        <f t="shared" si="68"/>
        <v>2020</v>
      </c>
      <c r="D459" s="101">
        <v>44018</v>
      </c>
      <c r="E459" s="102">
        <v>0.3125</v>
      </c>
      <c r="F459" s="103">
        <v>0.33333333333333331</v>
      </c>
      <c r="G459" s="103">
        <v>0.3125</v>
      </c>
      <c r="H459" s="103">
        <v>0.35416666666666669</v>
      </c>
      <c r="I459" s="90">
        <f t="shared" si="66"/>
        <v>0.49999999999999956</v>
      </c>
      <c r="J459" s="90">
        <f t="shared" si="61"/>
        <v>1.0000000000000004</v>
      </c>
      <c r="K459" s="91">
        <f t="shared" si="69"/>
        <v>0.66666666666666663</v>
      </c>
      <c r="L459" s="91">
        <f t="shared" si="70"/>
        <v>4.375</v>
      </c>
      <c r="M459" s="29">
        <f t="shared" si="67"/>
        <v>20</v>
      </c>
      <c r="N459" s="92">
        <f t="shared" si="62"/>
        <v>0.49999999999999956</v>
      </c>
      <c r="O459" s="104">
        <f t="shared" si="63"/>
        <v>1.016</v>
      </c>
      <c r="P459" s="105">
        <f t="shared" si="64"/>
        <v>7.111999999999993</v>
      </c>
    </row>
    <row r="460" spans="2:16" x14ac:dyDescent="0.25">
      <c r="B460" s="88" t="str">
        <f t="shared" si="65"/>
        <v>Fazenda Altenor</v>
      </c>
      <c r="C460" s="106">
        <f t="shared" si="68"/>
        <v>2020</v>
      </c>
      <c r="D460" s="101">
        <v>44019</v>
      </c>
      <c r="E460" s="102">
        <v>0.33333333333333331</v>
      </c>
      <c r="F460" s="103">
        <v>0.35416666666666669</v>
      </c>
      <c r="G460" s="103">
        <v>0.33333333333333331</v>
      </c>
      <c r="H460" s="103">
        <v>0.375</v>
      </c>
      <c r="I460" s="90">
        <f t="shared" si="66"/>
        <v>0.50000000000000089</v>
      </c>
      <c r="J460" s="90">
        <f t="shared" si="61"/>
        <v>1.0000000000000004</v>
      </c>
      <c r="K460" s="91">
        <f t="shared" si="69"/>
        <v>0.66666666666666663</v>
      </c>
      <c r="L460" s="91">
        <f t="shared" si="70"/>
        <v>4.375</v>
      </c>
      <c r="M460" s="29">
        <f t="shared" si="67"/>
        <v>20</v>
      </c>
      <c r="N460" s="92">
        <f t="shared" si="62"/>
        <v>0.50000000000000089</v>
      </c>
      <c r="O460" s="104">
        <f t="shared" si="63"/>
        <v>1.016</v>
      </c>
      <c r="P460" s="105">
        <f t="shared" si="64"/>
        <v>7.1120000000000116</v>
      </c>
    </row>
    <row r="461" spans="2:16" x14ac:dyDescent="0.25">
      <c r="B461" s="88" t="str">
        <f t="shared" si="65"/>
        <v>Fazenda Altenor</v>
      </c>
      <c r="C461" s="106">
        <f t="shared" si="68"/>
        <v>2020</v>
      </c>
      <c r="D461" s="101">
        <v>44020</v>
      </c>
      <c r="E461" s="102">
        <v>0.29166666666666669</v>
      </c>
      <c r="F461" s="103">
        <v>0.3125</v>
      </c>
      <c r="G461" s="103">
        <v>0.29166666666666669</v>
      </c>
      <c r="H461" s="103">
        <v>0.33333333333333331</v>
      </c>
      <c r="I461" s="90">
        <f t="shared" si="66"/>
        <v>0.49999999999999956</v>
      </c>
      <c r="J461" s="90">
        <f t="shared" si="61"/>
        <v>0.99999999999999911</v>
      </c>
      <c r="K461" s="91">
        <f t="shared" si="69"/>
        <v>0.66666666666666663</v>
      </c>
      <c r="L461" s="91">
        <f t="shared" si="70"/>
        <v>4.375</v>
      </c>
      <c r="M461" s="29">
        <f t="shared" si="67"/>
        <v>20</v>
      </c>
      <c r="N461" s="92">
        <f t="shared" si="62"/>
        <v>0.49999999999999956</v>
      </c>
      <c r="O461" s="104">
        <f t="shared" si="63"/>
        <v>1.016</v>
      </c>
      <c r="P461" s="105">
        <f t="shared" si="64"/>
        <v>7.111999999999993</v>
      </c>
    </row>
    <row r="462" spans="2:16" x14ac:dyDescent="0.25">
      <c r="B462" s="88" t="str">
        <f t="shared" si="65"/>
        <v>Fazenda Altenor</v>
      </c>
      <c r="C462" s="106">
        <f t="shared" si="68"/>
        <v>2020</v>
      </c>
      <c r="D462" s="101">
        <v>44021</v>
      </c>
      <c r="E462" s="102">
        <v>0.32291666666666669</v>
      </c>
      <c r="F462" s="103">
        <v>0.34375</v>
      </c>
      <c r="G462" s="103">
        <v>0.32291666666666669</v>
      </c>
      <c r="H462" s="103">
        <v>0.36458333333333331</v>
      </c>
      <c r="I462" s="90">
        <f t="shared" si="66"/>
        <v>0.49999999999999956</v>
      </c>
      <c r="J462" s="90">
        <f t="shared" si="61"/>
        <v>0.99999999999999911</v>
      </c>
      <c r="K462" s="91">
        <f t="shared" si="69"/>
        <v>0.66666666666666663</v>
      </c>
      <c r="L462" s="91">
        <f t="shared" si="70"/>
        <v>4.375</v>
      </c>
      <c r="M462" s="29">
        <f t="shared" si="67"/>
        <v>20</v>
      </c>
      <c r="N462" s="92">
        <f t="shared" si="62"/>
        <v>0.49999999999999956</v>
      </c>
      <c r="O462" s="104">
        <f t="shared" si="63"/>
        <v>1.016</v>
      </c>
      <c r="P462" s="105">
        <f t="shared" si="64"/>
        <v>7.111999999999993</v>
      </c>
    </row>
    <row r="463" spans="2:16" x14ac:dyDescent="0.25">
      <c r="B463" s="88" t="str">
        <f t="shared" si="65"/>
        <v>Fazenda Altenor</v>
      </c>
      <c r="C463" s="106">
        <f t="shared" si="68"/>
        <v>2020</v>
      </c>
      <c r="D463" s="101">
        <v>44022</v>
      </c>
      <c r="E463" s="102">
        <v>0.33333333333333331</v>
      </c>
      <c r="F463" s="103">
        <v>0.35416666666666669</v>
      </c>
      <c r="G463" s="103">
        <v>0.33333333333333331</v>
      </c>
      <c r="H463" s="103">
        <v>0.375</v>
      </c>
      <c r="I463" s="90">
        <f t="shared" si="66"/>
        <v>0.50000000000000089</v>
      </c>
      <c r="J463" s="90">
        <f t="shared" si="61"/>
        <v>1.0000000000000004</v>
      </c>
      <c r="K463" s="91">
        <f t="shared" si="69"/>
        <v>0.66666666666666663</v>
      </c>
      <c r="L463" s="91">
        <f t="shared" si="70"/>
        <v>4.375</v>
      </c>
      <c r="M463" s="29">
        <f t="shared" si="67"/>
        <v>20</v>
      </c>
      <c r="N463" s="92">
        <f t="shared" si="62"/>
        <v>0.50000000000000089</v>
      </c>
      <c r="O463" s="104">
        <f t="shared" si="63"/>
        <v>1.016</v>
      </c>
      <c r="P463" s="105">
        <f t="shared" si="64"/>
        <v>7.1120000000000116</v>
      </c>
    </row>
    <row r="464" spans="2:16" x14ac:dyDescent="0.25">
      <c r="B464" s="88" t="str">
        <f t="shared" si="65"/>
        <v>Fazenda Altenor</v>
      </c>
      <c r="C464" s="106">
        <f t="shared" si="68"/>
        <v>2020</v>
      </c>
      <c r="D464" s="101">
        <v>44023</v>
      </c>
      <c r="E464" s="102">
        <v>0.3125</v>
      </c>
      <c r="F464" s="103">
        <v>0.33333333333333331</v>
      </c>
      <c r="G464" s="103">
        <v>0.3125</v>
      </c>
      <c r="H464" s="103">
        <v>0.35416666666666669</v>
      </c>
      <c r="I464" s="90">
        <f t="shared" si="66"/>
        <v>0.49999999999999956</v>
      </c>
      <c r="J464" s="90">
        <f t="shared" si="61"/>
        <v>1.0000000000000004</v>
      </c>
      <c r="K464" s="91">
        <f t="shared" si="69"/>
        <v>0.66666666666666663</v>
      </c>
      <c r="L464" s="91">
        <f t="shared" si="70"/>
        <v>4.375</v>
      </c>
      <c r="M464" s="29">
        <f t="shared" si="67"/>
        <v>20</v>
      </c>
      <c r="N464" s="92">
        <f t="shared" si="62"/>
        <v>0.49999999999999956</v>
      </c>
      <c r="O464" s="104">
        <f t="shared" si="63"/>
        <v>1.016</v>
      </c>
      <c r="P464" s="105">
        <f t="shared" si="64"/>
        <v>7.111999999999993</v>
      </c>
    </row>
    <row r="465" spans="2:16" x14ac:dyDescent="0.25">
      <c r="B465" s="88" t="str">
        <f t="shared" si="65"/>
        <v>Fazenda Altenor</v>
      </c>
      <c r="C465" s="106">
        <f t="shared" si="68"/>
        <v>2020</v>
      </c>
      <c r="D465" s="101">
        <v>44024</v>
      </c>
      <c r="E465" s="102">
        <v>0.29166666666666669</v>
      </c>
      <c r="F465" s="103">
        <v>0.3125</v>
      </c>
      <c r="G465" s="103">
        <v>0.29166666666666669</v>
      </c>
      <c r="H465" s="103">
        <v>0.33333333333333331</v>
      </c>
      <c r="I465" s="90">
        <f t="shared" si="66"/>
        <v>0.49999999999999956</v>
      </c>
      <c r="J465" s="90">
        <f t="shared" si="61"/>
        <v>0.99999999999999911</v>
      </c>
      <c r="K465" s="91">
        <f t="shared" si="69"/>
        <v>0.66666666666666663</v>
      </c>
      <c r="L465" s="91">
        <f t="shared" si="70"/>
        <v>4.375</v>
      </c>
      <c r="M465" s="29">
        <f t="shared" si="67"/>
        <v>20</v>
      </c>
      <c r="N465" s="92">
        <f t="shared" si="62"/>
        <v>0.49999999999999956</v>
      </c>
      <c r="O465" s="104">
        <f t="shared" si="63"/>
        <v>1.016</v>
      </c>
      <c r="P465" s="105">
        <f t="shared" si="64"/>
        <v>7.111999999999993</v>
      </c>
    </row>
    <row r="466" spans="2:16" x14ac:dyDescent="0.25">
      <c r="B466" s="88" t="str">
        <f t="shared" si="65"/>
        <v>Fazenda Altenor</v>
      </c>
      <c r="C466" s="106">
        <f t="shared" si="68"/>
        <v>2020</v>
      </c>
      <c r="D466" s="101">
        <v>44025</v>
      </c>
      <c r="E466" s="102">
        <v>0.33333333333333331</v>
      </c>
      <c r="F466" s="103">
        <v>0.35416666666666669</v>
      </c>
      <c r="G466" s="103">
        <v>0.33333333333333331</v>
      </c>
      <c r="H466" s="103">
        <v>0.375</v>
      </c>
      <c r="I466" s="90">
        <f t="shared" si="66"/>
        <v>0.50000000000000089</v>
      </c>
      <c r="J466" s="90">
        <f t="shared" si="61"/>
        <v>1.0000000000000004</v>
      </c>
      <c r="K466" s="91">
        <f t="shared" si="69"/>
        <v>0.66666666666666663</v>
      </c>
      <c r="L466" s="91">
        <f t="shared" si="70"/>
        <v>4.375</v>
      </c>
      <c r="M466" s="29">
        <f t="shared" si="67"/>
        <v>20</v>
      </c>
      <c r="N466" s="92">
        <f t="shared" si="62"/>
        <v>0.50000000000000089</v>
      </c>
      <c r="O466" s="104">
        <f t="shared" si="63"/>
        <v>1.016</v>
      </c>
      <c r="P466" s="105">
        <f t="shared" si="64"/>
        <v>7.1120000000000116</v>
      </c>
    </row>
    <row r="467" spans="2:16" x14ac:dyDescent="0.25">
      <c r="B467" s="88" t="str">
        <f t="shared" si="65"/>
        <v>Fazenda Altenor</v>
      </c>
      <c r="C467" s="106">
        <f t="shared" si="68"/>
        <v>2020</v>
      </c>
      <c r="D467" s="101">
        <v>44026</v>
      </c>
      <c r="E467" s="102">
        <v>0.375</v>
      </c>
      <c r="F467" s="103">
        <v>0.39583333333333331</v>
      </c>
      <c r="G467" s="103">
        <v>0.375</v>
      </c>
      <c r="H467" s="103">
        <v>0.41666666666666669</v>
      </c>
      <c r="I467" s="90">
        <f t="shared" si="66"/>
        <v>0.49999999999999956</v>
      </c>
      <c r="J467" s="90">
        <f t="shared" si="61"/>
        <v>1.0000000000000004</v>
      </c>
      <c r="K467" s="91">
        <f t="shared" si="69"/>
        <v>0.66666666666666663</v>
      </c>
      <c r="L467" s="91">
        <f t="shared" si="70"/>
        <v>4.375</v>
      </c>
      <c r="M467" s="29">
        <f t="shared" si="67"/>
        <v>20</v>
      </c>
      <c r="N467" s="92">
        <f t="shared" si="62"/>
        <v>0.49999999999999956</v>
      </c>
      <c r="O467" s="104">
        <f t="shared" si="63"/>
        <v>1.016</v>
      </c>
      <c r="P467" s="105">
        <f t="shared" si="64"/>
        <v>7.111999999999993</v>
      </c>
    </row>
    <row r="468" spans="2:16" x14ac:dyDescent="0.25">
      <c r="B468" s="88" t="str">
        <f t="shared" si="65"/>
        <v>Fazenda Altenor</v>
      </c>
      <c r="C468" s="106">
        <f t="shared" si="68"/>
        <v>2020</v>
      </c>
      <c r="D468" s="101">
        <v>44027</v>
      </c>
      <c r="E468" s="102">
        <v>0.3125</v>
      </c>
      <c r="F468" s="103">
        <v>0.33333333333333331</v>
      </c>
      <c r="G468" s="103">
        <v>0.3125</v>
      </c>
      <c r="H468" s="103">
        <v>0.36458333333333331</v>
      </c>
      <c r="I468" s="90">
        <f t="shared" si="66"/>
        <v>0.49999999999999956</v>
      </c>
      <c r="J468" s="90">
        <f t="shared" si="61"/>
        <v>1.2499999999999996</v>
      </c>
      <c r="K468" s="91">
        <f t="shared" si="69"/>
        <v>0.66666666666666663</v>
      </c>
      <c r="L468" s="91">
        <f t="shared" si="70"/>
        <v>4.375</v>
      </c>
      <c r="M468" s="29">
        <f t="shared" si="67"/>
        <v>20</v>
      </c>
      <c r="N468" s="92">
        <f t="shared" si="62"/>
        <v>0.49999999999999956</v>
      </c>
      <c r="O468" s="104">
        <f t="shared" si="63"/>
        <v>1.016</v>
      </c>
      <c r="P468" s="105">
        <f t="shared" si="64"/>
        <v>7.111999999999993</v>
      </c>
    </row>
    <row r="469" spans="2:16" x14ac:dyDescent="0.25">
      <c r="B469" s="88" t="str">
        <f t="shared" si="65"/>
        <v>Fazenda Altenor</v>
      </c>
      <c r="C469" s="106">
        <f t="shared" si="68"/>
        <v>2020</v>
      </c>
      <c r="D469" s="101">
        <v>44028</v>
      </c>
      <c r="E469" s="102">
        <v>0.32291666666666669</v>
      </c>
      <c r="F469" s="103">
        <v>0.33333333333333331</v>
      </c>
      <c r="G469" s="103">
        <v>0.32291666666666669</v>
      </c>
      <c r="H469" s="103">
        <v>0.375</v>
      </c>
      <c r="I469" s="90">
        <f t="shared" si="66"/>
        <v>0.24999999999999911</v>
      </c>
      <c r="J469" s="90">
        <f t="shared" si="61"/>
        <v>1.2499999999999996</v>
      </c>
      <c r="K469" s="91">
        <f t="shared" si="69"/>
        <v>0.66666666666666663</v>
      </c>
      <c r="L469" s="91">
        <f t="shared" si="70"/>
        <v>4.375</v>
      </c>
      <c r="M469" s="29">
        <f t="shared" si="67"/>
        <v>20</v>
      </c>
      <c r="N469" s="92">
        <f t="shared" si="62"/>
        <v>0.24999999999999911</v>
      </c>
      <c r="O469" s="104">
        <f t="shared" si="63"/>
        <v>1.016</v>
      </c>
      <c r="P469" s="105">
        <f t="shared" si="64"/>
        <v>3.5559999999999872</v>
      </c>
    </row>
    <row r="470" spans="2:16" x14ac:dyDescent="0.25">
      <c r="B470" s="88" t="str">
        <f t="shared" si="65"/>
        <v>Fazenda Altenor</v>
      </c>
      <c r="C470" s="106">
        <f t="shared" si="68"/>
        <v>2020</v>
      </c>
      <c r="D470" s="101">
        <v>44029</v>
      </c>
      <c r="E470" s="102">
        <v>0.33333333333333331</v>
      </c>
      <c r="F470" s="103">
        <v>0.35416666666666669</v>
      </c>
      <c r="G470" s="103">
        <v>0.33333333333333331</v>
      </c>
      <c r="H470" s="103">
        <v>0.375</v>
      </c>
      <c r="I470" s="90">
        <f t="shared" si="66"/>
        <v>0.50000000000000089</v>
      </c>
      <c r="J470" s="90">
        <f t="shared" si="61"/>
        <v>1.0000000000000004</v>
      </c>
      <c r="K470" s="91">
        <f t="shared" si="69"/>
        <v>0.66666666666666663</v>
      </c>
      <c r="L470" s="91">
        <f t="shared" si="70"/>
        <v>4.375</v>
      </c>
      <c r="M470" s="29">
        <f t="shared" si="67"/>
        <v>20</v>
      </c>
      <c r="N470" s="92">
        <f t="shared" si="62"/>
        <v>0.50000000000000089</v>
      </c>
      <c r="O470" s="104">
        <f t="shared" si="63"/>
        <v>1.016</v>
      </c>
      <c r="P470" s="105">
        <f t="shared" si="64"/>
        <v>7.1120000000000116</v>
      </c>
    </row>
    <row r="471" spans="2:16" x14ac:dyDescent="0.25">
      <c r="B471" s="88" t="str">
        <f t="shared" si="65"/>
        <v>Fazenda Altenor</v>
      </c>
      <c r="C471" s="106">
        <f t="shared" si="68"/>
        <v>2020</v>
      </c>
      <c r="D471" s="101">
        <v>44030</v>
      </c>
      <c r="E471" s="102">
        <v>0.375</v>
      </c>
      <c r="F471" s="103">
        <v>0.40625</v>
      </c>
      <c r="G471" s="103">
        <v>0.375</v>
      </c>
      <c r="H471" s="103">
        <v>0.42708333333333331</v>
      </c>
      <c r="I471" s="90">
        <f t="shared" si="66"/>
        <v>0.75</v>
      </c>
      <c r="J471" s="90">
        <f t="shared" si="61"/>
        <v>1.2499999999999996</v>
      </c>
      <c r="K471" s="91">
        <f t="shared" si="69"/>
        <v>0.66666666666666663</v>
      </c>
      <c r="L471" s="91">
        <f t="shared" si="70"/>
        <v>4.375</v>
      </c>
      <c r="M471" s="29">
        <f t="shared" si="67"/>
        <v>20</v>
      </c>
      <c r="N471" s="92">
        <f t="shared" si="62"/>
        <v>0.75</v>
      </c>
      <c r="O471" s="104">
        <f t="shared" si="63"/>
        <v>1.016</v>
      </c>
      <c r="P471" s="105">
        <f t="shared" si="64"/>
        <v>10.667999999999999</v>
      </c>
    </row>
    <row r="472" spans="2:16" x14ac:dyDescent="0.25">
      <c r="B472" s="88" t="str">
        <f t="shared" si="65"/>
        <v>Fazenda Altenor</v>
      </c>
      <c r="C472" s="106">
        <f t="shared" si="68"/>
        <v>2020</v>
      </c>
      <c r="D472" s="101">
        <v>44031</v>
      </c>
      <c r="E472" s="102">
        <v>0.41666666666666669</v>
      </c>
      <c r="F472" s="103">
        <v>0.47916666666666669</v>
      </c>
      <c r="G472" s="103">
        <v>0.41666666666666669</v>
      </c>
      <c r="H472" s="103">
        <v>0.46875</v>
      </c>
      <c r="I472" s="90">
        <f t="shared" si="66"/>
        <v>1.5</v>
      </c>
      <c r="J472" s="90">
        <f t="shared" si="61"/>
        <v>1.2499999999999996</v>
      </c>
      <c r="K472" s="91">
        <f t="shared" si="69"/>
        <v>0.66666666666666663</v>
      </c>
      <c r="L472" s="91">
        <f t="shared" si="70"/>
        <v>4.375</v>
      </c>
      <c r="M472" s="29">
        <f t="shared" si="67"/>
        <v>20</v>
      </c>
      <c r="N472" s="92">
        <f t="shared" si="62"/>
        <v>1.5</v>
      </c>
      <c r="O472" s="104">
        <f t="shared" si="63"/>
        <v>1.016</v>
      </c>
      <c r="P472" s="105">
        <f t="shared" si="64"/>
        <v>21.335999999999999</v>
      </c>
    </row>
    <row r="473" spans="2:16" x14ac:dyDescent="0.25">
      <c r="B473" s="88" t="str">
        <f t="shared" si="65"/>
        <v>Fazenda Altenor</v>
      </c>
      <c r="C473" s="106">
        <f t="shared" si="68"/>
        <v>2020</v>
      </c>
      <c r="D473" s="101">
        <v>44032</v>
      </c>
      <c r="E473" s="102">
        <v>0.29166666666666669</v>
      </c>
      <c r="F473" s="103">
        <v>0.3125</v>
      </c>
      <c r="G473" s="103">
        <v>0.29166666666666669</v>
      </c>
      <c r="H473" s="103">
        <v>0.34375</v>
      </c>
      <c r="I473" s="90">
        <f t="shared" si="66"/>
        <v>0.49999999999999956</v>
      </c>
      <c r="J473" s="90">
        <f t="shared" si="61"/>
        <v>1.2499999999999996</v>
      </c>
      <c r="K473" s="91">
        <f t="shared" si="69"/>
        <v>0.66666666666666663</v>
      </c>
      <c r="L473" s="91">
        <f t="shared" si="70"/>
        <v>4.375</v>
      </c>
      <c r="M473" s="29">
        <f t="shared" si="67"/>
        <v>20</v>
      </c>
      <c r="N473" s="92">
        <f t="shared" si="62"/>
        <v>0.49999999999999956</v>
      </c>
      <c r="O473" s="104">
        <f t="shared" si="63"/>
        <v>1.016</v>
      </c>
      <c r="P473" s="105">
        <f t="shared" si="64"/>
        <v>7.111999999999993</v>
      </c>
    </row>
    <row r="474" spans="2:16" x14ac:dyDescent="0.25">
      <c r="B474" s="88" t="str">
        <f t="shared" si="65"/>
        <v>Fazenda Altenor</v>
      </c>
      <c r="C474" s="106">
        <f t="shared" si="68"/>
        <v>2020</v>
      </c>
      <c r="D474" s="101">
        <v>44033</v>
      </c>
      <c r="E474" s="102">
        <v>0.29166666666666669</v>
      </c>
      <c r="F474" s="103">
        <v>0.3125</v>
      </c>
      <c r="G474" s="103">
        <v>0.29166666666666669</v>
      </c>
      <c r="H474" s="103">
        <v>0.33333333333333331</v>
      </c>
      <c r="I474" s="90">
        <f t="shared" si="66"/>
        <v>0.49999999999999956</v>
      </c>
      <c r="J474" s="90">
        <f t="shared" si="61"/>
        <v>0.99999999999999911</v>
      </c>
      <c r="K474" s="91">
        <f t="shared" si="69"/>
        <v>0.66666666666666663</v>
      </c>
      <c r="L474" s="91">
        <f t="shared" si="70"/>
        <v>4.375</v>
      </c>
      <c r="M474" s="29">
        <f t="shared" si="67"/>
        <v>20</v>
      </c>
      <c r="N474" s="92">
        <f t="shared" si="62"/>
        <v>0.49999999999999956</v>
      </c>
      <c r="O474" s="104">
        <f t="shared" si="63"/>
        <v>1.016</v>
      </c>
      <c r="P474" s="105">
        <f t="shared" si="64"/>
        <v>7.111999999999993</v>
      </c>
    </row>
    <row r="475" spans="2:16" x14ac:dyDescent="0.25">
      <c r="B475" s="88" t="str">
        <f t="shared" si="65"/>
        <v>Fazenda Altenor</v>
      </c>
      <c r="C475" s="106">
        <f t="shared" si="68"/>
        <v>2020</v>
      </c>
      <c r="D475" s="101">
        <v>44034</v>
      </c>
      <c r="E475" s="102">
        <v>0.33333333333333331</v>
      </c>
      <c r="F475" s="103">
        <v>0.35416666666666669</v>
      </c>
      <c r="G475" s="103">
        <v>0.33333333333333331</v>
      </c>
      <c r="H475" s="103">
        <v>0.375</v>
      </c>
      <c r="I475" s="90">
        <f t="shared" si="66"/>
        <v>0.50000000000000089</v>
      </c>
      <c r="J475" s="90">
        <f t="shared" ref="J475:J539" si="71">((H475-G475)-INT($D$20))*24</f>
        <v>1.0000000000000004</v>
      </c>
      <c r="K475" s="91">
        <f t="shared" si="69"/>
        <v>0.66666666666666663</v>
      </c>
      <c r="L475" s="91">
        <f t="shared" si="70"/>
        <v>4.375</v>
      </c>
      <c r="M475" s="29">
        <f t="shared" si="67"/>
        <v>20</v>
      </c>
      <c r="N475" s="92">
        <f t="shared" ref="N475" si="72">I475</f>
        <v>0.50000000000000089</v>
      </c>
      <c r="O475" s="104">
        <f t="shared" ref="O475:O637" si="73">$D$21/1000</f>
        <v>1.016</v>
      </c>
      <c r="P475" s="105">
        <f t="shared" ref="P475" si="74">M475*N475*O475*0.7</f>
        <v>7.1120000000000116</v>
      </c>
    </row>
    <row r="476" spans="2:16" x14ac:dyDescent="0.25">
      <c r="B476" s="88" t="str">
        <f t="shared" ref="B476:B539" si="75">$B$5</f>
        <v>Fazenda Altenor</v>
      </c>
      <c r="C476" s="106">
        <f>YEAR(D476)</f>
        <v>2020</v>
      </c>
      <c r="D476" s="101">
        <v>44035</v>
      </c>
      <c r="E476" s="102">
        <v>0.375</v>
      </c>
      <c r="F476" s="103">
        <v>0.39583333333333331</v>
      </c>
      <c r="G476" s="103">
        <v>0.375</v>
      </c>
      <c r="H476" s="103">
        <v>0.41666666666666669</v>
      </c>
      <c r="I476" s="90">
        <f t="shared" si="66"/>
        <v>0.49999999999999956</v>
      </c>
      <c r="J476" s="90">
        <f t="shared" si="71"/>
        <v>1.0000000000000004</v>
      </c>
      <c r="K476" s="91">
        <f t="shared" si="69"/>
        <v>0.66666666666666663</v>
      </c>
      <c r="L476" s="91">
        <f t="shared" si="70"/>
        <v>4.375</v>
      </c>
      <c r="M476" s="29">
        <f>VLOOKUP(B476,$I$5:$J$17,2,FALSE)</f>
        <v>20</v>
      </c>
      <c r="N476" s="92">
        <f>I476</f>
        <v>0.49999999999999956</v>
      </c>
      <c r="O476" s="104">
        <f t="shared" si="73"/>
        <v>1.016</v>
      </c>
      <c r="P476" s="105">
        <f>M476*N476*O476*0.7</f>
        <v>7.111999999999993</v>
      </c>
    </row>
    <row r="477" spans="2:16" x14ac:dyDescent="0.25">
      <c r="B477" s="88" t="str">
        <f t="shared" si="75"/>
        <v>Fazenda Altenor</v>
      </c>
      <c r="C477" s="106">
        <f t="shared" ref="C477:C500" si="76">YEAR(D477)</f>
        <v>2020</v>
      </c>
      <c r="D477" s="101">
        <v>44036</v>
      </c>
      <c r="E477" s="102">
        <v>0.29166666666666669</v>
      </c>
      <c r="F477" s="103">
        <v>0.3125</v>
      </c>
      <c r="G477" s="103">
        <v>0.29166666666666669</v>
      </c>
      <c r="H477" s="103">
        <v>0.34375</v>
      </c>
      <c r="I477" s="90">
        <f t="shared" ref="I477:I540" si="77">((F477-E477)-INT($D$20))*24</f>
        <v>0.49999999999999956</v>
      </c>
      <c r="J477" s="90">
        <f t="shared" si="71"/>
        <v>1.2499999999999996</v>
      </c>
      <c r="K477" s="91">
        <f t="shared" ref="K477:K540" si="78">VLOOKUP(B477,$B$5:$J$17,5,FALSE)</f>
        <v>0.66666666666666663</v>
      </c>
      <c r="L477" s="91">
        <f t="shared" ref="L477:L540" si="79">VLOOKUP(B477,$B$5:$J$17,6,FALSE)</f>
        <v>4.375</v>
      </c>
      <c r="M477" s="29">
        <f t="shared" ref="M477:M540" si="80">VLOOKUP(B477,$I$5:$J$17,2,FALSE)</f>
        <v>20</v>
      </c>
      <c r="N477" s="92">
        <f t="shared" ref="N477:N540" si="81">I477</f>
        <v>0.49999999999999956</v>
      </c>
      <c r="O477" s="104">
        <f t="shared" si="73"/>
        <v>1.016</v>
      </c>
      <c r="P477" s="105">
        <f t="shared" ref="P477:P540" si="82">M477*N477*O477*0.7</f>
        <v>7.111999999999993</v>
      </c>
    </row>
    <row r="478" spans="2:16" x14ac:dyDescent="0.25">
      <c r="B478" s="88" t="str">
        <f t="shared" si="75"/>
        <v>Fazenda Altenor</v>
      </c>
      <c r="C478" s="106">
        <f t="shared" si="76"/>
        <v>2020</v>
      </c>
      <c r="D478" s="101">
        <v>44037</v>
      </c>
      <c r="E478" s="102">
        <v>0.35416666666666669</v>
      </c>
      <c r="F478" s="103">
        <v>0.375</v>
      </c>
      <c r="G478" s="103">
        <v>0.35416666666666669</v>
      </c>
      <c r="H478" s="103">
        <v>0.39583333333333331</v>
      </c>
      <c r="I478" s="90">
        <f t="shared" si="77"/>
        <v>0.49999999999999956</v>
      </c>
      <c r="J478" s="90">
        <f t="shared" si="71"/>
        <v>0.99999999999999911</v>
      </c>
      <c r="K478" s="91">
        <f t="shared" si="78"/>
        <v>0.66666666666666663</v>
      </c>
      <c r="L478" s="91">
        <f t="shared" si="79"/>
        <v>4.375</v>
      </c>
      <c r="M478" s="29">
        <f t="shared" si="80"/>
        <v>20</v>
      </c>
      <c r="N478" s="92">
        <f t="shared" si="81"/>
        <v>0.49999999999999956</v>
      </c>
      <c r="O478" s="104">
        <f t="shared" si="73"/>
        <v>1.016</v>
      </c>
      <c r="P478" s="105">
        <f t="shared" si="82"/>
        <v>7.111999999999993</v>
      </c>
    </row>
    <row r="479" spans="2:16" x14ac:dyDescent="0.25">
      <c r="B479" s="88" t="str">
        <f t="shared" si="75"/>
        <v>Fazenda Altenor</v>
      </c>
      <c r="C479" s="106">
        <f t="shared" si="76"/>
        <v>2020</v>
      </c>
      <c r="D479" s="101">
        <v>44038</v>
      </c>
      <c r="E479" s="102"/>
      <c r="F479" s="103"/>
      <c r="G479" s="103"/>
      <c r="H479" s="103"/>
      <c r="I479" s="90">
        <f t="shared" si="77"/>
        <v>0</v>
      </c>
      <c r="J479" s="90">
        <f t="shared" si="71"/>
        <v>0</v>
      </c>
      <c r="K479" s="91">
        <f t="shared" si="78"/>
        <v>0.66666666666666663</v>
      </c>
      <c r="L479" s="91">
        <f t="shared" si="79"/>
        <v>4.375</v>
      </c>
      <c r="M479" s="29">
        <f t="shared" si="80"/>
        <v>20</v>
      </c>
      <c r="N479" s="92">
        <f t="shared" si="81"/>
        <v>0</v>
      </c>
      <c r="O479" s="104">
        <f t="shared" si="73"/>
        <v>1.016</v>
      </c>
      <c r="P479" s="105">
        <f t="shared" si="82"/>
        <v>0</v>
      </c>
    </row>
    <row r="480" spans="2:16" x14ac:dyDescent="0.25">
      <c r="B480" s="88" t="str">
        <f t="shared" si="75"/>
        <v>Fazenda Altenor</v>
      </c>
      <c r="C480" s="106">
        <f t="shared" si="76"/>
        <v>2020</v>
      </c>
      <c r="D480" s="101">
        <v>44039</v>
      </c>
      <c r="E480" s="102">
        <v>0.29166666666666669</v>
      </c>
      <c r="F480" s="103">
        <v>0.3125</v>
      </c>
      <c r="G480" s="103">
        <v>0.29166666666666669</v>
      </c>
      <c r="H480" s="103">
        <v>0.33333333333333331</v>
      </c>
      <c r="I480" s="90">
        <f t="shared" si="77"/>
        <v>0.49999999999999956</v>
      </c>
      <c r="J480" s="90">
        <f t="shared" si="71"/>
        <v>0.99999999999999911</v>
      </c>
      <c r="K480" s="91">
        <f t="shared" si="78"/>
        <v>0.66666666666666663</v>
      </c>
      <c r="L480" s="91">
        <f t="shared" si="79"/>
        <v>4.375</v>
      </c>
      <c r="M480" s="29">
        <f t="shared" si="80"/>
        <v>20</v>
      </c>
      <c r="N480" s="92">
        <f t="shared" si="81"/>
        <v>0.49999999999999956</v>
      </c>
      <c r="O480" s="104">
        <f t="shared" si="73"/>
        <v>1.016</v>
      </c>
      <c r="P480" s="105">
        <f t="shared" si="82"/>
        <v>7.111999999999993</v>
      </c>
    </row>
    <row r="481" spans="2:16" x14ac:dyDescent="0.25">
      <c r="B481" s="88" t="str">
        <f t="shared" si="75"/>
        <v>Fazenda Altenor</v>
      </c>
      <c r="C481" s="106">
        <f t="shared" si="76"/>
        <v>2020</v>
      </c>
      <c r="D481" s="101">
        <v>44040</v>
      </c>
      <c r="E481" s="102">
        <v>0.3125</v>
      </c>
      <c r="F481" s="103">
        <v>0.33333333333333331</v>
      </c>
      <c r="G481" s="103">
        <v>0.3125</v>
      </c>
      <c r="H481" s="103">
        <v>0.35416666666666669</v>
      </c>
      <c r="I481" s="90">
        <f t="shared" si="77"/>
        <v>0.49999999999999956</v>
      </c>
      <c r="J481" s="90">
        <f t="shared" si="71"/>
        <v>1.0000000000000004</v>
      </c>
      <c r="K481" s="91">
        <f t="shared" si="78"/>
        <v>0.66666666666666663</v>
      </c>
      <c r="L481" s="91">
        <f t="shared" si="79"/>
        <v>4.375</v>
      </c>
      <c r="M481" s="29">
        <f t="shared" si="80"/>
        <v>20</v>
      </c>
      <c r="N481" s="92">
        <f t="shared" si="81"/>
        <v>0.49999999999999956</v>
      </c>
      <c r="O481" s="104">
        <f t="shared" si="73"/>
        <v>1.016</v>
      </c>
      <c r="P481" s="105">
        <f t="shared" si="82"/>
        <v>7.111999999999993</v>
      </c>
    </row>
    <row r="482" spans="2:16" x14ac:dyDescent="0.25">
      <c r="B482" s="88" t="str">
        <f t="shared" si="75"/>
        <v>Fazenda Altenor</v>
      </c>
      <c r="C482" s="106">
        <f t="shared" si="76"/>
        <v>2020</v>
      </c>
      <c r="D482" s="101">
        <v>44041</v>
      </c>
      <c r="E482" s="102">
        <v>0.33333333333333331</v>
      </c>
      <c r="F482" s="103">
        <v>0.35416666666666669</v>
      </c>
      <c r="G482" s="103">
        <v>0.33333333333333331</v>
      </c>
      <c r="H482" s="103">
        <v>0.375</v>
      </c>
      <c r="I482" s="90">
        <f t="shared" si="77"/>
        <v>0.50000000000000089</v>
      </c>
      <c r="J482" s="90">
        <f t="shared" si="71"/>
        <v>1.0000000000000004</v>
      </c>
      <c r="K482" s="91">
        <f t="shared" si="78"/>
        <v>0.66666666666666663</v>
      </c>
      <c r="L482" s="91">
        <f t="shared" si="79"/>
        <v>4.375</v>
      </c>
      <c r="M482" s="29">
        <f t="shared" si="80"/>
        <v>20</v>
      </c>
      <c r="N482" s="92">
        <f t="shared" si="81"/>
        <v>0.50000000000000089</v>
      </c>
      <c r="O482" s="104">
        <f t="shared" si="73"/>
        <v>1.016</v>
      </c>
      <c r="P482" s="105">
        <f t="shared" si="82"/>
        <v>7.1120000000000116</v>
      </c>
    </row>
    <row r="483" spans="2:16" x14ac:dyDescent="0.25">
      <c r="B483" s="88" t="str">
        <f t="shared" si="75"/>
        <v>Fazenda Altenor</v>
      </c>
      <c r="C483" s="106">
        <f t="shared" si="76"/>
        <v>2020</v>
      </c>
      <c r="D483" s="101">
        <v>44042</v>
      </c>
      <c r="E483" s="102">
        <v>0.29166666666666669</v>
      </c>
      <c r="F483" s="103">
        <v>0.3125</v>
      </c>
      <c r="G483" s="103">
        <v>0.29166666666666669</v>
      </c>
      <c r="H483" s="103">
        <v>0.34375</v>
      </c>
      <c r="I483" s="90">
        <f t="shared" si="77"/>
        <v>0.49999999999999956</v>
      </c>
      <c r="J483" s="90">
        <f t="shared" si="71"/>
        <v>1.2499999999999996</v>
      </c>
      <c r="K483" s="91">
        <f t="shared" si="78"/>
        <v>0.66666666666666663</v>
      </c>
      <c r="L483" s="91">
        <f t="shared" si="79"/>
        <v>4.375</v>
      </c>
      <c r="M483" s="29">
        <f t="shared" si="80"/>
        <v>20</v>
      </c>
      <c r="N483" s="92">
        <f t="shared" si="81"/>
        <v>0.49999999999999956</v>
      </c>
      <c r="O483" s="104">
        <f t="shared" si="73"/>
        <v>1.016</v>
      </c>
      <c r="P483" s="105">
        <f t="shared" si="82"/>
        <v>7.111999999999993</v>
      </c>
    </row>
    <row r="484" spans="2:16" x14ac:dyDescent="0.25">
      <c r="B484" s="88" t="str">
        <f t="shared" si="75"/>
        <v>Fazenda Altenor</v>
      </c>
      <c r="C484" s="106">
        <f t="shared" si="76"/>
        <v>2020</v>
      </c>
      <c r="D484" s="101">
        <v>44043</v>
      </c>
      <c r="E484" s="102">
        <v>0.35416666666666669</v>
      </c>
      <c r="F484" s="103">
        <v>0.375</v>
      </c>
      <c r="G484" s="103">
        <v>0.35416666666666669</v>
      </c>
      <c r="H484" s="103">
        <v>0.41666666666666669</v>
      </c>
      <c r="I484" s="90">
        <f t="shared" si="77"/>
        <v>0.49999999999999956</v>
      </c>
      <c r="J484" s="90">
        <f t="shared" si="71"/>
        <v>1.5</v>
      </c>
      <c r="K484" s="91">
        <f t="shared" si="78"/>
        <v>0.66666666666666663</v>
      </c>
      <c r="L484" s="91">
        <f t="shared" si="79"/>
        <v>4.375</v>
      </c>
      <c r="M484" s="29">
        <f t="shared" si="80"/>
        <v>20</v>
      </c>
      <c r="N484" s="92">
        <f t="shared" si="81"/>
        <v>0.49999999999999956</v>
      </c>
      <c r="O484" s="104">
        <f t="shared" si="73"/>
        <v>1.016</v>
      </c>
      <c r="P484" s="105">
        <f t="shared" si="82"/>
        <v>7.111999999999993</v>
      </c>
    </row>
    <row r="485" spans="2:16" x14ac:dyDescent="0.25">
      <c r="B485" s="88" t="str">
        <f t="shared" si="75"/>
        <v>Fazenda Altenor</v>
      </c>
      <c r="C485" s="106">
        <f t="shared" si="76"/>
        <v>2020</v>
      </c>
      <c r="D485" s="101">
        <v>44044</v>
      </c>
      <c r="E485" s="102"/>
      <c r="F485" s="103"/>
      <c r="G485" s="103"/>
      <c r="H485" s="103"/>
      <c r="I485" s="90">
        <f t="shared" si="77"/>
        <v>0</v>
      </c>
      <c r="J485" s="90">
        <f t="shared" si="71"/>
        <v>0</v>
      </c>
      <c r="K485" s="91">
        <f t="shared" si="78"/>
        <v>0.66666666666666663</v>
      </c>
      <c r="L485" s="91">
        <f t="shared" si="79"/>
        <v>4.375</v>
      </c>
      <c r="M485" s="29">
        <f t="shared" si="80"/>
        <v>20</v>
      </c>
      <c r="N485" s="92">
        <f t="shared" si="81"/>
        <v>0</v>
      </c>
      <c r="O485" s="104">
        <f t="shared" si="73"/>
        <v>1.016</v>
      </c>
      <c r="P485" s="105">
        <f t="shared" si="82"/>
        <v>0</v>
      </c>
    </row>
    <row r="486" spans="2:16" x14ac:dyDescent="0.25">
      <c r="B486" s="88" t="str">
        <f t="shared" si="75"/>
        <v>Fazenda Altenor</v>
      </c>
      <c r="C486" s="106">
        <f t="shared" si="76"/>
        <v>2020</v>
      </c>
      <c r="D486" s="101">
        <v>44045</v>
      </c>
      <c r="E486" s="102">
        <v>0.29166666666666669</v>
      </c>
      <c r="F486" s="103">
        <v>0.3125</v>
      </c>
      <c r="G486" s="103">
        <v>0.29166666666666669</v>
      </c>
      <c r="H486" s="103">
        <v>0.33333333333333331</v>
      </c>
      <c r="I486" s="90">
        <f t="shared" si="77"/>
        <v>0.49999999999999956</v>
      </c>
      <c r="J486" s="90">
        <f t="shared" si="71"/>
        <v>0.99999999999999911</v>
      </c>
      <c r="K486" s="91">
        <f t="shared" si="78"/>
        <v>0.66666666666666663</v>
      </c>
      <c r="L486" s="91">
        <f t="shared" si="79"/>
        <v>4.375</v>
      </c>
      <c r="M486" s="29">
        <f t="shared" si="80"/>
        <v>20</v>
      </c>
      <c r="N486" s="92">
        <f t="shared" si="81"/>
        <v>0.49999999999999956</v>
      </c>
      <c r="O486" s="104">
        <f t="shared" si="73"/>
        <v>1.016</v>
      </c>
      <c r="P486" s="105">
        <f t="shared" si="82"/>
        <v>7.111999999999993</v>
      </c>
    </row>
    <row r="487" spans="2:16" x14ac:dyDescent="0.25">
      <c r="B487" s="88" t="str">
        <f t="shared" si="75"/>
        <v>Fazenda Altenor</v>
      </c>
      <c r="C487" s="106">
        <f t="shared" si="76"/>
        <v>2020</v>
      </c>
      <c r="D487" s="101">
        <v>44046</v>
      </c>
      <c r="E487" s="102">
        <v>0.3125</v>
      </c>
      <c r="F487" s="103">
        <v>0.33333333333333331</v>
      </c>
      <c r="G487" s="103">
        <v>0.3125</v>
      </c>
      <c r="H487" s="103">
        <v>0.36458333333333331</v>
      </c>
      <c r="I487" s="90">
        <f t="shared" si="77"/>
        <v>0.49999999999999956</v>
      </c>
      <c r="J487" s="90">
        <f t="shared" si="71"/>
        <v>1.2499999999999996</v>
      </c>
      <c r="K487" s="91">
        <f t="shared" si="78"/>
        <v>0.66666666666666663</v>
      </c>
      <c r="L487" s="91">
        <f t="shared" si="79"/>
        <v>4.375</v>
      </c>
      <c r="M487" s="29">
        <f t="shared" si="80"/>
        <v>20</v>
      </c>
      <c r="N487" s="92">
        <f t="shared" si="81"/>
        <v>0.49999999999999956</v>
      </c>
      <c r="O487" s="104">
        <f t="shared" si="73"/>
        <v>1.016</v>
      </c>
      <c r="P487" s="105">
        <f t="shared" si="82"/>
        <v>7.111999999999993</v>
      </c>
    </row>
    <row r="488" spans="2:16" x14ac:dyDescent="0.25">
      <c r="B488" s="88" t="str">
        <f t="shared" si="75"/>
        <v>Fazenda Altenor</v>
      </c>
      <c r="C488" s="106">
        <f t="shared" si="76"/>
        <v>2020</v>
      </c>
      <c r="D488" s="101">
        <v>44047</v>
      </c>
      <c r="E488" s="102">
        <v>0.33333333333333331</v>
      </c>
      <c r="F488" s="103">
        <v>0.35416666666666669</v>
      </c>
      <c r="G488" s="103">
        <v>0.33333333333333331</v>
      </c>
      <c r="H488" s="103">
        <v>0.375</v>
      </c>
      <c r="I488" s="90">
        <f t="shared" si="77"/>
        <v>0.50000000000000089</v>
      </c>
      <c r="J488" s="90">
        <f t="shared" si="71"/>
        <v>1.0000000000000004</v>
      </c>
      <c r="K488" s="91">
        <f t="shared" si="78"/>
        <v>0.66666666666666663</v>
      </c>
      <c r="L488" s="91">
        <f t="shared" si="79"/>
        <v>4.375</v>
      </c>
      <c r="M488" s="29">
        <f t="shared" si="80"/>
        <v>20</v>
      </c>
      <c r="N488" s="92">
        <f t="shared" si="81"/>
        <v>0.50000000000000089</v>
      </c>
      <c r="O488" s="104">
        <f t="shared" si="73"/>
        <v>1.016</v>
      </c>
      <c r="P488" s="105">
        <f t="shared" si="82"/>
        <v>7.1120000000000116</v>
      </c>
    </row>
    <row r="489" spans="2:16" x14ac:dyDescent="0.25">
      <c r="B489" s="88" t="str">
        <f t="shared" si="75"/>
        <v>Fazenda Altenor</v>
      </c>
      <c r="C489" s="106">
        <f t="shared" si="76"/>
        <v>2020</v>
      </c>
      <c r="D489" s="101">
        <v>44048</v>
      </c>
      <c r="E489" s="102">
        <v>0.29166666666666669</v>
      </c>
      <c r="F489" s="103">
        <v>0.3125</v>
      </c>
      <c r="G489" s="103">
        <v>0.29166666666666669</v>
      </c>
      <c r="H489" s="103">
        <v>0.33333333333333331</v>
      </c>
      <c r="I489" s="90">
        <f t="shared" si="77"/>
        <v>0.49999999999999956</v>
      </c>
      <c r="J489" s="90">
        <f t="shared" si="71"/>
        <v>0.99999999999999911</v>
      </c>
      <c r="K489" s="91">
        <f t="shared" si="78"/>
        <v>0.66666666666666663</v>
      </c>
      <c r="L489" s="91">
        <f t="shared" si="79"/>
        <v>4.375</v>
      </c>
      <c r="M489" s="29">
        <f t="shared" si="80"/>
        <v>20</v>
      </c>
      <c r="N489" s="92">
        <f t="shared" si="81"/>
        <v>0.49999999999999956</v>
      </c>
      <c r="O489" s="104">
        <f t="shared" si="73"/>
        <v>1.016</v>
      </c>
      <c r="P489" s="105">
        <f t="shared" si="82"/>
        <v>7.111999999999993</v>
      </c>
    </row>
    <row r="490" spans="2:16" x14ac:dyDescent="0.25">
      <c r="B490" s="88" t="str">
        <f t="shared" si="75"/>
        <v>Fazenda Altenor</v>
      </c>
      <c r="C490" s="106">
        <f t="shared" si="76"/>
        <v>2020</v>
      </c>
      <c r="D490" s="101">
        <v>44049</v>
      </c>
      <c r="E490" s="102">
        <v>0.29166666666666669</v>
      </c>
      <c r="F490" s="103">
        <v>0.3125</v>
      </c>
      <c r="G490" s="103">
        <v>0.29166666666666669</v>
      </c>
      <c r="H490" s="103">
        <v>0.33333333333333331</v>
      </c>
      <c r="I490" s="90">
        <f t="shared" si="77"/>
        <v>0.49999999999999956</v>
      </c>
      <c r="J490" s="90">
        <f t="shared" si="71"/>
        <v>0.99999999999999911</v>
      </c>
      <c r="K490" s="91">
        <f t="shared" si="78"/>
        <v>0.66666666666666663</v>
      </c>
      <c r="L490" s="91">
        <f t="shared" si="79"/>
        <v>4.375</v>
      </c>
      <c r="M490" s="29">
        <f t="shared" si="80"/>
        <v>20</v>
      </c>
      <c r="N490" s="92">
        <f t="shared" si="81"/>
        <v>0.49999999999999956</v>
      </c>
      <c r="O490" s="104">
        <f t="shared" si="73"/>
        <v>1.016</v>
      </c>
      <c r="P490" s="105">
        <f t="shared" si="82"/>
        <v>7.111999999999993</v>
      </c>
    </row>
    <row r="491" spans="2:16" x14ac:dyDescent="0.25">
      <c r="B491" s="88" t="str">
        <f t="shared" si="75"/>
        <v>Fazenda Altenor</v>
      </c>
      <c r="C491" s="106">
        <f t="shared" si="76"/>
        <v>2020</v>
      </c>
      <c r="D491" s="101">
        <v>44050</v>
      </c>
      <c r="E491" s="102">
        <v>0.33333333333333298</v>
      </c>
      <c r="F491" s="103">
        <v>0.35416666666666702</v>
      </c>
      <c r="G491" s="103">
        <v>0.33333333333333298</v>
      </c>
      <c r="H491" s="103">
        <v>0.38541666666666669</v>
      </c>
      <c r="I491" s="90">
        <f t="shared" si="77"/>
        <v>0.50000000000001688</v>
      </c>
      <c r="J491" s="90">
        <f t="shared" si="71"/>
        <v>1.2500000000000089</v>
      </c>
      <c r="K491" s="91">
        <f t="shared" si="78"/>
        <v>0.66666666666666663</v>
      </c>
      <c r="L491" s="91">
        <f t="shared" si="79"/>
        <v>4.375</v>
      </c>
      <c r="M491" s="29">
        <f t="shared" si="80"/>
        <v>20</v>
      </c>
      <c r="N491" s="92">
        <f t="shared" si="81"/>
        <v>0.50000000000001688</v>
      </c>
      <c r="O491" s="104">
        <f t="shared" si="73"/>
        <v>1.016</v>
      </c>
      <c r="P491" s="105">
        <f t="shared" si="82"/>
        <v>7.1120000000002399</v>
      </c>
    </row>
    <row r="492" spans="2:16" x14ac:dyDescent="0.25">
      <c r="B492" s="88" t="str">
        <f t="shared" si="75"/>
        <v>Fazenda Altenor</v>
      </c>
      <c r="C492" s="106">
        <f t="shared" si="76"/>
        <v>2020</v>
      </c>
      <c r="D492" s="101">
        <v>44051</v>
      </c>
      <c r="E492" s="102">
        <v>0.3125</v>
      </c>
      <c r="F492" s="103">
        <v>0.33333333333333331</v>
      </c>
      <c r="G492" s="103">
        <v>0.3125</v>
      </c>
      <c r="H492" s="103">
        <v>0.35416666666666669</v>
      </c>
      <c r="I492" s="90">
        <f t="shared" si="77"/>
        <v>0.49999999999999956</v>
      </c>
      <c r="J492" s="90">
        <f t="shared" si="71"/>
        <v>1.0000000000000004</v>
      </c>
      <c r="K492" s="91">
        <f t="shared" si="78"/>
        <v>0.66666666666666663</v>
      </c>
      <c r="L492" s="91">
        <f t="shared" si="79"/>
        <v>4.375</v>
      </c>
      <c r="M492" s="29">
        <f t="shared" si="80"/>
        <v>20</v>
      </c>
      <c r="N492" s="92">
        <f t="shared" si="81"/>
        <v>0.49999999999999956</v>
      </c>
      <c r="O492" s="104">
        <f t="shared" si="73"/>
        <v>1.016</v>
      </c>
      <c r="P492" s="105">
        <f t="shared" si="82"/>
        <v>7.111999999999993</v>
      </c>
    </row>
    <row r="493" spans="2:16" x14ac:dyDescent="0.25">
      <c r="B493" s="88" t="str">
        <f t="shared" si="75"/>
        <v>Fazenda Altenor</v>
      </c>
      <c r="C493" s="106">
        <f t="shared" si="76"/>
        <v>2020</v>
      </c>
      <c r="D493" s="101">
        <v>44052</v>
      </c>
      <c r="E493" s="102">
        <v>0.33333333333333331</v>
      </c>
      <c r="F493" s="103">
        <v>0.35416666666666669</v>
      </c>
      <c r="G493" s="103">
        <v>0.33333333333333331</v>
      </c>
      <c r="H493" s="103">
        <v>0.375</v>
      </c>
      <c r="I493" s="90">
        <f t="shared" si="77"/>
        <v>0.50000000000000089</v>
      </c>
      <c r="J493" s="90">
        <f t="shared" si="71"/>
        <v>1.0000000000000004</v>
      </c>
      <c r="K493" s="91">
        <f t="shared" si="78"/>
        <v>0.66666666666666663</v>
      </c>
      <c r="L493" s="91">
        <f t="shared" si="79"/>
        <v>4.375</v>
      </c>
      <c r="M493" s="29">
        <f t="shared" si="80"/>
        <v>20</v>
      </c>
      <c r="N493" s="92">
        <f t="shared" si="81"/>
        <v>0.50000000000000089</v>
      </c>
      <c r="O493" s="104">
        <f t="shared" si="73"/>
        <v>1.016</v>
      </c>
      <c r="P493" s="105">
        <f t="shared" si="82"/>
        <v>7.1120000000000116</v>
      </c>
    </row>
    <row r="494" spans="2:16" x14ac:dyDescent="0.25">
      <c r="B494" s="88" t="str">
        <f t="shared" si="75"/>
        <v>Fazenda Altenor</v>
      </c>
      <c r="C494" s="106">
        <f t="shared" si="76"/>
        <v>2020</v>
      </c>
      <c r="D494" s="101">
        <v>44053</v>
      </c>
      <c r="E494" s="102">
        <v>0.375</v>
      </c>
      <c r="F494" s="103">
        <v>0.39583333333333331</v>
      </c>
      <c r="G494" s="103">
        <v>0.375</v>
      </c>
      <c r="H494" s="103">
        <v>0.41666666666666669</v>
      </c>
      <c r="I494" s="90">
        <f t="shared" si="77"/>
        <v>0.49999999999999956</v>
      </c>
      <c r="J494" s="90">
        <f t="shared" si="71"/>
        <v>1.0000000000000004</v>
      </c>
      <c r="K494" s="91">
        <f t="shared" si="78"/>
        <v>0.66666666666666663</v>
      </c>
      <c r="L494" s="91">
        <f t="shared" si="79"/>
        <v>4.375</v>
      </c>
      <c r="M494" s="29">
        <f t="shared" si="80"/>
        <v>20</v>
      </c>
      <c r="N494" s="92">
        <f t="shared" si="81"/>
        <v>0.49999999999999956</v>
      </c>
      <c r="O494" s="104">
        <f t="shared" si="73"/>
        <v>1.016</v>
      </c>
      <c r="P494" s="105">
        <f t="shared" si="82"/>
        <v>7.111999999999993</v>
      </c>
    </row>
    <row r="495" spans="2:16" x14ac:dyDescent="0.25">
      <c r="B495" s="88" t="str">
        <f t="shared" si="75"/>
        <v>Fazenda Altenor</v>
      </c>
      <c r="C495" s="106">
        <f t="shared" si="76"/>
        <v>2020</v>
      </c>
      <c r="D495" s="101">
        <v>44054</v>
      </c>
      <c r="E495" s="102">
        <v>0.29166666666666669</v>
      </c>
      <c r="F495" s="103">
        <v>0.3125</v>
      </c>
      <c r="G495" s="103">
        <v>0.29166666666666669</v>
      </c>
      <c r="H495" s="103">
        <v>0.33333333333333331</v>
      </c>
      <c r="I495" s="90">
        <f t="shared" si="77"/>
        <v>0.49999999999999956</v>
      </c>
      <c r="J495" s="90">
        <f t="shared" si="71"/>
        <v>0.99999999999999911</v>
      </c>
      <c r="K495" s="91">
        <f t="shared" si="78"/>
        <v>0.66666666666666663</v>
      </c>
      <c r="L495" s="91">
        <f t="shared" si="79"/>
        <v>4.375</v>
      </c>
      <c r="M495" s="29">
        <f t="shared" si="80"/>
        <v>20</v>
      </c>
      <c r="N495" s="92">
        <f t="shared" si="81"/>
        <v>0.49999999999999956</v>
      </c>
      <c r="O495" s="104">
        <f t="shared" si="73"/>
        <v>1.016</v>
      </c>
      <c r="P495" s="105">
        <f t="shared" si="82"/>
        <v>7.111999999999993</v>
      </c>
    </row>
    <row r="496" spans="2:16" x14ac:dyDescent="0.25">
      <c r="B496" s="88" t="str">
        <f t="shared" si="75"/>
        <v>Fazenda Altenor</v>
      </c>
      <c r="C496" s="106">
        <f t="shared" si="76"/>
        <v>2020</v>
      </c>
      <c r="D496" s="101">
        <v>44055</v>
      </c>
      <c r="E496" s="102">
        <v>0.35416666666666669</v>
      </c>
      <c r="F496" s="103">
        <v>0.375</v>
      </c>
      <c r="G496" s="103">
        <v>0.35416666666666669</v>
      </c>
      <c r="H496" s="103">
        <v>0.39583333333333331</v>
      </c>
      <c r="I496" s="90">
        <f t="shared" si="77"/>
        <v>0.49999999999999956</v>
      </c>
      <c r="J496" s="90">
        <f t="shared" si="71"/>
        <v>0.99999999999999911</v>
      </c>
      <c r="K496" s="91">
        <f t="shared" si="78"/>
        <v>0.66666666666666663</v>
      </c>
      <c r="L496" s="91">
        <f t="shared" si="79"/>
        <v>4.375</v>
      </c>
      <c r="M496" s="29">
        <f t="shared" si="80"/>
        <v>20</v>
      </c>
      <c r="N496" s="92">
        <f t="shared" si="81"/>
        <v>0.49999999999999956</v>
      </c>
      <c r="O496" s="104">
        <f t="shared" si="73"/>
        <v>1.016</v>
      </c>
      <c r="P496" s="105">
        <f t="shared" si="82"/>
        <v>7.111999999999993</v>
      </c>
    </row>
    <row r="497" spans="2:16" x14ac:dyDescent="0.25">
      <c r="B497" s="88" t="str">
        <f t="shared" si="75"/>
        <v>Fazenda Altenor</v>
      </c>
      <c r="C497" s="106">
        <f t="shared" si="76"/>
        <v>2020</v>
      </c>
      <c r="D497" s="101">
        <v>44056</v>
      </c>
      <c r="E497" s="102"/>
      <c r="F497" s="103"/>
      <c r="G497" s="103"/>
      <c r="H497" s="103"/>
      <c r="I497" s="90">
        <f t="shared" si="77"/>
        <v>0</v>
      </c>
      <c r="J497" s="90">
        <f t="shared" si="71"/>
        <v>0</v>
      </c>
      <c r="K497" s="91">
        <f t="shared" si="78"/>
        <v>0.66666666666666663</v>
      </c>
      <c r="L497" s="91">
        <f t="shared" si="79"/>
        <v>4.375</v>
      </c>
      <c r="M497" s="29">
        <f t="shared" si="80"/>
        <v>20</v>
      </c>
      <c r="N497" s="92">
        <f t="shared" si="81"/>
        <v>0</v>
      </c>
      <c r="O497" s="104">
        <f t="shared" si="73"/>
        <v>1.016</v>
      </c>
      <c r="P497" s="105">
        <f t="shared" si="82"/>
        <v>0</v>
      </c>
    </row>
    <row r="498" spans="2:16" x14ac:dyDescent="0.25">
      <c r="B498" s="88" t="str">
        <f t="shared" si="75"/>
        <v>Fazenda Altenor</v>
      </c>
      <c r="C498" s="106">
        <f t="shared" si="76"/>
        <v>2020</v>
      </c>
      <c r="D498" s="101">
        <v>44057</v>
      </c>
      <c r="E498" s="102">
        <v>0.29166666666666669</v>
      </c>
      <c r="F498" s="103">
        <v>0.3125</v>
      </c>
      <c r="G498" s="103">
        <v>0.29166666666666669</v>
      </c>
      <c r="H498" s="103">
        <v>0.33333333333333331</v>
      </c>
      <c r="I498" s="90">
        <f t="shared" si="77"/>
        <v>0.49999999999999956</v>
      </c>
      <c r="J498" s="90">
        <f t="shared" si="71"/>
        <v>0.99999999999999911</v>
      </c>
      <c r="K498" s="91">
        <f t="shared" si="78"/>
        <v>0.66666666666666663</v>
      </c>
      <c r="L498" s="91">
        <f t="shared" si="79"/>
        <v>4.375</v>
      </c>
      <c r="M498" s="29">
        <f t="shared" si="80"/>
        <v>20</v>
      </c>
      <c r="N498" s="92">
        <f t="shared" si="81"/>
        <v>0.49999999999999956</v>
      </c>
      <c r="O498" s="104">
        <f t="shared" si="73"/>
        <v>1.016</v>
      </c>
      <c r="P498" s="105">
        <f t="shared" si="82"/>
        <v>7.111999999999993</v>
      </c>
    </row>
    <row r="499" spans="2:16" x14ac:dyDescent="0.25">
      <c r="B499" s="88" t="str">
        <f t="shared" si="75"/>
        <v>Fazenda Altenor</v>
      </c>
      <c r="C499" s="106">
        <f t="shared" si="76"/>
        <v>2020</v>
      </c>
      <c r="D499" s="101">
        <v>44058</v>
      </c>
      <c r="E499" s="102">
        <v>0.3125</v>
      </c>
      <c r="F499" s="103">
        <v>0.33333333333333331</v>
      </c>
      <c r="G499" s="103">
        <v>0.3125</v>
      </c>
      <c r="H499" s="103">
        <v>0.36458333333333331</v>
      </c>
      <c r="I499" s="90">
        <f t="shared" si="77"/>
        <v>0.49999999999999956</v>
      </c>
      <c r="J499" s="90">
        <f t="shared" si="71"/>
        <v>1.2499999999999996</v>
      </c>
      <c r="K499" s="91">
        <f t="shared" si="78"/>
        <v>0.66666666666666663</v>
      </c>
      <c r="L499" s="91">
        <f t="shared" si="79"/>
        <v>4.375</v>
      </c>
      <c r="M499" s="29">
        <f t="shared" si="80"/>
        <v>20</v>
      </c>
      <c r="N499" s="92">
        <f t="shared" si="81"/>
        <v>0.49999999999999956</v>
      </c>
      <c r="O499" s="104">
        <f t="shared" si="73"/>
        <v>1.016</v>
      </c>
      <c r="P499" s="105">
        <f t="shared" si="82"/>
        <v>7.111999999999993</v>
      </c>
    </row>
    <row r="500" spans="2:16" x14ac:dyDescent="0.25">
      <c r="B500" s="88" t="str">
        <f t="shared" si="75"/>
        <v>Fazenda Altenor</v>
      </c>
      <c r="C500" s="106">
        <f t="shared" si="76"/>
        <v>2020</v>
      </c>
      <c r="D500" s="101">
        <v>44059</v>
      </c>
      <c r="E500" s="102">
        <v>0.33333333333333331</v>
      </c>
      <c r="F500" s="103">
        <v>0.35416666666666669</v>
      </c>
      <c r="G500" s="103">
        <v>0.33333333333333331</v>
      </c>
      <c r="H500" s="103">
        <v>0.375</v>
      </c>
      <c r="I500" s="90">
        <f t="shared" si="77"/>
        <v>0.50000000000000089</v>
      </c>
      <c r="J500" s="90">
        <f t="shared" si="71"/>
        <v>1.0000000000000004</v>
      </c>
      <c r="K500" s="91">
        <f t="shared" si="78"/>
        <v>0.66666666666666663</v>
      </c>
      <c r="L500" s="91">
        <f t="shared" si="79"/>
        <v>4.375</v>
      </c>
      <c r="M500" s="29">
        <f t="shared" si="80"/>
        <v>20</v>
      </c>
      <c r="N500" s="92">
        <f t="shared" si="81"/>
        <v>0.50000000000000089</v>
      </c>
      <c r="O500" s="104">
        <f t="shared" si="73"/>
        <v>1.016</v>
      </c>
      <c r="P500" s="105">
        <f t="shared" si="82"/>
        <v>7.1120000000000116</v>
      </c>
    </row>
    <row r="501" spans="2:16" x14ac:dyDescent="0.25">
      <c r="B501" s="88" t="str">
        <f t="shared" si="75"/>
        <v>Fazenda Altenor</v>
      </c>
      <c r="C501" s="106">
        <f>YEAR(D501)</f>
        <v>2020</v>
      </c>
      <c r="D501" s="101">
        <v>44060</v>
      </c>
      <c r="E501" s="102">
        <v>0.29166666666666669</v>
      </c>
      <c r="F501" s="103">
        <v>0.3125</v>
      </c>
      <c r="G501" s="103">
        <v>0.29166666666666669</v>
      </c>
      <c r="H501" s="103">
        <v>0.33333333333333331</v>
      </c>
      <c r="I501" s="90">
        <f t="shared" si="77"/>
        <v>0.49999999999999956</v>
      </c>
      <c r="J501" s="90">
        <f t="shared" si="71"/>
        <v>0.99999999999999911</v>
      </c>
      <c r="K501" s="91">
        <f t="shared" si="78"/>
        <v>0.66666666666666663</v>
      </c>
      <c r="L501" s="91">
        <f t="shared" si="79"/>
        <v>4.375</v>
      </c>
      <c r="M501" s="29">
        <f t="shared" si="80"/>
        <v>20</v>
      </c>
      <c r="N501" s="92">
        <f t="shared" si="81"/>
        <v>0.49999999999999956</v>
      </c>
      <c r="O501" s="104">
        <f t="shared" si="73"/>
        <v>1.016</v>
      </c>
      <c r="P501" s="105">
        <f t="shared" si="82"/>
        <v>7.111999999999993</v>
      </c>
    </row>
    <row r="502" spans="2:16" x14ac:dyDescent="0.25">
      <c r="B502" s="88" t="str">
        <f t="shared" si="75"/>
        <v>Fazenda Altenor</v>
      </c>
      <c r="C502" s="106">
        <f t="shared" ref="C502:C566" si="83">YEAR(D502)</f>
        <v>2020</v>
      </c>
      <c r="D502" s="101">
        <v>44061</v>
      </c>
      <c r="E502" s="102">
        <v>0.33333333333333331</v>
      </c>
      <c r="F502" s="103">
        <v>0.35416666666666669</v>
      </c>
      <c r="G502" s="103">
        <v>0.33333333333333331</v>
      </c>
      <c r="H502" s="103">
        <v>0.375</v>
      </c>
      <c r="I502" s="90">
        <f t="shared" si="77"/>
        <v>0.50000000000000089</v>
      </c>
      <c r="J502" s="90">
        <f t="shared" si="71"/>
        <v>1.0000000000000004</v>
      </c>
      <c r="K502" s="91">
        <f t="shared" si="78"/>
        <v>0.66666666666666663</v>
      </c>
      <c r="L502" s="91">
        <f t="shared" si="79"/>
        <v>4.375</v>
      </c>
      <c r="M502" s="29">
        <f t="shared" si="80"/>
        <v>20</v>
      </c>
      <c r="N502" s="92">
        <f t="shared" si="81"/>
        <v>0.50000000000000089</v>
      </c>
      <c r="O502" s="104">
        <f t="shared" si="73"/>
        <v>1.016</v>
      </c>
      <c r="P502" s="105">
        <f t="shared" si="82"/>
        <v>7.1120000000000116</v>
      </c>
    </row>
    <row r="503" spans="2:16" x14ac:dyDescent="0.25">
      <c r="B503" s="88" t="str">
        <f t="shared" si="75"/>
        <v>Fazenda Altenor</v>
      </c>
      <c r="C503" s="106">
        <f t="shared" si="83"/>
        <v>2020</v>
      </c>
      <c r="D503" s="101">
        <v>44062</v>
      </c>
      <c r="E503" s="102">
        <v>0.375</v>
      </c>
      <c r="F503" s="103">
        <v>0.39583333333333331</v>
      </c>
      <c r="G503" s="103">
        <v>0.375</v>
      </c>
      <c r="H503" s="103">
        <v>0.41666666666666669</v>
      </c>
      <c r="I503" s="90">
        <f t="shared" si="77"/>
        <v>0.49999999999999956</v>
      </c>
      <c r="J503" s="90">
        <f t="shared" si="71"/>
        <v>1.0000000000000004</v>
      </c>
      <c r="K503" s="91">
        <f t="shared" si="78"/>
        <v>0.66666666666666663</v>
      </c>
      <c r="L503" s="91">
        <f t="shared" si="79"/>
        <v>4.375</v>
      </c>
      <c r="M503" s="29">
        <f t="shared" si="80"/>
        <v>20</v>
      </c>
      <c r="N503" s="92">
        <f t="shared" si="81"/>
        <v>0.49999999999999956</v>
      </c>
      <c r="O503" s="104">
        <f t="shared" si="73"/>
        <v>1.016</v>
      </c>
      <c r="P503" s="105">
        <f t="shared" si="82"/>
        <v>7.111999999999993</v>
      </c>
    </row>
    <row r="504" spans="2:16" x14ac:dyDescent="0.25">
      <c r="B504" s="88" t="str">
        <f t="shared" si="75"/>
        <v>Fazenda Altenor</v>
      </c>
      <c r="C504" s="106">
        <f t="shared" si="83"/>
        <v>2020</v>
      </c>
      <c r="D504" s="101">
        <v>44063</v>
      </c>
      <c r="E504" s="102">
        <v>0.35416666666666669</v>
      </c>
      <c r="F504" s="103">
        <v>0.375</v>
      </c>
      <c r="G504" s="103">
        <v>0.35416666666666669</v>
      </c>
      <c r="H504" s="103">
        <v>0.39583333333333331</v>
      </c>
      <c r="I504" s="90">
        <f t="shared" si="77"/>
        <v>0.49999999999999956</v>
      </c>
      <c r="J504" s="90">
        <f t="shared" si="71"/>
        <v>0.99999999999999911</v>
      </c>
      <c r="K504" s="91">
        <f t="shared" si="78"/>
        <v>0.66666666666666663</v>
      </c>
      <c r="L504" s="91">
        <f t="shared" si="79"/>
        <v>4.375</v>
      </c>
      <c r="M504" s="29">
        <f t="shared" si="80"/>
        <v>20</v>
      </c>
      <c r="N504" s="92">
        <f t="shared" si="81"/>
        <v>0.49999999999999956</v>
      </c>
      <c r="O504" s="104">
        <f t="shared" si="73"/>
        <v>1.016</v>
      </c>
      <c r="P504" s="105">
        <f t="shared" si="82"/>
        <v>7.111999999999993</v>
      </c>
    </row>
    <row r="505" spans="2:16" x14ac:dyDescent="0.25">
      <c r="B505" s="88" t="str">
        <f t="shared" si="75"/>
        <v>Fazenda Altenor</v>
      </c>
      <c r="C505" s="106">
        <f t="shared" si="83"/>
        <v>2020</v>
      </c>
      <c r="D505" s="101">
        <v>44064</v>
      </c>
      <c r="E505" s="102">
        <v>0.29166666666666669</v>
      </c>
      <c r="F505" s="103">
        <v>0.3125</v>
      </c>
      <c r="G505" s="103">
        <v>0.29166666666666669</v>
      </c>
      <c r="H505" s="103">
        <v>0.33333333333333331</v>
      </c>
      <c r="I505" s="90">
        <f t="shared" si="77"/>
        <v>0.49999999999999956</v>
      </c>
      <c r="J505" s="90">
        <f t="shared" si="71"/>
        <v>0.99999999999999911</v>
      </c>
      <c r="K505" s="91">
        <f t="shared" si="78"/>
        <v>0.66666666666666663</v>
      </c>
      <c r="L505" s="91">
        <f t="shared" si="79"/>
        <v>4.375</v>
      </c>
      <c r="M505" s="29">
        <f t="shared" si="80"/>
        <v>20</v>
      </c>
      <c r="N505" s="92">
        <f t="shared" si="81"/>
        <v>0.49999999999999956</v>
      </c>
      <c r="O505" s="104">
        <f t="shared" si="73"/>
        <v>1.016</v>
      </c>
      <c r="P505" s="105">
        <f t="shared" si="82"/>
        <v>7.111999999999993</v>
      </c>
    </row>
    <row r="506" spans="2:16" x14ac:dyDescent="0.25">
      <c r="B506" s="88" t="str">
        <f t="shared" si="75"/>
        <v>Fazenda Altenor</v>
      </c>
      <c r="C506" s="106">
        <f t="shared" si="83"/>
        <v>2020</v>
      </c>
      <c r="D506" s="101">
        <v>44065</v>
      </c>
      <c r="E506" s="102">
        <v>0.4375</v>
      </c>
      <c r="F506" s="103">
        <v>0.45833333333333331</v>
      </c>
      <c r="G506" s="103">
        <v>0.4375</v>
      </c>
      <c r="H506" s="103">
        <v>0.47916666666666669</v>
      </c>
      <c r="I506" s="90">
        <f t="shared" si="77"/>
        <v>0.49999999999999956</v>
      </c>
      <c r="J506" s="90">
        <f t="shared" si="71"/>
        <v>1.0000000000000004</v>
      </c>
      <c r="K506" s="91">
        <f t="shared" si="78"/>
        <v>0.66666666666666663</v>
      </c>
      <c r="L506" s="91">
        <f t="shared" si="79"/>
        <v>4.375</v>
      </c>
      <c r="M506" s="29">
        <f t="shared" si="80"/>
        <v>20</v>
      </c>
      <c r="N506" s="92">
        <f t="shared" si="81"/>
        <v>0.49999999999999956</v>
      </c>
      <c r="O506" s="104">
        <f t="shared" si="73"/>
        <v>1.016</v>
      </c>
      <c r="P506" s="105">
        <f t="shared" si="82"/>
        <v>7.111999999999993</v>
      </c>
    </row>
    <row r="507" spans="2:16" x14ac:dyDescent="0.25">
      <c r="B507" s="88" t="str">
        <f t="shared" si="75"/>
        <v>Fazenda Altenor</v>
      </c>
      <c r="C507" s="106">
        <f t="shared" si="83"/>
        <v>2020</v>
      </c>
      <c r="D507" s="101">
        <v>44066</v>
      </c>
      <c r="E507" s="102">
        <v>0.33333333333333331</v>
      </c>
      <c r="F507" s="103">
        <v>0.35416666666666669</v>
      </c>
      <c r="G507" s="103">
        <v>0.33333333333333331</v>
      </c>
      <c r="H507" s="103">
        <v>0.375</v>
      </c>
      <c r="I507" s="90">
        <f t="shared" si="77"/>
        <v>0.50000000000000089</v>
      </c>
      <c r="J507" s="90">
        <f t="shared" si="71"/>
        <v>1.0000000000000004</v>
      </c>
      <c r="K507" s="91">
        <f t="shared" si="78"/>
        <v>0.66666666666666663</v>
      </c>
      <c r="L507" s="91">
        <f t="shared" si="79"/>
        <v>4.375</v>
      </c>
      <c r="M507" s="29">
        <f t="shared" si="80"/>
        <v>20</v>
      </c>
      <c r="N507" s="92">
        <f t="shared" si="81"/>
        <v>0.50000000000000089</v>
      </c>
      <c r="O507" s="104">
        <f t="shared" si="73"/>
        <v>1.016</v>
      </c>
      <c r="P507" s="105">
        <f t="shared" si="82"/>
        <v>7.1120000000000116</v>
      </c>
    </row>
    <row r="508" spans="2:16" x14ac:dyDescent="0.25">
      <c r="B508" s="88" t="str">
        <f t="shared" si="75"/>
        <v>Fazenda Altenor</v>
      </c>
      <c r="C508" s="106">
        <f t="shared" si="83"/>
        <v>2020</v>
      </c>
      <c r="D508" s="101">
        <v>44067</v>
      </c>
      <c r="E508" s="102">
        <v>0.39583333333333331</v>
      </c>
      <c r="F508" s="103">
        <v>0.41666666666666669</v>
      </c>
      <c r="G508" s="103">
        <v>0.39583333333333331</v>
      </c>
      <c r="H508" s="103">
        <v>0.4375</v>
      </c>
      <c r="I508" s="90">
        <f t="shared" si="77"/>
        <v>0.50000000000000089</v>
      </c>
      <c r="J508" s="90">
        <f t="shared" si="71"/>
        <v>1.0000000000000004</v>
      </c>
      <c r="K508" s="91">
        <f t="shared" si="78"/>
        <v>0.66666666666666663</v>
      </c>
      <c r="L508" s="91">
        <f t="shared" si="79"/>
        <v>4.375</v>
      </c>
      <c r="M508" s="29">
        <f t="shared" si="80"/>
        <v>20</v>
      </c>
      <c r="N508" s="92">
        <f t="shared" si="81"/>
        <v>0.50000000000000089</v>
      </c>
      <c r="O508" s="104">
        <f t="shared" si="73"/>
        <v>1.016</v>
      </c>
      <c r="P508" s="105">
        <f t="shared" si="82"/>
        <v>7.1120000000000116</v>
      </c>
    </row>
    <row r="509" spans="2:16" x14ac:dyDescent="0.25">
      <c r="B509" s="88" t="str">
        <f t="shared" si="75"/>
        <v>Fazenda Altenor</v>
      </c>
      <c r="C509" s="106">
        <f t="shared" si="83"/>
        <v>2020</v>
      </c>
      <c r="D509" s="101">
        <v>44068</v>
      </c>
      <c r="E509" s="102">
        <v>0.29166666666666669</v>
      </c>
      <c r="F509" s="103">
        <v>0.3125</v>
      </c>
      <c r="G509" s="103">
        <v>0.29166666666666669</v>
      </c>
      <c r="H509" s="103">
        <v>0.33333333333333331</v>
      </c>
      <c r="I509" s="90">
        <f t="shared" si="77"/>
        <v>0.49999999999999956</v>
      </c>
      <c r="J509" s="90">
        <f t="shared" si="71"/>
        <v>0.99999999999999911</v>
      </c>
      <c r="K509" s="91">
        <f t="shared" si="78"/>
        <v>0.66666666666666663</v>
      </c>
      <c r="L509" s="91">
        <f t="shared" si="79"/>
        <v>4.375</v>
      </c>
      <c r="M509" s="29">
        <f t="shared" si="80"/>
        <v>20</v>
      </c>
      <c r="N509" s="92">
        <f t="shared" si="81"/>
        <v>0.49999999999999956</v>
      </c>
      <c r="O509" s="104">
        <f t="shared" si="73"/>
        <v>1.016</v>
      </c>
      <c r="P509" s="105">
        <f t="shared" si="82"/>
        <v>7.111999999999993</v>
      </c>
    </row>
    <row r="510" spans="2:16" x14ac:dyDescent="0.25">
      <c r="B510" s="88" t="str">
        <f t="shared" si="75"/>
        <v>Fazenda Altenor</v>
      </c>
      <c r="C510" s="106">
        <f t="shared" si="83"/>
        <v>2020</v>
      </c>
      <c r="D510" s="101">
        <v>44069</v>
      </c>
      <c r="E510" s="102">
        <v>0.33333333333333331</v>
      </c>
      <c r="F510" s="103">
        <v>0.35416666666666669</v>
      </c>
      <c r="G510" s="103">
        <v>0.33333333333333331</v>
      </c>
      <c r="H510" s="103">
        <v>0.375</v>
      </c>
      <c r="I510" s="90">
        <f t="shared" si="77"/>
        <v>0.50000000000000089</v>
      </c>
      <c r="J510" s="90">
        <f t="shared" si="71"/>
        <v>1.0000000000000004</v>
      </c>
      <c r="K510" s="91">
        <f t="shared" si="78"/>
        <v>0.66666666666666663</v>
      </c>
      <c r="L510" s="91">
        <f t="shared" si="79"/>
        <v>4.375</v>
      </c>
      <c r="M510" s="29">
        <f t="shared" si="80"/>
        <v>20</v>
      </c>
      <c r="N510" s="92">
        <f t="shared" si="81"/>
        <v>0.50000000000000089</v>
      </c>
      <c r="O510" s="104">
        <f t="shared" si="73"/>
        <v>1.016</v>
      </c>
      <c r="P510" s="105">
        <f t="shared" si="82"/>
        <v>7.1120000000000116</v>
      </c>
    </row>
    <row r="511" spans="2:16" x14ac:dyDescent="0.25">
      <c r="B511" s="88" t="str">
        <f t="shared" si="75"/>
        <v>Fazenda Altenor</v>
      </c>
      <c r="C511" s="106">
        <f t="shared" si="83"/>
        <v>2020</v>
      </c>
      <c r="D511" s="101">
        <v>44070</v>
      </c>
      <c r="E511" s="102">
        <v>0.41666666666666669</v>
      </c>
      <c r="F511" s="103">
        <v>0.4375</v>
      </c>
      <c r="G511" s="103">
        <v>0.41666666666666669</v>
      </c>
      <c r="H511" s="103">
        <v>0.45833333333333331</v>
      </c>
      <c r="I511" s="90">
        <f t="shared" si="77"/>
        <v>0.49999999999999956</v>
      </c>
      <c r="J511" s="90">
        <f t="shared" si="71"/>
        <v>0.99999999999999911</v>
      </c>
      <c r="K511" s="91">
        <f t="shared" si="78"/>
        <v>0.66666666666666663</v>
      </c>
      <c r="L511" s="91">
        <f t="shared" si="79"/>
        <v>4.375</v>
      </c>
      <c r="M511" s="29">
        <f t="shared" si="80"/>
        <v>20</v>
      </c>
      <c r="N511" s="92">
        <f t="shared" si="81"/>
        <v>0.49999999999999956</v>
      </c>
      <c r="O511" s="104">
        <f t="shared" si="73"/>
        <v>1.016</v>
      </c>
      <c r="P511" s="105">
        <f t="shared" si="82"/>
        <v>7.111999999999993</v>
      </c>
    </row>
    <row r="512" spans="2:16" x14ac:dyDescent="0.25">
      <c r="B512" s="88" t="str">
        <f t="shared" si="75"/>
        <v>Fazenda Altenor</v>
      </c>
      <c r="C512" s="106">
        <f t="shared" si="83"/>
        <v>2020</v>
      </c>
      <c r="D512" s="101">
        <v>44071</v>
      </c>
      <c r="E512" s="102">
        <v>0.39583333333333331</v>
      </c>
      <c r="F512" s="103">
        <v>0.41666666666666669</v>
      </c>
      <c r="G512" s="103">
        <v>0.39583333333333331</v>
      </c>
      <c r="H512" s="103">
        <v>0.4375</v>
      </c>
      <c r="I512" s="90">
        <f t="shared" si="77"/>
        <v>0.50000000000000089</v>
      </c>
      <c r="J512" s="90">
        <f t="shared" si="71"/>
        <v>1.0000000000000004</v>
      </c>
      <c r="K512" s="91">
        <f t="shared" si="78"/>
        <v>0.66666666666666663</v>
      </c>
      <c r="L512" s="91">
        <f t="shared" si="79"/>
        <v>4.375</v>
      </c>
      <c r="M512" s="29">
        <f t="shared" si="80"/>
        <v>20</v>
      </c>
      <c r="N512" s="92">
        <f t="shared" si="81"/>
        <v>0.50000000000000089</v>
      </c>
      <c r="O512" s="104">
        <f t="shared" si="73"/>
        <v>1.016</v>
      </c>
      <c r="P512" s="105">
        <f t="shared" si="82"/>
        <v>7.1120000000000116</v>
      </c>
    </row>
    <row r="513" spans="2:16" x14ac:dyDescent="0.25">
      <c r="B513" s="88" t="str">
        <f t="shared" si="75"/>
        <v>Fazenda Altenor</v>
      </c>
      <c r="C513" s="106">
        <f t="shared" si="83"/>
        <v>2020</v>
      </c>
      <c r="D513" s="101">
        <v>44072</v>
      </c>
      <c r="E513" s="102">
        <v>0.35416666666666669</v>
      </c>
      <c r="F513" s="103">
        <v>0.375</v>
      </c>
      <c r="G513" s="103">
        <v>0.35416666666666669</v>
      </c>
      <c r="H513" s="103">
        <v>0.39583333333333331</v>
      </c>
      <c r="I513" s="90">
        <f t="shared" si="77"/>
        <v>0.49999999999999956</v>
      </c>
      <c r="J513" s="90">
        <f t="shared" si="71"/>
        <v>0.99999999999999911</v>
      </c>
      <c r="K513" s="91">
        <f t="shared" si="78"/>
        <v>0.66666666666666663</v>
      </c>
      <c r="L513" s="91">
        <f t="shared" si="79"/>
        <v>4.375</v>
      </c>
      <c r="M513" s="29">
        <f t="shared" si="80"/>
        <v>20</v>
      </c>
      <c r="N513" s="92">
        <f t="shared" si="81"/>
        <v>0.49999999999999956</v>
      </c>
      <c r="O513" s="104">
        <f t="shared" si="73"/>
        <v>1.016</v>
      </c>
      <c r="P513" s="105">
        <f t="shared" si="82"/>
        <v>7.111999999999993</v>
      </c>
    </row>
    <row r="514" spans="2:16" x14ac:dyDescent="0.25">
      <c r="B514" s="88" t="str">
        <f t="shared" si="75"/>
        <v>Fazenda Altenor</v>
      </c>
      <c r="C514" s="106">
        <f t="shared" si="83"/>
        <v>2020</v>
      </c>
      <c r="D514" s="101">
        <v>44073</v>
      </c>
      <c r="E514" s="102">
        <v>0.33333333333333331</v>
      </c>
      <c r="F514" s="103">
        <v>0.35416666666666669</v>
      </c>
      <c r="G514" s="103">
        <v>0.33333333333333331</v>
      </c>
      <c r="H514" s="103">
        <v>0.375</v>
      </c>
      <c r="I514" s="90">
        <f t="shared" si="77"/>
        <v>0.50000000000000089</v>
      </c>
      <c r="J514" s="90">
        <f t="shared" si="71"/>
        <v>1.0000000000000004</v>
      </c>
      <c r="K514" s="91">
        <f t="shared" si="78"/>
        <v>0.66666666666666663</v>
      </c>
      <c r="L514" s="91">
        <f t="shared" si="79"/>
        <v>4.375</v>
      </c>
      <c r="M514" s="29">
        <f t="shared" si="80"/>
        <v>20</v>
      </c>
      <c r="N514" s="92">
        <f t="shared" si="81"/>
        <v>0.50000000000000089</v>
      </c>
      <c r="O514" s="104">
        <f t="shared" si="73"/>
        <v>1.016</v>
      </c>
      <c r="P514" s="105">
        <f t="shared" si="82"/>
        <v>7.1120000000000116</v>
      </c>
    </row>
    <row r="515" spans="2:16" x14ac:dyDescent="0.25">
      <c r="B515" s="88" t="str">
        <f t="shared" si="75"/>
        <v>Fazenda Altenor</v>
      </c>
      <c r="C515" s="106">
        <f t="shared" si="83"/>
        <v>2020</v>
      </c>
      <c r="D515" s="101">
        <v>44074</v>
      </c>
      <c r="E515" s="102">
        <v>0.29166666666666669</v>
      </c>
      <c r="F515" s="103">
        <v>0.3125</v>
      </c>
      <c r="G515" s="103">
        <v>0.29166666666666669</v>
      </c>
      <c r="H515" s="103">
        <v>0.33333333333333331</v>
      </c>
      <c r="I515" s="90">
        <f t="shared" si="77"/>
        <v>0.49999999999999956</v>
      </c>
      <c r="J515" s="90">
        <f t="shared" si="71"/>
        <v>0.99999999999999911</v>
      </c>
      <c r="K515" s="91">
        <f t="shared" si="78"/>
        <v>0.66666666666666663</v>
      </c>
      <c r="L515" s="91">
        <f t="shared" si="79"/>
        <v>4.375</v>
      </c>
      <c r="M515" s="29">
        <f t="shared" si="80"/>
        <v>20</v>
      </c>
      <c r="N515" s="92">
        <f t="shared" si="81"/>
        <v>0.49999999999999956</v>
      </c>
      <c r="O515" s="104">
        <f t="shared" si="73"/>
        <v>1.016</v>
      </c>
      <c r="P515" s="105">
        <f t="shared" si="82"/>
        <v>7.111999999999993</v>
      </c>
    </row>
    <row r="516" spans="2:16" x14ac:dyDescent="0.25">
      <c r="B516" s="88" t="str">
        <f t="shared" si="75"/>
        <v>Fazenda Altenor</v>
      </c>
      <c r="C516" s="106">
        <f t="shared" si="83"/>
        <v>2020</v>
      </c>
      <c r="D516" s="101">
        <v>44075</v>
      </c>
      <c r="E516" s="102">
        <v>0.3125</v>
      </c>
      <c r="F516" s="103">
        <v>0.33333333333333331</v>
      </c>
      <c r="G516" s="103">
        <v>0.3125</v>
      </c>
      <c r="H516" s="103">
        <v>0.35416666666666669</v>
      </c>
      <c r="I516" s="90">
        <f t="shared" si="77"/>
        <v>0.49999999999999956</v>
      </c>
      <c r="J516" s="90">
        <f t="shared" si="71"/>
        <v>1.0000000000000004</v>
      </c>
      <c r="K516" s="91">
        <f t="shared" si="78"/>
        <v>0.66666666666666663</v>
      </c>
      <c r="L516" s="91">
        <f t="shared" si="79"/>
        <v>4.375</v>
      </c>
      <c r="M516" s="29">
        <f t="shared" si="80"/>
        <v>20</v>
      </c>
      <c r="N516" s="92">
        <f t="shared" si="81"/>
        <v>0.49999999999999956</v>
      </c>
      <c r="O516" s="104">
        <f t="shared" si="73"/>
        <v>1.016</v>
      </c>
      <c r="P516" s="105">
        <f t="shared" si="82"/>
        <v>7.111999999999993</v>
      </c>
    </row>
    <row r="517" spans="2:16" x14ac:dyDescent="0.25">
      <c r="B517" s="88" t="str">
        <f t="shared" si="75"/>
        <v>Fazenda Altenor</v>
      </c>
      <c r="C517" s="106">
        <f t="shared" si="83"/>
        <v>2020</v>
      </c>
      <c r="D517" s="101">
        <v>44076</v>
      </c>
      <c r="E517" s="102">
        <v>0.375</v>
      </c>
      <c r="F517" s="103">
        <v>0.39583333333333331</v>
      </c>
      <c r="G517" s="103">
        <v>0.375</v>
      </c>
      <c r="H517" s="103">
        <v>0.41666666666666669</v>
      </c>
      <c r="I517" s="90">
        <f t="shared" si="77"/>
        <v>0.49999999999999956</v>
      </c>
      <c r="J517" s="90">
        <f t="shared" si="71"/>
        <v>1.0000000000000004</v>
      </c>
      <c r="K517" s="91">
        <f t="shared" si="78"/>
        <v>0.66666666666666663</v>
      </c>
      <c r="L517" s="91">
        <f t="shared" si="79"/>
        <v>4.375</v>
      </c>
      <c r="M517" s="29">
        <f t="shared" si="80"/>
        <v>20</v>
      </c>
      <c r="N517" s="92">
        <f t="shared" si="81"/>
        <v>0.49999999999999956</v>
      </c>
      <c r="O517" s="104">
        <f t="shared" si="73"/>
        <v>1.016</v>
      </c>
      <c r="P517" s="105">
        <f t="shared" si="82"/>
        <v>7.111999999999993</v>
      </c>
    </row>
    <row r="518" spans="2:16" x14ac:dyDescent="0.25">
      <c r="B518" s="88" t="str">
        <f t="shared" si="75"/>
        <v>Fazenda Altenor</v>
      </c>
      <c r="C518" s="106">
        <f t="shared" si="83"/>
        <v>2020</v>
      </c>
      <c r="D518" s="101">
        <v>44077</v>
      </c>
      <c r="E518" s="102">
        <v>0.39583333333333331</v>
      </c>
      <c r="F518" s="103">
        <v>0.41666666666666669</v>
      </c>
      <c r="G518" s="103">
        <v>0.39583333333333331</v>
      </c>
      <c r="H518" s="103">
        <v>0.4375</v>
      </c>
      <c r="I518" s="90">
        <f t="shared" si="77"/>
        <v>0.50000000000000089</v>
      </c>
      <c r="J518" s="90">
        <f t="shared" si="71"/>
        <v>1.0000000000000004</v>
      </c>
      <c r="K518" s="91">
        <f t="shared" si="78"/>
        <v>0.66666666666666663</v>
      </c>
      <c r="L518" s="91">
        <f t="shared" si="79"/>
        <v>4.375</v>
      </c>
      <c r="M518" s="29">
        <f t="shared" si="80"/>
        <v>20</v>
      </c>
      <c r="N518" s="92">
        <f t="shared" si="81"/>
        <v>0.50000000000000089</v>
      </c>
      <c r="O518" s="104">
        <f t="shared" si="73"/>
        <v>1.016</v>
      </c>
      <c r="P518" s="105">
        <f t="shared" si="82"/>
        <v>7.1120000000000116</v>
      </c>
    </row>
    <row r="519" spans="2:16" x14ac:dyDescent="0.25">
      <c r="B519" s="88" t="str">
        <f t="shared" si="75"/>
        <v>Fazenda Altenor</v>
      </c>
      <c r="C519" s="106">
        <f t="shared" si="83"/>
        <v>2020</v>
      </c>
      <c r="D519" s="101">
        <v>44078</v>
      </c>
      <c r="E519" s="102">
        <v>0.4375</v>
      </c>
      <c r="F519" s="103">
        <v>0.45833333333333331</v>
      </c>
      <c r="G519" s="103">
        <v>0.4375</v>
      </c>
      <c r="H519" s="103">
        <v>0.47916666666666669</v>
      </c>
      <c r="I519" s="90">
        <f t="shared" si="77"/>
        <v>0.49999999999999956</v>
      </c>
      <c r="J519" s="90">
        <f t="shared" si="71"/>
        <v>1.0000000000000004</v>
      </c>
      <c r="K519" s="91">
        <f t="shared" si="78"/>
        <v>0.66666666666666663</v>
      </c>
      <c r="L519" s="91">
        <f t="shared" si="79"/>
        <v>4.375</v>
      </c>
      <c r="M519" s="29">
        <f t="shared" si="80"/>
        <v>20</v>
      </c>
      <c r="N519" s="92">
        <f t="shared" si="81"/>
        <v>0.49999999999999956</v>
      </c>
      <c r="O519" s="104">
        <f t="shared" si="73"/>
        <v>1.016</v>
      </c>
      <c r="P519" s="105">
        <f t="shared" si="82"/>
        <v>7.111999999999993</v>
      </c>
    </row>
    <row r="520" spans="2:16" x14ac:dyDescent="0.25">
      <c r="B520" s="88" t="str">
        <f t="shared" si="75"/>
        <v>Fazenda Altenor</v>
      </c>
      <c r="C520" s="106">
        <f t="shared" si="83"/>
        <v>2020</v>
      </c>
      <c r="D520" s="101">
        <v>44079</v>
      </c>
      <c r="E520" s="102">
        <v>0.3125</v>
      </c>
      <c r="F520" s="103">
        <v>0.33333333333333331</v>
      </c>
      <c r="G520" s="103">
        <v>0.3125</v>
      </c>
      <c r="H520" s="103">
        <v>0.35416666666666669</v>
      </c>
      <c r="I520" s="90">
        <f t="shared" si="77"/>
        <v>0.49999999999999956</v>
      </c>
      <c r="J520" s="90">
        <f t="shared" si="71"/>
        <v>1.0000000000000004</v>
      </c>
      <c r="K520" s="91">
        <f t="shared" si="78"/>
        <v>0.66666666666666663</v>
      </c>
      <c r="L520" s="91">
        <f t="shared" si="79"/>
        <v>4.375</v>
      </c>
      <c r="M520" s="29">
        <f t="shared" si="80"/>
        <v>20</v>
      </c>
      <c r="N520" s="92">
        <f t="shared" si="81"/>
        <v>0.49999999999999956</v>
      </c>
      <c r="O520" s="104">
        <f t="shared" si="73"/>
        <v>1.016</v>
      </c>
      <c r="P520" s="105">
        <f t="shared" si="82"/>
        <v>7.111999999999993</v>
      </c>
    </row>
    <row r="521" spans="2:16" x14ac:dyDescent="0.25">
      <c r="B521" s="88" t="str">
        <f t="shared" si="75"/>
        <v>Fazenda Altenor</v>
      </c>
      <c r="C521" s="106">
        <f t="shared" si="83"/>
        <v>2020</v>
      </c>
      <c r="D521" s="101">
        <v>44080</v>
      </c>
      <c r="E521" s="102">
        <v>0.33333333333333331</v>
      </c>
      <c r="F521" s="103">
        <v>0.35416666666666669</v>
      </c>
      <c r="G521" s="103">
        <v>0.33333333333333331</v>
      </c>
      <c r="H521" s="103">
        <v>0.375</v>
      </c>
      <c r="I521" s="90">
        <f t="shared" si="77"/>
        <v>0.50000000000000089</v>
      </c>
      <c r="J521" s="90">
        <f t="shared" si="71"/>
        <v>1.0000000000000004</v>
      </c>
      <c r="K521" s="91">
        <f t="shared" si="78"/>
        <v>0.66666666666666663</v>
      </c>
      <c r="L521" s="91">
        <f t="shared" si="79"/>
        <v>4.375</v>
      </c>
      <c r="M521" s="29">
        <f t="shared" si="80"/>
        <v>20</v>
      </c>
      <c r="N521" s="92">
        <f t="shared" si="81"/>
        <v>0.50000000000000089</v>
      </c>
      <c r="O521" s="104">
        <f t="shared" si="73"/>
        <v>1.016</v>
      </c>
      <c r="P521" s="105">
        <f t="shared" si="82"/>
        <v>7.1120000000000116</v>
      </c>
    </row>
    <row r="522" spans="2:16" x14ac:dyDescent="0.25">
      <c r="B522" s="88" t="str">
        <f t="shared" si="75"/>
        <v>Fazenda Altenor</v>
      </c>
      <c r="C522" s="106">
        <f t="shared" si="83"/>
        <v>2020</v>
      </c>
      <c r="D522" s="101">
        <v>44081</v>
      </c>
      <c r="E522" s="102">
        <v>0.29166666666666669</v>
      </c>
      <c r="F522" s="103">
        <v>0.3125</v>
      </c>
      <c r="G522" s="103">
        <v>0.29166666666666669</v>
      </c>
      <c r="H522" s="103">
        <v>0.33333333333333331</v>
      </c>
      <c r="I522" s="90">
        <f t="shared" si="77"/>
        <v>0.49999999999999956</v>
      </c>
      <c r="J522" s="90">
        <f t="shared" si="71"/>
        <v>0.99999999999999911</v>
      </c>
      <c r="K522" s="91">
        <f t="shared" si="78"/>
        <v>0.66666666666666663</v>
      </c>
      <c r="L522" s="91">
        <f t="shared" si="79"/>
        <v>4.375</v>
      </c>
      <c r="M522" s="29">
        <f t="shared" si="80"/>
        <v>20</v>
      </c>
      <c r="N522" s="92">
        <f t="shared" si="81"/>
        <v>0.49999999999999956</v>
      </c>
      <c r="O522" s="104">
        <f t="shared" si="73"/>
        <v>1.016</v>
      </c>
      <c r="P522" s="105">
        <f t="shared" si="82"/>
        <v>7.111999999999993</v>
      </c>
    </row>
    <row r="523" spans="2:16" x14ac:dyDescent="0.25">
      <c r="B523" s="88" t="str">
        <f t="shared" si="75"/>
        <v>Fazenda Altenor</v>
      </c>
      <c r="C523" s="106">
        <f t="shared" si="83"/>
        <v>2020</v>
      </c>
      <c r="D523" s="101">
        <v>44082</v>
      </c>
      <c r="E523" s="102">
        <v>0.3125</v>
      </c>
      <c r="F523" s="103">
        <v>0.33333333333333331</v>
      </c>
      <c r="G523" s="103">
        <v>0.3125</v>
      </c>
      <c r="H523" s="103">
        <v>0.36458333333333331</v>
      </c>
      <c r="I523" s="90">
        <f t="shared" si="77"/>
        <v>0.49999999999999956</v>
      </c>
      <c r="J523" s="90">
        <f t="shared" si="71"/>
        <v>1.2499999999999996</v>
      </c>
      <c r="K523" s="91">
        <f t="shared" si="78"/>
        <v>0.66666666666666663</v>
      </c>
      <c r="L523" s="91">
        <f t="shared" si="79"/>
        <v>4.375</v>
      </c>
      <c r="M523" s="29">
        <f t="shared" si="80"/>
        <v>20</v>
      </c>
      <c r="N523" s="92">
        <f t="shared" si="81"/>
        <v>0.49999999999999956</v>
      </c>
      <c r="O523" s="104">
        <f t="shared" si="73"/>
        <v>1.016</v>
      </c>
      <c r="P523" s="105">
        <f t="shared" si="82"/>
        <v>7.111999999999993</v>
      </c>
    </row>
    <row r="524" spans="2:16" x14ac:dyDescent="0.25">
      <c r="B524" s="88" t="str">
        <f t="shared" si="75"/>
        <v>Fazenda Altenor</v>
      </c>
      <c r="C524" s="106">
        <f t="shared" si="83"/>
        <v>2020</v>
      </c>
      <c r="D524" s="101">
        <v>44083</v>
      </c>
      <c r="E524" s="102">
        <v>0.33333333333333331</v>
      </c>
      <c r="F524" s="103">
        <v>0.35416666666666669</v>
      </c>
      <c r="G524" s="103">
        <v>0.33333333333333331</v>
      </c>
      <c r="H524" s="103">
        <v>0.375</v>
      </c>
      <c r="I524" s="90">
        <f t="shared" si="77"/>
        <v>0.50000000000000089</v>
      </c>
      <c r="J524" s="90">
        <f t="shared" si="71"/>
        <v>1.0000000000000004</v>
      </c>
      <c r="K524" s="91">
        <f t="shared" si="78"/>
        <v>0.66666666666666663</v>
      </c>
      <c r="L524" s="91">
        <f t="shared" si="79"/>
        <v>4.375</v>
      </c>
      <c r="M524" s="29">
        <f t="shared" si="80"/>
        <v>20</v>
      </c>
      <c r="N524" s="92">
        <f t="shared" si="81"/>
        <v>0.50000000000000089</v>
      </c>
      <c r="O524" s="104">
        <f t="shared" si="73"/>
        <v>1.016</v>
      </c>
      <c r="P524" s="105">
        <f t="shared" si="82"/>
        <v>7.1120000000000116</v>
      </c>
    </row>
    <row r="525" spans="2:16" x14ac:dyDescent="0.25">
      <c r="B525" s="88" t="str">
        <f t="shared" si="75"/>
        <v>Fazenda Altenor</v>
      </c>
      <c r="C525" s="106">
        <f t="shared" si="83"/>
        <v>2020</v>
      </c>
      <c r="D525" s="101">
        <v>44084</v>
      </c>
      <c r="E525" s="102">
        <v>0.29166666666666669</v>
      </c>
      <c r="F525" s="103">
        <v>0.3125</v>
      </c>
      <c r="G525" s="103">
        <v>0.29166666666666669</v>
      </c>
      <c r="H525" s="103">
        <v>0.33333333333333331</v>
      </c>
      <c r="I525" s="90">
        <f t="shared" si="77"/>
        <v>0.49999999999999956</v>
      </c>
      <c r="J525" s="90">
        <f t="shared" si="71"/>
        <v>0.99999999999999911</v>
      </c>
      <c r="K525" s="91">
        <f t="shared" si="78"/>
        <v>0.66666666666666663</v>
      </c>
      <c r="L525" s="91">
        <f t="shared" si="79"/>
        <v>4.375</v>
      </c>
      <c r="M525" s="29">
        <f t="shared" si="80"/>
        <v>20</v>
      </c>
      <c r="N525" s="92">
        <f t="shared" si="81"/>
        <v>0.49999999999999956</v>
      </c>
      <c r="O525" s="104">
        <f t="shared" si="73"/>
        <v>1.016</v>
      </c>
      <c r="P525" s="105">
        <f t="shared" si="82"/>
        <v>7.111999999999993</v>
      </c>
    </row>
    <row r="526" spans="2:16" x14ac:dyDescent="0.25">
      <c r="B526" s="88" t="str">
        <f t="shared" si="75"/>
        <v>Fazenda Altenor</v>
      </c>
      <c r="C526" s="106">
        <f t="shared" si="83"/>
        <v>2020</v>
      </c>
      <c r="D526" s="101">
        <v>44085</v>
      </c>
      <c r="E526" s="102">
        <v>0.35416666666666669</v>
      </c>
      <c r="F526" s="103">
        <v>0.375</v>
      </c>
      <c r="G526" s="103">
        <v>0.35416666666666669</v>
      </c>
      <c r="H526" s="103">
        <v>0.39583333333333331</v>
      </c>
      <c r="I526" s="90">
        <f t="shared" si="77"/>
        <v>0.49999999999999956</v>
      </c>
      <c r="J526" s="90">
        <f t="shared" si="71"/>
        <v>0.99999999999999911</v>
      </c>
      <c r="K526" s="91">
        <f t="shared" si="78"/>
        <v>0.66666666666666663</v>
      </c>
      <c r="L526" s="91">
        <f t="shared" si="79"/>
        <v>4.375</v>
      </c>
      <c r="M526" s="29">
        <f t="shared" si="80"/>
        <v>20</v>
      </c>
      <c r="N526" s="92">
        <f t="shared" si="81"/>
        <v>0.49999999999999956</v>
      </c>
      <c r="O526" s="104">
        <f t="shared" si="73"/>
        <v>1.016</v>
      </c>
      <c r="P526" s="105">
        <f t="shared" si="82"/>
        <v>7.111999999999993</v>
      </c>
    </row>
    <row r="527" spans="2:16" x14ac:dyDescent="0.25">
      <c r="B527" s="88" t="str">
        <f t="shared" si="75"/>
        <v>Fazenda Altenor</v>
      </c>
      <c r="C527" s="106">
        <f t="shared" si="83"/>
        <v>2020</v>
      </c>
      <c r="D527" s="101">
        <v>44086</v>
      </c>
      <c r="E527" s="102">
        <v>0.3125</v>
      </c>
      <c r="F527" s="103">
        <v>0.33333333333333331</v>
      </c>
      <c r="G527" s="103">
        <v>0.3125</v>
      </c>
      <c r="H527" s="103">
        <v>0.35416666666666669</v>
      </c>
      <c r="I527" s="90">
        <f t="shared" si="77"/>
        <v>0.49999999999999956</v>
      </c>
      <c r="J527" s="90">
        <f t="shared" si="71"/>
        <v>1.0000000000000004</v>
      </c>
      <c r="K527" s="91">
        <f t="shared" si="78"/>
        <v>0.66666666666666663</v>
      </c>
      <c r="L527" s="91">
        <f t="shared" si="79"/>
        <v>4.375</v>
      </c>
      <c r="M527" s="29">
        <f t="shared" si="80"/>
        <v>20</v>
      </c>
      <c r="N527" s="92">
        <f t="shared" si="81"/>
        <v>0.49999999999999956</v>
      </c>
      <c r="O527" s="104">
        <f t="shared" si="73"/>
        <v>1.016</v>
      </c>
      <c r="P527" s="105">
        <f t="shared" si="82"/>
        <v>7.111999999999993</v>
      </c>
    </row>
    <row r="528" spans="2:16" x14ac:dyDescent="0.25">
      <c r="B528" s="88" t="str">
        <f t="shared" si="75"/>
        <v>Fazenda Altenor</v>
      </c>
      <c r="C528" s="106">
        <f t="shared" si="83"/>
        <v>2020</v>
      </c>
      <c r="D528" s="101">
        <v>44087</v>
      </c>
      <c r="E528" s="102">
        <v>0.33333333333333331</v>
      </c>
      <c r="F528" s="103">
        <v>0.35416666666666669</v>
      </c>
      <c r="G528" s="103">
        <v>0.33333333333333331</v>
      </c>
      <c r="H528" s="103">
        <v>0.375</v>
      </c>
      <c r="I528" s="90">
        <f t="shared" si="77"/>
        <v>0.50000000000000089</v>
      </c>
      <c r="J528" s="90">
        <f t="shared" si="71"/>
        <v>1.0000000000000004</v>
      </c>
      <c r="K528" s="91">
        <f t="shared" si="78"/>
        <v>0.66666666666666663</v>
      </c>
      <c r="L528" s="91">
        <f t="shared" si="79"/>
        <v>4.375</v>
      </c>
      <c r="M528" s="29">
        <f t="shared" si="80"/>
        <v>20</v>
      </c>
      <c r="N528" s="92">
        <f t="shared" si="81"/>
        <v>0.50000000000000089</v>
      </c>
      <c r="O528" s="104">
        <f t="shared" si="73"/>
        <v>1.016</v>
      </c>
      <c r="P528" s="105">
        <f t="shared" si="82"/>
        <v>7.1120000000000116</v>
      </c>
    </row>
    <row r="529" spans="2:16" x14ac:dyDescent="0.25">
      <c r="B529" s="88" t="str">
        <f t="shared" si="75"/>
        <v>Fazenda Altenor</v>
      </c>
      <c r="C529" s="106">
        <f t="shared" si="83"/>
        <v>2020</v>
      </c>
      <c r="D529" s="101">
        <v>44088</v>
      </c>
      <c r="E529" s="102"/>
      <c r="F529" s="103"/>
      <c r="G529" s="103"/>
      <c r="H529" s="103"/>
      <c r="I529" s="90">
        <f t="shared" si="77"/>
        <v>0</v>
      </c>
      <c r="J529" s="90">
        <f t="shared" si="71"/>
        <v>0</v>
      </c>
      <c r="K529" s="91">
        <f t="shared" si="78"/>
        <v>0.66666666666666663</v>
      </c>
      <c r="L529" s="91">
        <f t="shared" si="79"/>
        <v>4.375</v>
      </c>
      <c r="M529" s="29">
        <f t="shared" si="80"/>
        <v>20</v>
      </c>
      <c r="N529" s="92">
        <f t="shared" si="81"/>
        <v>0</v>
      </c>
      <c r="O529" s="104">
        <f t="shared" si="73"/>
        <v>1.016</v>
      </c>
      <c r="P529" s="105">
        <f t="shared" si="82"/>
        <v>0</v>
      </c>
    </row>
    <row r="530" spans="2:16" x14ac:dyDescent="0.25">
      <c r="B530" s="88" t="str">
        <f t="shared" si="75"/>
        <v>Fazenda Altenor</v>
      </c>
      <c r="C530" s="106">
        <f t="shared" si="83"/>
        <v>2020</v>
      </c>
      <c r="D530" s="101">
        <v>44089</v>
      </c>
      <c r="E530" s="102">
        <v>0.29166666666666669</v>
      </c>
      <c r="F530" s="103">
        <v>0.3125</v>
      </c>
      <c r="G530" s="103">
        <v>0.29166666666666669</v>
      </c>
      <c r="H530" s="103">
        <v>0.33333333333333331</v>
      </c>
      <c r="I530" s="90">
        <f t="shared" si="77"/>
        <v>0.49999999999999956</v>
      </c>
      <c r="J530" s="90">
        <f t="shared" si="71"/>
        <v>0.99999999999999911</v>
      </c>
      <c r="K530" s="91">
        <f t="shared" si="78"/>
        <v>0.66666666666666663</v>
      </c>
      <c r="L530" s="91">
        <f t="shared" si="79"/>
        <v>4.375</v>
      </c>
      <c r="M530" s="29">
        <f t="shared" si="80"/>
        <v>20</v>
      </c>
      <c r="N530" s="92">
        <f t="shared" si="81"/>
        <v>0.49999999999999956</v>
      </c>
      <c r="O530" s="104">
        <f t="shared" si="73"/>
        <v>1.016</v>
      </c>
      <c r="P530" s="105">
        <f t="shared" si="82"/>
        <v>7.111999999999993</v>
      </c>
    </row>
    <row r="531" spans="2:16" x14ac:dyDescent="0.25">
      <c r="B531" s="88" t="str">
        <f t="shared" si="75"/>
        <v>Fazenda Altenor</v>
      </c>
      <c r="C531" s="106">
        <f t="shared" si="83"/>
        <v>2020</v>
      </c>
      <c r="D531" s="101">
        <v>44090</v>
      </c>
      <c r="E531" s="102">
        <v>0.375</v>
      </c>
      <c r="F531" s="103">
        <v>0.39583333333333331</v>
      </c>
      <c r="G531" s="103">
        <v>0.375</v>
      </c>
      <c r="H531" s="103">
        <v>0.41666666666666669</v>
      </c>
      <c r="I531" s="90">
        <f t="shared" si="77"/>
        <v>0.49999999999999956</v>
      </c>
      <c r="J531" s="90">
        <f t="shared" si="71"/>
        <v>1.0000000000000004</v>
      </c>
      <c r="K531" s="91">
        <f t="shared" si="78"/>
        <v>0.66666666666666663</v>
      </c>
      <c r="L531" s="91">
        <f t="shared" si="79"/>
        <v>4.375</v>
      </c>
      <c r="M531" s="29">
        <f t="shared" si="80"/>
        <v>20</v>
      </c>
      <c r="N531" s="92">
        <f t="shared" si="81"/>
        <v>0.49999999999999956</v>
      </c>
      <c r="O531" s="104">
        <f t="shared" si="73"/>
        <v>1.016</v>
      </c>
      <c r="P531" s="105">
        <f t="shared" si="82"/>
        <v>7.111999999999993</v>
      </c>
    </row>
    <row r="532" spans="2:16" x14ac:dyDescent="0.25">
      <c r="B532" s="88" t="str">
        <f t="shared" si="75"/>
        <v>Fazenda Altenor</v>
      </c>
      <c r="C532" s="106">
        <f t="shared" si="83"/>
        <v>2020</v>
      </c>
      <c r="D532" s="101">
        <v>44091</v>
      </c>
      <c r="E532" s="102">
        <v>0.3125</v>
      </c>
      <c r="F532" s="103">
        <v>0.33333333333333331</v>
      </c>
      <c r="G532" s="103">
        <v>0.3125</v>
      </c>
      <c r="H532" s="103">
        <v>0.36458333333333331</v>
      </c>
      <c r="I532" s="90">
        <f t="shared" si="77"/>
        <v>0.49999999999999956</v>
      </c>
      <c r="J532" s="90">
        <f t="shared" si="71"/>
        <v>1.2499999999999996</v>
      </c>
      <c r="K532" s="91">
        <f t="shared" si="78"/>
        <v>0.66666666666666663</v>
      </c>
      <c r="L532" s="91">
        <f t="shared" si="79"/>
        <v>4.375</v>
      </c>
      <c r="M532" s="29">
        <f t="shared" si="80"/>
        <v>20</v>
      </c>
      <c r="N532" s="92">
        <f t="shared" si="81"/>
        <v>0.49999999999999956</v>
      </c>
      <c r="O532" s="104">
        <f t="shared" si="73"/>
        <v>1.016</v>
      </c>
      <c r="P532" s="105">
        <f t="shared" si="82"/>
        <v>7.111999999999993</v>
      </c>
    </row>
    <row r="533" spans="2:16" x14ac:dyDescent="0.25">
      <c r="B533" s="88" t="str">
        <f t="shared" si="75"/>
        <v>Fazenda Altenor</v>
      </c>
      <c r="C533" s="106">
        <f t="shared" si="83"/>
        <v>2020</v>
      </c>
      <c r="D533" s="101">
        <v>44092</v>
      </c>
      <c r="E533" s="102">
        <v>0.33333333333333331</v>
      </c>
      <c r="F533" s="103">
        <v>0.35416666666666669</v>
      </c>
      <c r="G533" s="103">
        <v>0.33333333333333331</v>
      </c>
      <c r="H533" s="103">
        <v>0.375</v>
      </c>
      <c r="I533" s="90">
        <f t="shared" si="77"/>
        <v>0.50000000000000089</v>
      </c>
      <c r="J533" s="90">
        <f t="shared" si="71"/>
        <v>1.0000000000000004</v>
      </c>
      <c r="K533" s="91">
        <f t="shared" si="78"/>
        <v>0.66666666666666663</v>
      </c>
      <c r="L533" s="91">
        <f t="shared" si="79"/>
        <v>4.375</v>
      </c>
      <c r="M533" s="29">
        <f t="shared" si="80"/>
        <v>20</v>
      </c>
      <c r="N533" s="92">
        <f t="shared" si="81"/>
        <v>0.50000000000000089</v>
      </c>
      <c r="O533" s="104">
        <f t="shared" si="73"/>
        <v>1.016</v>
      </c>
      <c r="P533" s="105">
        <f t="shared" si="82"/>
        <v>7.1120000000000116</v>
      </c>
    </row>
    <row r="534" spans="2:16" x14ac:dyDescent="0.25">
      <c r="B534" s="88" t="str">
        <f t="shared" si="75"/>
        <v>Fazenda Altenor</v>
      </c>
      <c r="C534" s="106">
        <f t="shared" si="83"/>
        <v>2020</v>
      </c>
      <c r="D534" s="101">
        <v>44093</v>
      </c>
      <c r="E534" s="102">
        <v>0.3125</v>
      </c>
      <c r="F534" s="103">
        <v>0.33333333333333331</v>
      </c>
      <c r="G534" s="103">
        <v>0.3125</v>
      </c>
      <c r="H534" s="103">
        <v>0.375</v>
      </c>
      <c r="I534" s="90">
        <f t="shared" si="77"/>
        <v>0.49999999999999956</v>
      </c>
      <c r="J534" s="90">
        <f t="shared" si="71"/>
        <v>1.5</v>
      </c>
      <c r="K534" s="91">
        <f t="shared" si="78"/>
        <v>0.66666666666666663</v>
      </c>
      <c r="L534" s="91">
        <f t="shared" si="79"/>
        <v>4.375</v>
      </c>
      <c r="M534" s="29">
        <f t="shared" si="80"/>
        <v>20</v>
      </c>
      <c r="N534" s="92">
        <f t="shared" si="81"/>
        <v>0.49999999999999956</v>
      </c>
      <c r="O534" s="104">
        <f t="shared" si="73"/>
        <v>1.016</v>
      </c>
      <c r="P534" s="105">
        <f t="shared" si="82"/>
        <v>7.111999999999993</v>
      </c>
    </row>
    <row r="535" spans="2:16" x14ac:dyDescent="0.25">
      <c r="B535" s="88" t="str">
        <f t="shared" si="75"/>
        <v>Fazenda Altenor</v>
      </c>
      <c r="C535" s="106">
        <f t="shared" si="83"/>
        <v>2020</v>
      </c>
      <c r="D535" s="101">
        <v>44094</v>
      </c>
      <c r="E535" s="102">
        <v>0.29166666666666669</v>
      </c>
      <c r="F535" s="103">
        <v>0.3125</v>
      </c>
      <c r="G535" s="103">
        <v>0.29166666666666669</v>
      </c>
      <c r="H535" s="103">
        <v>0.33333333333333331</v>
      </c>
      <c r="I535" s="90">
        <f t="shared" si="77"/>
        <v>0.49999999999999956</v>
      </c>
      <c r="J535" s="90">
        <f t="shared" si="71"/>
        <v>0.99999999999999911</v>
      </c>
      <c r="K535" s="91">
        <f t="shared" si="78"/>
        <v>0.66666666666666663</v>
      </c>
      <c r="L535" s="91">
        <f t="shared" si="79"/>
        <v>4.375</v>
      </c>
      <c r="M535" s="29">
        <f t="shared" si="80"/>
        <v>20</v>
      </c>
      <c r="N535" s="92">
        <f t="shared" si="81"/>
        <v>0.49999999999999956</v>
      </c>
      <c r="O535" s="104">
        <f t="shared" si="73"/>
        <v>1.016</v>
      </c>
      <c r="P535" s="105">
        <f t="shared" si="82"/>
        <v>7.111999999999993</v>
      </c>
    </row>
    <row r="536" spans="2:16" x14ac:dyDescent="0.25">
      <c r="B536" s="88" t="str">
        <f t="shared" si="75"/>
        <v>Fazenda Altenor</v>
      </c>
      <c r="C536" s="106">
        <f t="shared" si="83"/>
        <v>2020</v>
      </c>
      <c r="D536" s="101">
        <v>44095</v>
      </c>
      <c r="E536" s="102">
        <v>0.375</v>
      </c>
      <c r="F536" s="103">
        <v>0.39583333333333331</v>
      </c>
      <c r="G536" s="103">
        <v>0.375</v>
      </c>
      <c r="H536" s="103">
        <v>0.41666666666666669</v>
      </c>
      <c r="I536" s="90">
        <f t="shared" si="77"/>
        <v>0.49999999999999956</v>
      </c>
      <c r="J536" s="90">
        <f t="shared" si="71"/>
        <v>1.0000000000000004</v>
      </c>
      <c r="K536" s="91">
        <f t="shared" si="78"/>
        <v>0.66666666666666663</v>
      </c>
      <c r="L536" s="91">
        <f t="shared" si="79"/>
        <v>4.375</v>
      </c>
      <c r="M536" s="29">
        <f t="shared" si="80"/>
        <v>20</v>
      </c>
      <c r="N536" s="92">
        <f t="shared" si="81"/>
        <v>0.49999999999999956</v>
      </c>
      <c r="O536" s="104">
        <f t="shared" si="73"/>
        <v>1.016</v>
      </c>
      <c r="P536" s="105">
        <f t="shared" si="82"/>
        <v>7.111999999999993</v>
      </c>
    </row>
    <row r="537" spans="2:16" x14ac:dyDescent="0.25">
      <c r="B537" s="88" t="str">
        <f t="shared" si="75"/>
        <v>Fazenda Altenor</v>
      </c>
      <c r="C537" s="106">
        <f t="shared" si="83"/>
        <v>2020</v>
      </c>
      <c r="D537" s="101">
        <v>44096</v>
      </c>
      <c r="E537" s="102">
        <v>0.35416666666666669</v>
      </c>
      <c r="F537" s="103">
        <v>0.375</v>
      </c>
      <c r="G537" s="103">
        <v>0.35416666666666669</v>
      </c>
      <c r="H537" s="103">
        <v>0.40625</v>
      </c>
      <c r="I537" s="90">
        <f t="shared" si="77"/>
        <v>0.49999999999999956</v>
      </c>
      <c r="J537" s="90">
        <f t="shared" si="71"/>
        <v>1.2499999999999996</v>
      </c>
      <c r="K537" s="91">
        <f t="shared" si="78"/>
        <v>0.66666666666666663</v>
      </c>
      <c r="L537" s="91">
        <f t="shared" si="79"/>
        <v>4.375</v>
      </c>
      <c r="M537" s="29">
        <f t="shared" si="80"/>
        <v>20</v>
      </c>
      <c r="N537" s="92">
        <f t="shared" si="81"/>
        <v>0.49999999999999956</v>
      </c>
      <c r="O537" s="104">
        <f t="shared" si="73"/>
        <v>1.016</v>
      </c>
      <c r="P537" s="105">
        <f t="shared" si="82"/>
        <v>7.111999999999993</v>
      </c>
    </row>
    <row r="538" spans="2:16" x14ac:dyDescent="0.25">
      <c r="B538" s="88" t="str">
        <f t="shared" si="75"/>
        <v>Fazenda Altenor</v>
      </c>
      <c r="C538" s="106">
        <f t="shared" si="83"/>
        <v>2020</v>
      </c>
      <c r="D538" s="101">
        <v>44097</v>
      </c>
      <c r="E538" s="102">
        <v>0.29166666666666669</v>
      </c>
      <c r="F538" s="103">
        <v>0.3125</v>
      </c>
      <c r="G538" s="103">
        <v>0.29166666666666669</v>
      </c>
      <c r="H538" s="103">
        <v>0.33333333333333331</v>
      </c>
      <c r="I538" s="90">
        <f t="shared" si="77"/>
        <v>0.49999999999999956</v>
      </c>
      <c r="J538" s="90">
        <f t="shared" si="71"/>
        <v>0.99999999999999911</v>
      </c>
      <c r="K538" s="91">
        <f t="shared" si="78"/>
        <v>0.66666666666666663</v>
      </c>
      <c r="L538" s="91">
        <f t="shared" si="79"/>
        <v>4.375</v>
      </c>
      <c r="M538" s="29">
        <f t="shared" si="80"/>
        <v>20</v>
      </c>
      <c r="N538" s="92">
        <f t="shared" si="81"/>
        <v>0.49999999999999956</v>
      </c>
      <c r="O538" s="104">
        <f t="shared" si="73"/>
        <v>1.016</v>
      </c>
      <c r="P538" s="105">
        <f t="shared" si="82"/>
        <v>7.111999999999993</v>
      </c>
    </row>
    <row r="539" spans="2:16" x14ac:dyDescent="0.25">
      <c r="B539" s="88" t="str">
        <f t="shared" si="75"/>
        <v>Fazenda Altenor</v>
      </c>
      <c r="C539" s="106">
        <f t="shared" si="83"/>
        <v>2020</v>
      </c>
      <c r="D539" s="101">
        <v>44098</v>
      </c>
      <c r="E539" s="102">
        <v>0.33333333333333331</v>
      </c>
      <c r="F539" s="103">
        <v>0.35416666666666669</v>
      </c>
      <c r="G539" s="103">
        <v>0.33333333333333331</v>
      </c>
      <c r="H539" s="103">
        <v>0.375</v>
      </c>
      <c r="I539" s="90">
        <f t="shared" si="77"/>
        <v>0.50000000000000089</v>
      </c>
      <c r="J539" s="90">
        <f t="shared" si="71"/>
        <v>1.0000000000000004</v>
      </c>
      <c r="K539" s="91">
        <f t="shared" si="78"/>
        <v>0.66666666666666663</v>
      </c>
      <c r="L539" s="91">
        <f t="shared" si="79"/>
        <v>4.375</v>
      </c>
      <c r="M539" s="29">
        <f t="shared" si="80"/>
        <v>20</v>
      </c>
      <c r="N539" s="92">
        <f t="shared" si="81"/>
        <v>0.50000000000000089</v>
      </c>
      <c r="O539" s="104">
        <f t="shared" si="73"/>
        <v>1.016</v>
      </c>
      <c r="P539" s="105">
        <f t="shared" si="82"/>
        <v>7.1120000000000116</v>
      </c>
    </row>
    <row r="540" spans="2:16" x14ac:dyDescent="0.25">
      <c r="B540" s="88" t="str">
        <f t="shared" ref="B540:B603" si="84">$B$5</f>
        <v>Fazenda Altenor</v>
      </c>
      <c r="C540" s="106">
        <f t="shared" si="83"/>
        <v>2020</v>
      </c>
      <c r="D540" s="101">
        <v>44099</v>
      </c>
      <c r="E540" s="102">
        <v>0.3125</v>
      </c>
      <c r="F540" s="103">
        <v>0.33333333333333331</v>
      </c>
      <c r="G540" s="103">
        <v>0.3125</v>
      </c>
      <c r="H540" s="103">
        <v>0.35416666666666669</v>
      </c>
      <c r="I540" s="90">
        <f t="shared" si="77"/>
        <v>0.49999999999999956</v>
      </c>
      <c r="J540" s="90">
        <f t="shared" ref="J540:J603" si="85">((H540-G540)-INT($D$20))*24</f>
        <v>1.0000000000000004</v>
      </c>
      <c r="K540" s="91">
        <f t="shared" si="78"/>
        <v>0.66666666666666663</v>
      </c>
      <c r="L540" s="91">
        <f t="shared" si="79"/>
        <v>4.375</v>
      </c>
      <c r="M540" s="29">
        <f t="shared" si="80"/>
        <v>20</v>
      </c>
      <c r="N540" s="92">
        <f t="shared" si="81"/>
        <v>0.49999999999999956</v>
      </c>
      <c r="O540" s="104">
        <f t="shared" si="73"/>
        <v>1.016</v>
      </c>
      <c r="P540" s="105">
        <f t="shared" si="82"/>
        <v>7.111999999999993</v>
      </c>
    </row>
    <row r="541" spans="2:16" x14ac:dyDescent="0.25">
      <c r="B541" s="88" t="str">
        <f t="shared" si="84"/>
        <v>Fazenda Altenor</v>
      </c>
      <c r="C541" s="106">
        <f t="shared" si="83"/>
        <v>2020</v>
      </c>
      <c r="D541" s="101">
        <v>44100</v>
      </c>
      <c r="E541" s="102">
        <v>0.33333333333333331</v>
      </c>
      <c r="F541" s="103">
        <v>0.35416666666666669</v>
      </c>
      <c r="G541" s="103">
        <v>0.33333333333333331</v>
      </c>
      <c r="H541" s="103">
        <v>0.375</v>
      </c>
      <c r="I541" s="90">
        <f t="shared" ref="I541:I605" si="86">((F541-E541)-INT($D$20))*24</f>
        <v>0.50000000000000089</v>
      </c>
      <c r="J541" s="90">
        <f t="shared" si="85"/>
        <v>1.0000000000000004</v>
      </c>
      <c r="K541" s="91">
        <f t="shared" ref="K541:K605" si="87">VLOOKUP(B541,$B$5:$J$17,5,FALSE)</f>
        <v>0.66666666666666663</v>
      </c>
      <c r="L541" s="91">
        <f t="shared" ref="L541:L605" si="88">VLOOKUP(B541,$B$5:$J$17,6,FALSE)</f>
        <v>4.375</v>
      </c>
      <c r="M541" s="29">
        <f t="shared" ref="M541:M605" si="89">VLOOKUP(B541,$I$5:$J$17,2,FALSE)</f>
        <v>20</v>
      </c>
      <c r="N541" s="92">
        <f t="shared" ref="N541:N605" si="90">I541</f>
        <v>0.50000000000000089</v>
      </c>
      <c r="O541" s="104">
        <f t="shared" si="73"/>
        <v>1.016</v>
      </c>
      <c r="P541" s="105">
        <f t="shared" ref="P541:P605" si="91">M541*N541*O541*0.7</f>
        <v>7.1120000000000116</v>
      </c>
    </row>
    <row r="542" spans="2:16" x14ac:dyDescent="0.25">
      <c r="B542" s="88" t="str">
        <f t="shared" si="84"/>
        <v>Fazenda Altenor</v>
      </c>
      <c r="C542" s="106">
        <f t="shared" si="83"/>
        <v>2020</v>
      </c>
      <c r="D542" s="101">
        <v>44101</v>
      </c>
      <c r="E542" s="102">
        <v>0.375</v>
      </c>
      <c r="F542" s="103">
        <v>0.39583333333333331</v>
      </c>
      <c r="G542" s="103">
        <v>0.375</v>
      </c>
      <c r="H542" s="103">
        <v>0.41666666666666669</v>
      </c>
      <c r="I542" s="90">
        <f t="shared" si="86"/>
        <v>0.49999999999999956</v>
      </c>
      <c r="J542" s="90">
        <f t="shared" si="85"/>
        <v>1.0000000000000004</v>
      </c>
      <c r="K542" s="91">
        <f t="shared" si="87"/>
        <v>0.66666666666666663</v>
      </c>
      <c r="L542" s="91">
        <f t="shared" si="88"/>
        <v>4.375</v>
      </c>
      <c r="M542" s="29">
        <f t="shared" si="89"/>
        <v>20</v>
      </c>
      <c r="N542" s="92">
        <f t="shared" si="90"/>
        <v>0.49999999999999956</v>
      </c>
      <c r="O542" s="104">
        <f t="shared" si="73"/>
        <v>1.016</v>
      </c>
      <c r="P542" s="105">
        <f t="shared" si="91"/>
        <v>7.111999999999993</v>
      </c>
    </row>
    <row r="543" spans="2:16" x14ac:dyDescent="0.25">
      <c r="B543" s="88" t="str">
        <f t="shared" si="84"/>
        <v>Fazenda Altenor</v>
      </c>
      <c r="C543" s="106">
        <f t="shared" si="83"/>
        <v>2020</v>
      </c>
      <c r="D543" s="101">
        <v>44102</v>
      </c>
      <c r="E543" s="102">
        <v>0.41666666666666669</v>
      </c>
      <c r="F543" s="103">
        <v>0.4375</v>
      </c>
      <c r="G543" s="103">
        <v>0.41666666666666669</v>
      </c>
      <c r="H543" s="103">
        <v>0.45833333333333331</v>
      </c>
      <c r="I543" s="90">
        <f t="shared" si="86"/>
        <v>0.49999999999999956</v>
      </c>
      <c r="J543" s="90">
        <f t="shared" si="85"/>
        <v>0.99999999999999911</v>
      </c>
      <c r="K543" s="91">
        <f t="shared" si="87"/>
        <v>0.66666666666666663</v>
      </c>
      <c r="L543" s="91">
        <f t="shared" si="88"/>
        <v>4.375</v>
      </c>
      <c r="M543" s="29">
        <f t="shared" si="89"/>
        <v>20</v>
      </c>
      <c r="N543" s="92">
        <f t="shared" si="90"/>
        <v>0.49999999999999956</v>
      </c>
      <c r="O543" s="104">
        <f t="shared" si="73"/>
        <v>1.016</v>
      </c>
      <c r="P543" s="105">
        <f t="shared" si="91"/>
        <v>7.111999999999993</v>
      </c>
    </row>
    <row r="544" spans="2:16" x14ac:dyDescent="0.25">
      <c r="B544" s="88" t="str">
        <f t="shared" si="84"/>
        <v>Fazenda Altenor</v>
      </c>
      <c r="C544" s="106">
        <f t="shared" si="83"/>
        <v>2020</v>
      </c>
      <c r="D544" s="101">
        <v>44103</v>
      </c>
      <c r="E544" s="102">
        <v>0.4375</v>
      </c>
      <c r="F544" s="103">
        <v>0.45833333333333331</v>
      </c>
      <c r="G544" s="103">
        <v>0.4375</v>
      </c>
      <c r="H544" s="103">
        <v>0.47916666666666669</v>
      </c>
      <c r="I544" s="90">
        <f t="shared" si="86"/>
        <v>0.49999999999999956</v>
      </c>
      <c r="J544" s="90">
        <f t="shared" si="85"/>
        <v>1.0000000000000004</v>
      </c>
      <c r="K544" s="91">
        <f t="shared" si="87"/>
        <v>0.66666666666666663</v>
      </c>
      <c r="L544" s="91">
        <f t="shared" si="88"/>
        <v>4.375</v>
      </c>
      <c r="M544" s="29">
        <f t="shared" si="89"/>
        <v>20</v>
      </c>
      <c r="N544" s="92">
        <f t="shared" si="90"/>
        <v>0.49999999999999956</v>
      </c>
      <c r="O544" s="104">
        <f t="shared" si="73"/>
        <v>1.016</v>
      </c>
      <c r="P544" s="105">
        <f t="shared" si="91"/>
        <v>7.111999999999993</v>
      </c>
    </row>
    <row r="545" spans="2:16" x14ac:dyDescent="0.25">
      <c r="B545" s="88" t="str">
        <f t="shared" si="84"/>
        <v>Fazenda Altenor</v>
      </c>
      <c r="C545" s="106">
        <f t="shared" si="83"/>
        <v>2020</v>
      </c>
      <c r="D545" s="101">
        <v>44104</v>
      </c>
      <c r="E545" s="102">
        <v>0.45833333333333331</v>
      </c>
      <c r="F545" s="103">
        <v>0.47916666666666669</v>
      </c>
      <c r="G545" s="103">
        <v>0.45833333333333331</v>
      </c>
      <c r="H545" s="103">
        <v>0.5</v>
      </c>
      <c r="I545" s="90">
        <f t="shared" si="86"/>
        <v>0.50000000000000089</v>
      </c>
      <c r="J545" s="90">
        <f t="shared" si="85"/>
        <v>1.0000000000000004</v>
      </c>
      <c r="K545" s="91"/>
      <c r="L545" s="91"/>
      <c r="M545" s="29"/>
      <c r="N545" s="92">
        <f t="shared" si="90"/>
        <v>0.50000000000000089</v>
      </c>
      <c r="O545" s="104"/>
      <c r="P545" s="105"/>
    </row>
    <row r="546" spans="2:16" x14ac:dyDescent="0.25">
      <c r="B546" s="88" t="str">
        <f t="shared" si="84"/>
        <v>Fazenda Altenor</v>
      </c>
      <c r="C546" s="106">
        <f t="shared" si="83"/>
        <v>2020</v>
      </c>
      <c r="D546" s="101">
        <v>44135</v>
      </c>
      <c r="E546" s="102">
        <v>0.29166666666666669</v>
      </c>
      <c r="F546" s="103">
        <v>0.3125</v>
      </c>
      <c r="G546" s="103">
        <v>0.29166666666666669</v>
      </c>
      <c r="H546" s="103">
        <v>0.33333333333333331</v>
      </c>
      <c r="I546" s="90">
        <f t="shared" si="86"/>
        <v>0.49999999999999956</v>
      </c>
      <c r="J546" s="90">
        <f t="shared" si="85"/>
        <v>0.99999999999999911</v>
      </c>
      <c r="K546" s="91">
        <f t="shared" si="87"/>
        <v>0.66666666666666663</v>
      </c>
      <c r="L546" s="91">
        <f t="shared" si="88"/>
        <v>4.375</v>
      </c>
      <c r="M546" s="29">
        <f t="shared" si="89"/>
        <v>20</v>
      </c>
      <c r="N546" s="92">
        <f t="shared" si="90"/>
        <v>0.49999999999999956</v>
      </c>
      <c r="O546" s="104">
        <f t="shared" si="73"/>
        <v>1.016</v>
      </c>
      <c r="P546" s="105">
        <f t="shared" si="91"/>
        <v>7.111999999999993</v>
      </c>
    </row>
    <row r="547" spans="2:16" x14ac:dyDescent="0.25">
      <c r="B547" s="88" t="str">
        <f t="shared" si="84"/>
        <v>Fazenda Altenor</v>
      </c>
      <c r="C547" s="106">
        <f t="shared" si="83"/>
        <v>2020</v>
      </c>
      <c r="D547" s="101">
        <v>44105</v>
      </c>
      <c r="E547" s="102">
        <v>0.33333333333333331</v>
      </c>
      <c r="F547" s="103">
        <v>0.35416666666666669</v>
      </c>
      <c r="G547" s="103">
        <v>0.33333333333333331</v>
      </c>
      <c r="H547" s="103">
        <v>0.375</v>
      </c>
      <c r="I547" s="90">
        <f t="shared" si="86"/>
        <v>0.50000000000000089</v>
      </c>
      <c r="J547" s="90">
        <f t="shared" si="85"/>
        <v>1.0000000000000004</v>
      </c>
      <c r="K547" s="91">
        <f t="shared" si="87"/>
        <v>0.66666666666666663</v>
      </c>
      <c r="L547" s="91">
        <f t="shared" si="88"/>
        <v>4.375</v>
      </c>
      <c r="M547" s="29">
        <f t="shared" si="89"/>
        <v>20</v>
      </c>
      <c r="N547" s="92">
        <f t="shared" si="90"/>
        <v>0.50000000000000089</v>
      </c>
      <c r="O547" s="104">
        <f t="shared" si="73"/>
        <v>1.016</v>
      </c>
      <c r="P547" s="105">
        <f t="shared" si="91"/>
        <v>7.1120000000000116</v>
      </c>
    </row>
    <row r="548" spans="2:16" x14ac:dyDescent="0.25">
      <c r="B548" s="88" t="str">
        <f t="shared" si="84"/>
        <v>Fazenda Altenor</v>
      </c>
      <c r="C548" s="106">
        <f t="shared" si="83"/>
        <v>2020</v>
      </c>
      <c r="D548" s="101">
        <v>44106</v>
      </c>
      <c r="E548" s="102">
        <v>0.35416666666666669</v>
      </c>
      <c r="F548" s="103">
        <v>0.375</v>
      </c>
      <c r="G548" s="103">
        <v>0.35416666666666669</v>
      </c>
      <c r="H548" s="103">
        <v>0.39583333333333331</v>
      </c>
      <c r="I548" s="90">
        <f t="shared" si="86"/>
        <v>0.49999999999999956</v>
      </c>
      <c r="J548" s="90">
        <f t="shared" si="85"/>
        <v>0.99999999999999911</v>
      </c>
      <c r="K548" s="91">
        <f t="shared" si="87"/>
        <v>0.66666666666666663</v>
      </c>
      <c r="L548" s="91">
        <f t="shared" si="88"/>
        <v>4.375</v>
      </c>
      <c r="M548" s="29">
        <f t="shared" si="89"/>
        <v>20</v>
      </c>
      <c r="N548" s="92">
        <f t="shared" si="90"/>
        <v>0.49999999999999956</v>
      </c>
      <c r="O548" s="104">
        <f t="shared" si="73"/>
        <v>1.016</v>
      </c>
      <c r="P548" s="105">
        <f t="shared" si="91"/>
        <v>7.111999999999993</v>
      </c>
    </row>
    <row r="549" spans="2:16" x14ac:dyDescent="0.25">
      <c r="B549" s="88" t="str">
        <f t="shared" si="84"/>
        <v>Fazenda Altenor</v>
      </c>
      <c r="C549" s="106">
        <f t="shared" si="83"/>
        <v>2020</v>
      </c>
      <c r="D549" s="101">
        <v>44107</v>
      </c>
      <c r="E549" s="102">
        <v>0.3125</v>
      </c>
      <c r="F549" s="103">
        <v>0.33333333333333331</v>
      </c>
      <c r="G549" s="103">
        <v>0.3125</v>
      </c>
      <c r="H549" s="103">
        <v>0.35416666666666669</v>
      </c>
      <c r="I549" s="90">
        <f t="shared" si="86"/>
        <v>0.49999999999999956</v>
      </c>
      <c r="J549" s="90">
        <f t="shared" si="85"/>
        <v>1.0000000000000004</v>
      </c>
      <c r="K549" s="91">
        <f t="shared" si="87"/>
        <v>0.66666666666666663</v>
      </c>
      <c r="L549" s="91">
        <f t="shared" si="88"/>
        <v>4.375</v>
      </c>
      <c r="M549" s="29">
        <f t="shared" si="89"/>
        <v>20</v>
      </c>
      <c r="N549" s="92">
        <f t="shared" si="90"/>
        <v>0.49999999999999956</v>
      </c>
      <c r="O549" s="104">
        <f t="shared" si="73"/>
        <v>1.016</v>
      </c>
      <c r="P549" s="105">
        <f t="shared" si="91"/>
        <v>7.111999999999993</v>
      </c>
    </row>
    <row r="550" spans="2:16" x14ac:dyDescent="0.25">
      <c r="B550" s="88" t="str">
        <f t="shared" si="84"/>
        <v>Fazenda Altenor</v>
      </c>
      <c r="C550" s="106">
        <f t="shared" si="83"/>
        <v>2020</v>
      </c>
      <c r="D550" s="101">
        <v>44108</v>
      </c>
      <c r="E550" s="102">
        <v>0.3125</v>
      </c>
      <c r="F550" s="103">
        <v>0.33333333333333331</v>
      </c>
      <c r="G550" s="103">
        <v>0.3125</v>
      </c>
      <c r="H550" s="103">
        <v>0.36458333333333331</v>
      </c>
      <c r="I550" s="90">
        <f t="shared" si="86"/>
        <v>0.49999999999999956</v>
      </c>
      <c r="J550" s="90">
        <f t="shared" si="85"/>
        <v>1.2499999999999996</v>
      </c>
      <c r="K550" s="91">
        <f t="shared" si="87"/>
        <v>0.66666666666666663</v>
      </c>
      <c r="L550" s="91">
        <f t="shared" si="88"/>
        <v>4.375</v>
      </c>
      <c r="M550" s="29">
        <f t="shared" si="89"/>
        <v>20</v>
      </c>
      <c r="N550" s="92">
        <f t="shared" si="90"/>
        <v>0.49999999999999956</v>
      </c>
      <c r="O550" s="104">
        <f t="shared" si="73"/>
        <v>1.016</v>
      </c>
      <c r="P550" s="105">
        <f t="shared" si="91"/>
        <v>7.111999999999993</v>
      </c>
    </row>
    <row r="551" spans="2:16" x14ac:dyDescent="0.25">
      <c r="B551" s="88" t="str">
        <f t="shared" si="84"/>
        <v>Fazenda Altenor</v>
      </c>
      <c r="C551" s="106">
        <f t="shared" si="83"/>
        <v>2020</v>
      </c>
      <c r="D551" s="101">
        <v>44109</v>
      </c>
      <c r="E551" s="102">
        <v>0.375</v>
      </c>
      <c r="F551" s="103">
        <v>0.39583333333333331</v>
      </c>
      <c r="G551" s="103">
        <v>0.375</v>
      </c>
      <c r="H551" s="103">
        <v>0.41666666666666669</v>
      </c>
      <c r="I551" s="90">
        <f t="shared" si="86"/>
        <v>0.49999999999999956</v>
      </c>
      <c r="J551" s="90">
        <f t="shared" si="85"/>
        <v>1.0000000000000004</v>
      </c>
      <c r="K551" s="91">
        <f t="shared" si="87"/>
        <v>0.66666666666666663</v>
      </c>
      <c r="L551" s="91">
        <f t="shared" si="88"/>
        <v>4.375</v>
      </c>
      <c r="M551" s="29">
        <f t="shared" si="89"/>
        <v>20</v>
      </c>
      <c r="N551" s="92">
        <f t="shared" si="90"/>
        <v>0.49999999999999956</v>
      </c>
      <c r="O551" s="104">
        <f t="shared" si="73"/>
        <v>1.016</v>
      </c>
      <c r="P551" s="105">
        <f t="shared" si="91"/>
        <v>7.111999999999993</v>
      </c>
    </row>
    <row r="552" spans="2:16" x14ac:dyDescent="0.25">
      <c r="B552" s="88" t="str">
        <f t="shared" si="84"/>
        <v>Fazenda Altenor</v>
      </c>
      <c r="C552" s="106">
        <f t="shared" si="83"/>
        <v>2020</v>
      </c>
      <c r="D552" s="101">
        <v>44110</v>
      </c>
      <c r="E552" s="102">
        <v>0.29166666666666669</v>
      </c>
      <c r="F552" s="103">
        <v>0.32291666666666669</v>
      </c>
      <c r="G552" s="103">
        <v>0.29166666666666669</v>
      </c>
      <c r="H552" s="103">
        <v>0.35416666666666669</v>
      </c>
      <c r="I552" s="90">
        <f t="shared" si="86"/>
        <v>0.75</v>
      </c>
      <c r="J552" s="90">
        <f t="shared" si="85"/>
        <v>1.5</v>
      </c>
      <c r="K552" s="91">
        <f t="shared" si="87"/>
        <v>0.66666666666666663</v>
      </c>
      <c r="L552" s="91">
        <f t="shared" si="88"/>
        <v>4.375</v>
      </c>
      <c r="M552" s="29">
        <f t="shared" si="89"/>
        <v>20</v>
      </c>
      <c r="N552" s="92">
        <f t="shared" si="90"/>
        <v>0.75</v>
      </c>
      <c r="O552" s="104">
        <f t="shared" si="73"/>
        <v>1.016</v>
      </c>
      <c r="P552" s="105">
        <f t="shared" si="91"/>
        <v>10.667999999999999</v>
      </c>
    </row>
    <row r="553" spans="2:16" x14ac:dyDescent="0.25">
      <c r="B553" s="88" t="str">
        <f t="shared" si="84"/>
        <v>Fazenda Altenor</v>
      </c>
      <c r="C553" s="106">
        <f t="shared" si="83"/>
        <v>2020</v>
      </c>
      <c r="D553" s="101">
        <v>44111</v>
      </c>
      <c r="E553" s="102">
        <v>0.33333333333333331</v>
      </c>
      <c r="F553" s="103">
        <v>0.35416666666666669</v>
      </c>
      <c r="G553" s="103">
        <v>0.33333333333333331</v>
      </c>
      <c r="H553" s="103">
        <v>0.375</v>
      </c>
      <c r="I553" s="90">
        <f t="shared" si="86"/>
        <v>0.50000000000000089</v>
      </c>
      <c r="J553" s="90">
        <f t="shared" si="85"/>
        <v>1.0000000000000004</v>
      </c>
      <c r="K553" s="91">
        <f t="shared" si="87"/>
        <v>0.66666666666666663</v>
      </c>
      <c r="L553" s="91">
        <f t="shared" si="88"/>
        <v>4.375</v>
      </c>
      <c r="M553" s="29">
        <f t="shared" si="89"/>
        <v>20</v>
      </c>
      <c r="N553" s="92">
        <f t="shared" si="90"/>
        <v>0.50000000000000089</v>
      </c>
      <c r="O553" s="104">
        <f t="shared" si="73"/>
        <v>1.016</v>
      </c>
      <c r="P553" s="105">
        <f t="shared" si="91"/>
        <v>7.1120000000000116</v>
      </c>
    </row>
    <row r="554" spans="2:16" x14ac:dyDescent="0.25">
      <c r="B554" s="88" t="str">
        <f t="shared" si="84"/>
        <v>Fazenda Altenor</v>
      </c>
      <c r="C554" s="106">
        <f t="shared" si="83"/>
        <v>2020</v>
      </c>
      <c r="D554" s="101">
        <v>44112</v>
      </c>
      <c r="E554" s="102">
        <v>0.45833333333333331</v>
      </c>
      <c r="F554" s="103">
        <v>0.47916666666666669</v>
      </c>
      <c r="G554" s="103">
        <v>0.45833333333333331</v>
      </c>
      <c r="H554" s="103">
        <v>0.5</v>
      </c>
      <c r="I554" s="90">
        <f t="shared" si="86"/>
        <v>0.50000000000000089</v>
      </c>
      <c r="J554" s="90">
        <f t="shared" si="85"/>
        <v>1.0000000000000004</v>
      </c>
      <c r="K554" s="91">
        <f t="shared" si="87"/>
        <v>0.66666666666666663</v>
      </c>
      <c r="L554" s="91">
        <f t="shared" si="88"/>
        <v>4.375</v>
      </c>
      <c r="M554" s="29">
        <f t="shared" si="89"/>
        <v>20</v>
      </c>
      <c r="N554" s="92">
        <f t="shared" si="90"/>
        <v>0.50000000000000089</v>
      </c>
      <c r="O554" s="104">
        <f t="shared" si="73"/>
        <v>1.016</v>
      </c>
      <c r="P554" s="105">
        <f t="shared" si="91"/>
        <v>7.1120000000000116</v>
      </c>
    </row>
    <row r="555" spans="2:16" x14ac:dyDescent="0.25">
      <c r="B555" s="88" t="str">
        <f t="shared" si="84"/>
        <v>Fazenda Altenor</v>
      </c>
      <c r="C555" s="106">
        <f t="shared" si="83"/>
        <v>2020</v>
      </c>
      <c r="D555" s="101">
        <v>44113</v>
      </c>
      <c r="E555" s="102">
        <v>0.29166666666666669</v>
      </c>
      <c r="F555" s="103">
        <v>0.3125</v>
      </c>
      <c r="G555" s="103">
        <v>0.29166666666666669</v>
      </c>
      <c r="H555" s="103">
        <v>0.33333333333333331</v>
      </c>
      <c r="I555" s="90">
        <f t="shared" si="86"/>
        <v>0.49999999999999956</v>
      </c>
      <c r="J555" s="90">
        <f t="shared" si="85"/>
        <v>0.99999999999999911</v>
      </c>
      <c r="K555" s="91">
        <f t="shared" si="87"/>
        <v>0.66666666666666663</v>
      </c>
      <c r="L555" s="91">
        <f t="shared" si="88"/>
        <v>4.375</v>
      </c>
      <c r="M555" s="29">
        <f t="shared" si="89"/>
        <v>20</v>
      </c>
      <c r="N555" s="92">
        <f t="shared" si="90"/>
        <v>0.49999999999999956</v>
      </c>
      <c r="O555" s="104">
        <f t="shared" si="73"/>
        <v>1.016</v>
      </c>
      <c r="P555" s="105">
        <f t="shared" si="91"/>
        <v>7.111999999999993</v>
      </c>
    </row>
    <row r="556" spans="2:16" x14ac:dyDescent="0.25">
      <c r="B556" s="88" t="str">
        <f t="shared" si="84"/>
        <v>Fazenda Altenor</v>
      </c>
      <c r="C556" s="106">
        <f t="shared" si="83"/>
        <v>2020</v>
      </c>
      <c r="D556" s="101">
        <v>44114</v>
      </c>
      <c r="E556" s="102">
        <v>0.33333333333333331</v>
      </c>
      <c r="F556" s="103">
        <v>0.35416666666666669</v>
      </c>
      <c r="G556" s="103">
        <v>0.33333333333333331</v>
      </c>
      <c r="H556" s="103">
        <v>0.375</v>
      </c>
      <c r="I556" s="90">
        <f t="shared" si="86"/>
        <v>0.50000000000000089</v>
      </c>
      <c r="J556" s="90">
        <f t="shared" si="85"/>
        <v>1.0000000000000004</v>
      </c>
      <c r="K556" s="91">
        <f t="shared" si="87"/>
        <v>0.66666666666666663</v>
      </c>
      <c r="L556" s="91">
        <f t="shared" si="88"/>
        <v>4.375</v>
      </c>
      <c r="M556" s="29">
        <f t="shared" si="89"/>
        <v>20</v>
      </c>
      <c r="N556" s="92">
        <f t="shared" si="90"/>
        <v>0.50000000000000089</v>
      </c>
      <c r="O556" s="104">
        <f t="shared" si="73"/>
        <v>1.016</v>
      </c>
      <c r="P556" s="105">
        <f t="shared" si="91"/>
        <v>7.1120000000000116</v>
      </c>
    </row>
    <row r="557" spans="2:16" x14ac:dyDescent="0.25">
      <c r="B557" s="88" t="str">
        <f t="shared" si="84"/>
        <v>Fazenda Altenor</v>
      </c>
      <c r="C557" s="106">
        <f t="shared" si="83"/>
        <v>2020</v>
      </c>
      <c r="D557" s="101">
        <v>44115</v>
      </c>
      <c r="E557" s="102">
        <v>0.375</v>
      </c>
      <c r="F557" s="103">
        <v>0.39583333333333331</v>
      </c>
      <c r="G557" s="103">
        <v>0.375</v>
      </c>
      <c r="H557" s="103">
        <v>0.41666666666666669</v>
      </c>
      <c r="I557" s="90">
        <f t="shared" si="86"/>
        <v>0.49999999999999956</v>
      </c>
      <c r="J557" s="90">
        <f t="shared" si="85"/>
        <v>1.0000000000000004</v>
      </c>
      <c r="K557" s="91">
        <f t="shared" si="87"/>
        <v>0.66666666666666663</v>
      </c>
      <c r="L557" s="91">
        <f t="shared" si="88"/>
        <v>4.375</v>
      </c>
      <c r="M557" s="29">
        <f t="shared" si="89"/>
        <v>20</v>
      </c>
      <c r="N557" s="92">
        <f t="shared" si="90"/>
        <v>0.49999999999999956</v>
      </c>
      <c r="O557" s="104">
        <f t="shared" si="73"/>
        <v>1.016</v>
      </c>
      <c r="P557" s="105">
        <f t="shared" si="91"/>
        <v>7.111999999999993</v>
      </c>
    </row>
    <row r="558" spans="2:16" x14ac:dyDescent="0.25">
      <c r="B558" s="88" t="str">
        <f t="shared" si="84"/>
        <v>Fazenda Altenor</v>
      </c>
      <c r="C558" s="106">
        <f t="shared" si="83"/>
        <v>2020</v>
      </c>
      <c r="D558" s="101">
        <v>44116</v>
      </c>
      <c r="E558" s="102">
        <v>0.39583333333333331</v>
      </c>
      <c r="F558" s="103">
        <v>0.41666666666666669</v>
      </c>
      <c r="G558" s="103">
        <v>0.39583333333333331</v>
      </c>
      <c r="H558" s="103">
        <v>0.4375</v>
      </c>
      <c r="I558" s="90">
        <f t="shared" si="86"/>
        <v>0.50000000000000089</v>
      </c>
      <c r="J558" s="90">
        <f t="shared" si="85"/>
        <v>1.0000000000000004</v>
      </c>
      <c r="K558" s="91">
        <f t="shared" si="87"/>
        <v>0.66666666666666663</v>
      </c>
      <c r="L558" s="91">
        <f t="shared" si="88"/>
        <v>4.375</v>
      </c>
      <c r="M558" s="29">
        <f t="shared" si="89"/>
        <v>20</v>
      </c>
      <c r="N558" s="92">
        <f t="shared" si="90"/>
        <v>0.50000000000000089</v>
      </c>
      <c r="O558" s="104">
        <f t="shared" si="73"/>
        <v>1.016</v>
      </c>
      <c r="P558" s="105">
        <f t="shared" si="91"/>
        <v>7.1120000000000116</v>
      </c>
    </row>
    <row r="559" spans="2:16" x14ac:dyDescent="0.25">
      <c r="B559" s="88" t="str">
        <f t="shared" si="84"/>
        <v>Fazenda Altenor</v>
      </c>
      <c r="C559" s="106">
        <f t="shared" si="83"/>
        <v>2020</v>
      </c>
      <c r="D559" s="101">
        <v>44117</v>
      </c>
      <c r="E559" s="102">
        <v>0.44791666666666669</v>
      </c>
      <c r="F559" s="103">
        <v>0.46875</v>
      </c>
      <c r="G559" s="103">
        <v>0.44791666666666669</v>
      </c>
      <c r="H559" s="103">
        <v>0.48958333333333331</v>
      </c>
      <c r="I559" s="90">
        <f t="shared" si="86"/>
        <v>0.49999999999999956</v>
      </c>
      <c r="J559" s="90">
        <f t="shared" si="85"/>
        <v>0.99999999999999911</v>
      </c>
      <c r="K559" s="91">
        <f t="shared" si="87"/>
        <v>0.66666666666666663</v>
      </c>
      <c r="L559" s="91">
        <f t="shared" si="88"/>
        <v>4.375</v>
      </c>
      <c r="M559" s="29">
        <f t="shared" si="89"/>
        <v>20</v>
      </c>
      <c r="N559" s="92">
        <f t="shared" si="90"/>
        <v>0.49999999999999956</v>
      </c>
      <c r="O559" s="104">
        <f t="shared" si="73"/>
        <v>1.016</v>
      </c>
      <c r="P559" s="105">
        <f t="shared" si="91"/>
        <v>7.111999999999993</v>
      </c>
    </row>
    <row r="560" spans="2:16" x14ac:dyDescent="0.25">
      <c r="B560" s="88" t="str">
        <f t="shared" si="84"/>
        <v>Fazenda Altenor</v>
      </c>
      <c r="C560" s="106">
        <f t="shared" si="83"/>
        <v>2020</v>
      </c>
      <c r="D560" s="101">
        <v>44118</v>
      </c>
      <c r="E560" s="102">
        <v>0.29166666666666669</v>
      </c>
      <c r="F560" s="103">
        <v>0.3125</v>
      </c>
      <c r="G560" s="103">
        <v>0.29166666666666669</v>
      </c>
      <c r="H560" s="103">
        <v>0.33333333333333331</v>
      </c>
      <c r="I560" s="90">
        <f t="shared" si="86"/>
        <v>0.49999999999999956</v>
      </c>
      <c r="J560" s="90">
        <f t="shared" si="85"/>
        <v>0.99999999999999911</v>
      </c>
      <c r="K560" s="91">
        <f t="shared" si="87"/>
        <v>0.66666666666666663</v>
      </c>
      <c r="L560" s="91">
        <f t="shared" si="88"/>
        <v>4.375</v>
      </c>
      <c r="M560" s="29">
        <f t="shared" si="89"/>
        <v>20</v>
      </c>
      <c r="N560" s="92">
        <f t="shared" si="90"/>
        <v>0.49999999999999956</v>
      </c>
      <c r="O560" s="104">
        <f t="shared" si="73"/>
        <v>1.016</v>
      </c>
      <c r="P560" s="105">
        <f t="shared" si="91"/>
        <v>7.111999999999993</v>
      </c>
    </row>
    <row r="561" spans="2:16" x14ac:dyDescent="0.25">
      <c r="B561" s="88" t="str">
        <f t="shared" si="84"/>
        <v>Fazenda Altenor</v>
      </c>
      <c r="C561" s="106">
        <f t="shared" si="83"/>
        <v>2020</v>
      </c>
      <c r="D561" s="101">
        <v>44119</v>
      </c>
      <c r="E561" s="102"/>
      <c r="F561" s="103"/>
      <c r="G561" s="103"/>
      <c r="H561" s="103"/>
      <c r="I561" s="90">
        <f t="shared" si="86"/>
        <v>0</v>
      </c>
      <c r="J561" s="90">
        <f t="shared" si="85"/>
        <v>0</v>
      </c>
      <c r="K561" s="91">
        <f t="shared" si="87"/>
        <v>0.66666666666666663</v>
      </c>
      <c r="L561" s="91">
        <f t="shared" si="88"/>
        <v>4.375</v>
      </c>
      <c r="M561" s="29">
        <f t="shared" si="89"/>
        <v>20</v>
      </c>
      <c r="N561" s="92">
        <f t="shared" si="90"/>
        <v>0</v>
      </c>
      <c r="O561" s="104">
        <f t="shared" si="73"/>
        <v>1.016</v>
      </c>
      <c r="P561" s="105">
        <f t="shared" si="91"/>
        <v>0</v>
      </c>
    </row>
    <row r="562" spans="2:16" x14ac:dyDescent="0.25">
      <c r="B562" s="88" t="str">
        <f t="shared" si="84"/>
        <v>Fazenda Altenor</v>
      </c>
      <c r="C562" s="106">
        <f t="shared" si="83"/>
        <v>2020</v>
      </c>
      <c r="D562" s="101">
        <v>44120</v>
      </c>
      <c r="E562" s="102">
        <v>0.33333333333333331</v>
      </c>
      <c r="F562" s="103">
        <v>0.35416666666666669</v>
      </c>
      <c r="G562" s="103">
        <v>0.33333333333333331</v>
      </c>
      <c r="H562" s="103">
        <v>0.375</v>
      </c>
      <c r="I562" s="90">
        <f t="shared" si="86"/>
        <v>0.50000000000000089</v>
      </c>
      <c r="J562" s="90">
        <f t="shared" si="85"/>
        <v>1.0000000000000004</v>
      </c>
      <c r="K562" s="91">
        <f t="shared" si="87"/>
        <v>0.66666666666666663</v>
      </c>
      <c r="L562" s="91">
        <f t="shared" si="88"/>
        <v>4.375</v>
      </c>
      <c r="M562" s="29">
        <f t="shared" si="89"/>
        <v>20</v>
      </c>
      <c r="N562" s="92">
        <f t="shared" si="90"/>
        <v>0.50000000000000089</v>
      </c>
      <c r="O562" s="104">
        <f t="shared" si="73"/>
        <v>1.016</v>
      </c>
      <c r="P562" s="105">
        <f t="shared" si="91"/>
        <v>7.1120000000000116</v>
      </c>
    </row>
    <row r="563" spans="2:16" x14ac:dyDescent="0.25">
      <c r="B563" s="88" t="str">
        <f t="shared" si="84"/>
        <v>Fazenda Altenor</v>
      </c>
      <c r="C563" s="106">
        <f t="shared" si="83"/>
        <v>2020</v>
      </c>
      <c r="D563" s="101">
        <v>44121</v>
      </c>
      <c r="E563" s="102">
        <v>0.3125</v>
      </c>
      <c r="F563" s="103">
        <v>0.33333333333333331</v>
      </c>
      <c r="G563" s="103">
        <v>0.3125</v>
      </c>
      <c r="H563" s="103">
        <v>0.35416666666666669</v>
      </c>
      <c r="I563" s="90">
        <f t="shared" si="86"/>
        <v>0.49999999999999956</v>
      </c>
      <c r="J563" s="90">
        <f t="shared" si="85"/>
        <v>1.0000000000000004</v>
      </c>
      <c r="K563" s="91">
        <f t="shared" si="87"/>
        <v>0.66666666666666663</v>
      </c>
      <c r="L563" s="91">
        <f t="shared" si="88"/>
        <v>4.375</v>
      </c>
      <c r="M563" s="29">
        <f t="shared" si="89"/>
        <v>20</v>
      </c>
      <c r="N563" s="92">
        <f t="shared" si="90"/>
        <v>0.49999999999999956</v>
      </c>
      <c r="O563" s="104">
        <f t="shared" si="73"/>
        <v>1.016</v>
      </c>
      <c r="P563" s="105">
        <f t="shared" si="91"/>
        <v>7.111999999999993</v>
      </c>
    </row>
    <row r="564" spans="2:16" x14ac:dyDescent="0.25">
      <c r="B564" s="88" t="str">
        <f t="shared" si="84"/>
        <v>Fazenda Altenor</v>
      </c>
      <c r="C564" s="106">
        <f t="shared" si="83"/>
        <v>2020</v>
      </c>
      <c r="D564" s="101">
        <v>44122</v>
      </c>
      <c r="E564" s="102">
        <v>0.3125</v>
      </c>
      <c r="F564" s="103">
        <v>0.33333333333333331</v>
      </c>
      <c r="G564" s="103">
        <v>0.3125</v>
      </c>
      <c r="H564" s="103">
        <v>0.35416666666666669</v>
      </c>
      <c r="I564" s="90">
        <f t="shared" si="86"/>
        <v>0.49999999999999956</v>
      </c>
      <c r="J564" s="90">
        <f t="shared" si="85"/>
        <v>1.0000000000000004</v>
      </c>
      <c r="K564" s="91">
        <f t="shared" si="87"/>
        <v>0.66666666666666663</v>
      </c>
      <c r="L564" s="91">
        <f t="shared" si="88"/>
        <v>4.375</v>
      </c>
      <c r="M564" s="29">
        <f t="shared" si="89"/>
        <v>20</v>
      </c>
      <c r="N564" s="92">
        <f t="shared" si="90"/>
        <v>0.49999999999999956</v>
      </c>
      <c r="O564" s="104">
        <f t="shared" si="73"/>
        <v>1.016</v>
      </c>
      <c r="P564" s="105">
        <f t="shared" si="91"/>
        <v>7.111999999999993</v>
      </c>
    </row>
    <row r="565" spans="2:16" x14ac:dyDescent="0.25">
      <c r="B565" s="88" t="str">
        <f t="shared" si="84"/>
        <v>Fazenda Altenor</v>
      </c>
      <c r="C565" s="106">
        <f t="shared" si="83"/>
        <v>2020</v>
      </c>
      <c r="D565" s="101">
        <v>44123</v>
      </c>
      <c r="E565" s="102">
        <v>0.33333333333333331</v>
      </c>
      <c r="F565" s="103">
        <v>0.35416666666666669</v>
      </c>
      <c r="G565" s="103">
        <v>0.33333333333333331</v>
      </c>
      <c r="H565" s="103">
        <v>0.375</v>
      </c>
      <c r="I565" s="90">
        <f t="shared" si="86"/>
        <v>0.50000000000000089</v>
      </c>
      <c r="J565" s="90">
        <f t="shared" si="85"/>
        <v>1.0000000000000004</v>
      </c>
      <c r="K565" s="91">
        <f t="shared" si="87"/>
        <v>0.66666666666666663</v>
      </c>
      <c r="L565" s="91">
        <f t="shared" si="88"/>
        <v>4.375</v>
      </c>
      <c r="M565" s="29">
        <f t="shared" si="89"/>
        <v>20</v>
      </c>
      <c r="N565" s="92">
        <f t="shared" si="90"/>
        <v>0.50000000000000089</v>
      </c>
      <c r="O565" s="104">
        <f t="shared" si="73"/>
        <v>1.016</v>
      </c>
      <c r="P565" s="105">
        <f t="shared" si="91"/>
        <v>7.1120000000000116</v>
      </c>
    </row>
    <row r="566" spans="2:16" x14ac:dyDescent="0.25">
      <c r="B566" s="88" t="str">
        <f t="shared" si="84"/>
        <v>Fazenda Altenor</v>
      </c>
      <c r="C566" s="106">
        <f t="shared" si="83"/>
        <v>2020</v>
      </c>
      <c r="D566" s="101">
        <v>44124</v>
      </c>
      <c r="E566" s="102">
        <v>0.375</v>
      </c>
      <c r="F566" s="103">
        <v>0.39583333333333331</v>
      </c>
      <c r="G566" s="103">
        <v>0.375</v>
      </c>
      <c r="H566" s="103">
        <v>0.41666666666666669</v>
      </c>
      <c r="I566" s="90">
        <f t="shared" si="86"/>
        <v>0.49999999999999956</v>
      </c>
      <c r="J566" s="90">
        <f t="shared" si="85"/>
        <v>1.0000000000000004</v>
      </c>
      <c r="K566" s="91">
        <f t="shared" si="87"/>
        <v>0.66666666666666663</v>
      </c>
      <c r="L566" s="91">
        <f t="shared" si="88"/>
        <v>4.375</v>
      </c>
      <c r="M566" s="29">
        <f t="shared" si="89"/>
        <v>20</v>
      </c>
      <c r="N566" s="92">
        <f t="shared" si="90"/>
        <v>0.49999999999999956</v>
      </c>
      <c r="O566" s="104">
        <f t="shared" si="73"/>
        <v>1.016</v>
      </c>
      <c r="P566" s="105">
        <f t="shared" si="91"/>
        <v>7.111999999999993</v>
      </c>
    </row>
    <row r="567" spans="2:16" x14ac:dyDescent="0.25">
      <c r="B567" s="88" t="str">
        <f t="shared" si="84"/>
        <v>Fazenda Altenor</v>
      </c>
      <c r="C567" s="106">
        <f t="shared" ref="C567:C630" si="92">YEAR(D567)</f>
        <v>2020</v>
      </c>
      <c r="D567" s="101">
        <v>44125</v>
      </c>
      <c r="E567" s="102">
        <v>0.45833333333333331</v>
      </c>
      <c r="F567" s="103">
        <v>0.47916666666666669</v>
      </c>
      <c r="G567" s="103">
        <v>0.45833333333333331</v>
      </c>
      <c r="H567" s="103">
        <v>0.5</v>
      </c>
      <c r="I567" s="90">
        <f t="shared" si="86"/>
        <v>0.50000000000000089</v>
      </c>
      <c r="J567" s="90">
        <f t="shared" si="85"/>
        <v>1.0000000000000004</v>
      </c>
      <c r="K567" s="91">
        <f t="shared" si="87"/>
        <v>0.66666666666666663</v>
      </c>
      <c r="L567" s="91">
        <f t="shared" si="88"/>
        <v>4.375</v>
      </c>
      <c r="M567" s="29">
        <f t="shared" si="89"/>
        <v>20</v>
      </c>
      <c r="N567" s="92">
        <f t="shared" si="90"/>
        <v>0.50000000000000089</v>
      </c>
      <c r="O567" s="104">
        <f t="shared" si="73"/>
        <v>1.016</v>
      </c>
      <c r="P567" s="105">
        <f t="shared" si="91"/>
        <v>7.1120000000000116</v>
      </c>
    </row>
    <row r="568" spans="2:16" x14ac:dyDescent="0.25">
      <c r="B568" s="88" t="str">
        <f t="shared" si="84"/>
        <v>Fazenda Altenor</v>
      </c>
      <c r="C568" s="106">
        <f t="shared" si="92"/>
        <v>2020</v>
      </c>
      <c r="D568" s="101">
        <v>44126</v>
      </c>
      <c r="E568" s="102">
        <v>0.3125</v>
      </c>
      <c r="F568" s="103">
        <v>0.33333333333333331</v>
      </c>
      <c r="G568" s="103">
        <v>0.3125</v>
      </c>
      <c r="H568" s="103">
        <v>0.35416666666666669</v>
      </c>
      <c r="I568" s="90">
        <f t="shared" si="86"/>
        <v>0.49999999999999956</v>
      </c>
      <c r="J568" s="90">
        <f t="shared" si="85"/>
        <v>1.0000000000000004</v>
      </c>
      <c r="K568" s="91">
        <f t="shared" si="87"/>
        <v>0.66666666666666663</v>
      </c>
      <c r="L568" s="91">
        <f t="shared" si="88"/>
        <v>4.375</v>
      </c>
      <c r="M568" s="29">
        <f t="shared" si="89"/>
        <v>20</v>
      </c>
      <c r="N568" s="92">
        <f t="shared" si="90"/>
        <v>0.49999999999999956</v>
      </c>
      <c r="O568" s="104">
        <f t="shared" si="73"/>
        <v>1.016</v>
      </c>
      <c r="P568" s="105">
        <f t="shared" si="91"/>
        <v>7.111999999999993</v>
      </c>
    </row>
    <row r="569" spans="2:16" x14ac:dyDescent="0.25">
      <c r="B569" s="88" t="str">
        <f t="shared" si="84"/>
        <v>Fazenda Altenor</v>
      </c>
      <c r="C569" s="106">
        <f t="shared" si="92"/>
        <v>2020</v>
      </c>
      <c r="D569" s="101">
        <v>44127</v>
      </c>
      <c r="E569" s="102">
        <v>0.41666666666666669</v>
      </c>
      <c r="F569" s="103">
        <v>0.4375</v>
      </c>
      <c r="G569" s="103">
        <v>0.41666666666666669</v>
      </c>
      <c r="H569" s="103">
        <v>0.4375</v>
      </c>
      <c r="I569" s="90">
        <f t="shared" si="86"/>
        <v>0.49999999999999956</v>
      </c>
      <c r="J569" s="90">
        <f t="shared" si="85"/>
        <v>0.49999999999999956</v>
      </c>
      <c r="K569" s="91">
        <f t="shared" si="87"/>
        <v>0.66666666666666663</v>
      </c>
      <c r="L569" s="91">
        <f t="shared" si="88"/>
        <v>4.375</v>
      </c>
      <c r="M569" s="29">
        <f t="shared" si="89"/>
        <v>20</v>
      </c>
      <c r="N569" s="92">
        <f t="shared" si="90"/>
        <v>0.49999999999999956</v>
      </c>
      <c r="O569" s="104">
        <f t="shared" si="73"/>
        <v>1.016</v>
      </c>
      <c r="P569" s="105">
        <f t="shared" si="91"/>
        <v>7.111999999999993</v>
      </c>
    </row>
    <row r="570" spans="2:16" x14ac:dyDescent="0.25">
      <c r="B570" s="88" t="str">
        <f t="shared" si="84"/>
        <v>Fazenda Altenor</v>
      </c>
      <c r="C570" s="106">
        <f t="shared" si="92"/>
        <v>2020</v>
      </c>
      <c r="D570" s="101">
        <v>44128</v>
      </c>
      <c r="E570" s="102">
        <v>0.3125</v>
      </c>
      <c r="F570" s="103">
        <v>0.33333333333333331</v>
      </c>
      <c r="G570" s="103">
        <v>0.3125</v>
      </c>
      <c r="H570" s="103">
        <v>0.35416666666666669</v>
      </c>
      <c r="I570" s="90">
        <f t="shared" si="86"/>
        <v>0.49999999999999956</v>
      </c>
      <c r="J570" s="90">
        <f t="shared" si="85"/>
        <v>1.0000000000000004</v>
      </c>
      <c r="K570" s="91">
        <f t="shared" si="87"/>
        <v>0.66666666666666663</v>
      </c>
      <c r="L570" s="91">
        <f t="shared" si="88"/>
        <v>4.375</v>
      </c>
      <c r="M570" s="29">
        <f t="shared" si="89"/>
        <v>20</v>
      </c>
      <c r="N570" s="92">
        <f t="shared" si="90"/>
        <v>0.49999999999999956</v>
      </c>
      <c r="O570" s="104">
        <f t="shared" si="73"/>
        <v>1.016</v>
      </c>
      <c r="P570" s="105">
        <f t="shared" si="91"/>
        <v>7.111999999999993</v>
      </c>
    </row>
    <row r="571" spans="2:16" x14ac:dyDescent="0.25">
      <c r="B571" s="88" t="str">
        <f t="shared" si="84"/>
        <v>Fazenda Altenor</v>
      </c>
      <c r="C571" s="106">
        <f t="shared" si="92"/>
        <v>2020</v>
      </c>
      <c r="D571" s="101">
        <v>44129</v>
      </c>
      <c r="E571" s="102">
        <v>0.33333333333333331</v>
      </c>
      <c r="F571" s="103">
        <v>0.35416666666666669</v>
      </c>
      <c r="G571" s="103">
        <v>0.33333333333333331</v>
      </c>
      <c r="H571" s="103">
        <v>0.375</v>
      </c>
      <c r="I571" s="90">
        <f t="shared" si="86"/>
        <v>0.50000000000000089</v>
      </c>
      <c r="J571" s="90">
        <f t="shared" si="85"/>
        <v>1.0000000000000004</v>
      </c>
      <c r="K571" s="91">
        <f t="shared" si="87"/>
        <v>0.66666666666666663</v>
      </c>
      <c r="L571" s="91">
        <f t="shared" si="88"/>
        <v>4.375</v>
      </c>
      <c r="M571" s="29">
        <f t="shared" si="89"/>
        <v>20</v>
      </c>
      <c r="N571" s="92">
        <f t="shared" si="90"/>
        <v>0.50000000000000089</v>
      </c>
      <c r="O571" s="104">
        <f t="shared" si="73"/>
        <v>1.016</v>
      </c>
      <c r="P571" s="105">
        <f t="shared" si="91"/>
        <v>7.1120000000000116</v>
      </c>
    </row>
    <row r="572" spans="2:16" x14ac:dyDescent="0.25">
      <c r="B572" s="88" t="str">
        <f t="shared" si="84"/>
        <v>Fazenda Altenor</v>
      </c>
      <c r="C572" s="106">
        <f t="shared" si="92"/>
        <v>2020</v>
      </c>
      <c r="D572" s="101">
        <v>44130</v>
      </c>
      <c r="E572" s="102">
        <v>0.29166666666666669</v>
      </c>
      <c r="F572" s="103">
        <v>0.3125</v>
      </c>
      <c r="G572" s="103">
        <v>0.29166666666666669</v>
      </c>
      <c r="H572" s="103">
        <v>0.33333333333333331</v>
      </c>
      <c r="I572" s="90">
        <f t="shared" si="86"/>
        <v>0.49999999999999956</v>
      </c>
      <c r="J572" s="90">
        <f t="shared" si="85"/>
        <v>0.99999999999999911</v>
      </c>
      <c r="K572" s="91">
        <f t="shared" si="87"/>
        <v>0.66666666666666663</v>
      </c>
      <c r="L572" s="91">
        <f t="shared" si="88"/>
        <v>4.375</v>
      </c>
      <c r="M572" s="29">
        <f t="shared" si="89"/>
        <v>20</v>
      </c>
      <c r="N572" s="92">
        <f t="shared" si="90"/>
        <v>0.49999999999999956</v>
      </c>
      <c r="O572" s="104">
        <f t="shared" si="73"/>
        <v>1.016</v>
      </c>
      <c r="P572" s="105">
        <f t="shared" si="91"/>
        <v>7.111999999999993</v>
      </c>
    </row>
    <row r="573" spans="2:16" x14ac:dyDescent="0.25">
      <c r="B573" s="88" t="str">
        <f t="shared" si="84"/>
        <v>Fazenda Altenor</v>
      </c>
      <c r="C573" s="106">
        <f t="shared" si="92"/>
        <v>2020</v>
      </c>
      <c r="D573" s="101">
        <v>44131</v>
      </c>
      <c r="E573" s="102"/>
      <c r="F573" s="103"/>
      <c r="G573" s="103"/>
      <c r="H573" s="103"/>
      <c r="I573" s="90">
        <f t="shared" si="86"/>
        <v>0</v>
      </c>
      <c r="J573" s="90">
        <f t="shared" si="85"/>
        <v>0</v>
      </c>
      <c r="K573" s="91">
        <f t="shared" si="87"/>
        <v>0.66666666666666663</v>
      </c>
      <c r="L573" s="91">
        <f t="shared" si="88"/>
        <v>4.375</v>
      </c>
      <c r="M573" s="29">
        <f t="shared" si="89"/>
        <v>20</v>
      </c>
      <c r="N573" s="92">
        <f t="shared" si="90"/>
        <v>0</v>
      </c>
      <c r="O573" s="104">
        <f t="shared" si="73"/>
        <v>1.016</v>
      </c>
      <c r="P573" s="105">
        <f t="shared" si="91"/>
        <v>0</v>
      </c>
    </row>
    <row r="574" spans="2:16" x14ac:dyDescent="0.25">
      <c r="B574" s="88" t="str">
        <f t="shared" si="84"/>
        <v>Fazenda Altenor</v>
      </c>
      <c r="C574" s="106">
        <f t="shared" si="92"/>
        <v>2020</v>
      </c>
      <c r="D574" s="101">
        <v>44132</v>
      </c>
      <c r="E574" s="102">
        <v>0.3125</v>
      </c>
      <c r="F574" s="103">
        <v>0.33333333333333331</v>
      </c>
      <c r="G574" s="103">
        <v>0.3125</v>
      </c>
      <c r="H574" s="103">
        <v>0.35416666666666669</v>
      </c>
      <c r="I574" s="90">
        <f t="shared" si="86"/>
        <v>0.49999999999999956</v>
      </c>
      <c r="J574" s="90">
        <f t="shared" si="85"/>
        <v>1.0000000000000004</v>
      </c>
      <c r="K574" s="91">
        <f t="shared" si="87"/>
        <v>0.66666666666666663</v>
      </c>
      <c r="L574" s="91">
        <f t="shared" si="88"/>
        <v>4.375</v>
      </c>
      <c r="M574" s="29">
        <f t="shared" si="89"/>
        <v>20</v>
      </c>
      <c r="N574" s="92">
        <f t="shared" si="90"/>
        <v>0.49999999999999956</v>
      </c>
      <c r="O574" s="104">
        <f t="shared" si="73"/>
        <v>1.016</v>
      </c>
      <c r="P574" s="105">
        <f t="shared" si="91"/>
        <v>7.111999999999993</v>
      </c>
    </row>
    <row r="575" spans="2:16" x14ac:dyDescent="0.25">
      <c r="B575" s="88" t="str">
        <f t="shared" si="84"/>
        <v>Fazenda Altenor</v>
      </c>
      <c r="C575" s="106">
        <f t="shared" si="92"/>
        <v>2020</v>
      </c>
      <c r="D575" s="101">
        <v>44133</v>
      </c>
      <c r="E575" s="102">
        <v>0.35416666666666669</v>
      </c>
      <c r="F575" s="103">
        <v>0.375</v>
      </c>
      <c r="G575" s="103">
        <v>0.35416666666666669</v>
      </c>
      <c r="H575" s="103">
        <v>0.39583333333333331</v>
      </c>
      <c r="I575" s="90">
        <f t="shared" si="86"/>
        <v>0.49999999999999956</v>
      </c>
      <c r="J575" s="90">
        <f t="shared" si="85"/>
        <v>0.99999999999999911</v>
      </c>
      <c r="K575" s="91">
        <f t="shared" si="87"/>
        <v>0.66666666666666663</v>
      </c>
      <c r="L575" s="91">
        <f t="shared" si="88"/>
        <v>4.375</v>
      </c>
      <c r="M575" s="29">
        <f t="shared" si="89"/>
        <v>20</v>
      </c>
      <c r="N575" s="92">
        <f t="shared" si="90"/>
        <v>0.49999999999999956</v>
      </c>
      <c r="O575" s="104">
        <f t="shared" si="73"/>
        <v>1.016</v>
      </c>
      <c r="P575" s="105">
        <f t="shared" si="91"/>
        <v>7.111999999999993</v>
      </c>
    </row>
    <row r="576" spans="2:16" x14ac:dyDescent="0.25">
      <c r="B576" s="88" t="str">
        <f t="shared" si="84"/>
        <v>Fazenda Altenor</v>
      </c>
      <c r="C576" s="106">
        <f t="shared" si="92"/>
        <v>2020</v>
      </c>
      <c r="D576" s="101">
        <v>44134</v>
      </c>
      <c r="E576" s="102">
        <v>0.29166666666666669</v>
      </c>
      <c r="F576" s="103">
        <v>0.3125</v>
      </c>
      <c r="G576" s="103">
        <v>0.29166666666666669</v>
      </c>
      <c r="H576" s="103">
        <v>0.33333333333333331</v>
      </c>
      <c r="I576" s="90">
        <f t="shared" si="86"/>
        <v>0.49999999999999956</v>
      </c>
      <c r="J576" s="90">
        <f t="shared" si="85"/>
        <v>0.99999999999999911</v>
      </c>
      <c r="K576" s="91">
        <f t="shared" si="87"/>
        <v>0.66666666666666663</v>
      </c>
      <c r="L576" s="91">
        <f t="shared" si="88"/>
        <v>4.375</v>
      </c>
      <c r="M576" s="29">
        <f t="shared" si="89"/>
        <v>20</v>
      </c>
      <c r="N576" s="92">
        <f t="shared" si="90"/>
        <v>0.49999999999999956</v>
      </c>
      <c r="O576" s="104">
        <f t="shared" si="73"/>
        <v>1.016</v>
      </c>
      <c r="P576" s="105">
        <f t="shared" si="91"/>
        <v>7.111999999999993</v>
      </c>
    </row>
    <row r="577" spans="2:16" x14ac:dyDescent="0.25">
      <c r="B577" s="88" t="str">
        <f t="shared" si="84"/>
        <v>Fazenda Altenor</v>
      </c>
      <c r="C577" s="106">
        <f t="shared" si="92"/>
        <v>2020</v>
      </c>
      <c r="D577" s="101">
        <v>44135</v>
      </c>
      <c r="E577" s="102">
        <v>0.33333333333333331</v>
      </c>
      <c r="F577" s="103">
        <v>0.35416666666666669</v>
      </c>
      <c r="G577" s="103">
        <v>0.33333333333333331</v>
      </c>
      <c r="H577" s="103">
        <v>0.375</v>
      </c>
      <c r="I577" s="90">
        <f t="shared" si="86"/>
        <v>0.50000000000000089</v>
      </c>
      <c r="J577" s="90">
        <f t="shared" si="85"/>
        <v>1.0000000000000004</v>
      </c>
      <c r="K577" s="91">
        <f t="shared" si="87"/>
        <v>0.66666666666666663</v>
      </c>
      <c r="L577" s="91">
        <f t="shared" si="88"/>
        <v>4.375</v>
      </c>
      <c r="M577" s="29">
        <f t="shared" si="89"/>
        <v>20</v>
      </c>
      <c r="N577" s="92">
        <f t="shared" si="90"/>
        <v>0.50000000000000089</v>
      </c>
      <c r="O577" s="104">
        <f t="shared" si="73"/>
        <v>1.016</v>
      </c>
      <c r="P577" s="105">
        <f t="shared" si="91"/>
        <v>7.1120000000000116</v>
      </c>
    </row>
    <row r="578" spans="2:16" x14ac:dyDescent="0.25">
      <c r="B578" s="88" t="str">
        <f t="shared" si="84"/>
        <v>Fazenda Altenor</v>
      </c>
      <c r="C578" s="106">
        <f t="shared" si="92"/>
        <v>2020</v>
      </c>
      <c r="D578" s="101">
        <v>44136</v>
      </c>
      <c r="E578" s="102">
        <v>0.39583333333333331</v>
      </c>
      <c r="F578" s="103">
        <v>0.41666666666666669</v>
      </c>
      <c r="G578" s="103">
        <v>0.39583333333333331</v>
      </c>
      <c r="H578" s="103">
        <v>0.4375</v>
      </c>
      <c r="I578" s="90">
        <f t="shared" si="86"/>
        <v>0.50000000000000089</v>
      </c>
      <c r="J578" s="90">
        <f t="shared" si="85"/>
        <v>1.0000000000000004</v>
      </c>
      <c r="K578" s="91">
        <f t="shared" si="87"/>
        <v>0.66666666666666663</v>
      </c>
      <c r="L578" s="91">
        <f t="shared" si="88"/>
        <v>4.375</v>
      </c>
      <c r="M578" s="29">
        <f t="shared" si="89"/>
        <v>20</v>
      </c>
      <c r="N578" s="92">
        <f t="shared" si="90"/>
        <v>0.50000000000000089</v>
      </c>
      <c r="O578" s="104">
        <f t="shared" si="73"/>
        <v>1.016</v>
      </c>
      <c r="P578" s="105">
        <f t="shared" si="91"/>
        <v>7.1120000000000116</v>
      </c>
    </row>
    <row r="579" spans="2:16" x14ac:dyDescent="0.25">
      <c r="B579" s="88" t="str">
        <f t="shared" si="84"/>
        <v>Fazenda Altenor</v>
      </c>
      <c r="C579" s="106">
        <f t="shared" si="92"/>
        <v>2020</v>
      </c>
      <c r="D579" s="101">
        <v>44137</v>
      </c>
      <c r="E579" s="102"/>
      <c r="F579" s="103"/>
      <c r="G579" s="103"/>
      <c r="H579" s="103"/>
      <c r="I579" s="90">
        <f t="shared" si="86"/>
        <v>0</v>
      </c>
      <c r="J579" s="90">
        <f t="shared" si="85"/>
        <v>0</v>
      </c>
      <c r="K579" s="91">
        <f t="shared" si="87"/>
        <v>0.66666666666666663</v>
      </c>
      <c r="L579" s="91">
        <f t="shared" si="88"/>
        <v>4.375</v>
      </c>
      <c r="M579" s="29">
        <f t="shared" si="89"/>
        <v>20</v>
      </c>
      <c r="N579" s="92">
        <f t="shared" si="90"/>
        <v>0</v>
      </c>
      <c r="O579" s="104">
        <f t="shared" si="73"/>
        <v>1.016</v>
      </c>
      <c r="P579" s="105">
        <f t="shared" si="91"/>
        <v>0</v>
      </c>
    </row>
    <row r="580" spans="2:16" x14ac:dyDescent="0.25">
      <c r="B580" s="88" t="str">
        <f t="shared" si="84"/>
        <v>Fazenda Altenor</v>
      </c>
      <c r="C580" s="106">
        <f t="shared" si="92"/>
        <v>2020</v>
      </c>
      <c r="D580" s="101">
        <v>44138</v>
      </c>
      <c r="E580" s="102">
        <v>0.3125</v>
      </c>
      <c r="F580" s="103">
        <v>0.33333333333333331</v>
      </c>
      <c r="G580" s="103">
        <v>0.3125</v>
      </c>
      <c r="H580" s="103">
        <v>0.35416666666666669</v>
      </c>
      <c r="I580" s="90">
        <f t="shared" si="86"/>
        <v>0.49999999999999956</v>
      </c>
      <c r="J580" s="90">
        <f t="shared" si="85"/>
        <v>1.0000000000000004</v>
      </c>
      <c r="K580" s="91">
        <f t="shared" si="87"/>
        <v>0.66666666666666663</v>
      </c>
      <c r="L580" s="91">
        <f t="shared" si="88"/>
        <v>4.375</v>
      </c>
      <c r="M580" s="29">
        <f t="shared" si="89"/>
        <v>20</v>
      </c>
      <c r="N580" s="92">
        <f t="shared" si="90"/>
        <v>0.49999999999999956</v>
      </c>
      <c r="O580" s="104">
        <f t="shared" si="73"/>
        <v>1.016</v>
      </c>
      <c r="P580" s="105">
        <f t="shared" si="91"/>
        <v>7.111999999999993</v>
      </c>
    </row>
    <row r="581" spans="2:16" x14ac:dyDescent="0.25">
      <c r="B581" s="88" t="str">
        <f t="shared" si="84"/>
        <v>Fazenda Altenor</v>
      </c>
      <c r="C581" s="106">
        <f t="shared" si="92"/>
        <v>2020</v>
      </c>
      <c r="D581" s="101">
        <v>44139</v>
      </c>
      <c r="E581" s="102">
        <v>0.29166666666666669</v>
      </c>
      <c r="F581" s="103">
        <v>0.3125</v>
      </c>
      <c r="G581" s="103">
        <v>0.29166666666666669</v>
      </c>
      <c r="H581" s="103">
        <v>0.33333333333333331</v>
      </c>
      <c r="I581" s="90">
        <f t="shared" si="86"/>
        <v>0.49999999999999956</v>
      </c>
      <c r="J581" s="90">
        <f t="shared" si="85"/>
        <v>0.99999999999999911</v>
      </c>
      <c r="K581" s="91">
        <f t="shared" si="87"/>
        <v>0.66666666666666663</v>
      </c>
      <c r="L581" s="91">
        <f t="shared" si="88"/>
        <v>4.375</v>
      </c>
      <c r="M581" s="29">
        <f t="shared" si="89"/>
        <v>20</v>
      </c>
      <c r="N581" s="92">
        <f t="shared" si="90"/>
        <v>0.49999999999999956</v>
      </c>
      <c r="O581" s="104">
        <f t="shared" si="73"/>
        <v>1.016</v>
      </c>
      <c r="P581" s="105">
        <f t="shared" si="91"/>
        <v>7.111999999999993</v>
      </c>
    </row>
    <row r="582" spans="2:16" x14ac:dyDescent="0.25">
      <c r="B582" s="88" t="str">
        <f t="shared" si="84"/>
        <v>Fazenda Altenor</v>
      </c>
      <c r="C582" s="106">
        <f t="shared" si="92"/>
        <v>2020</v>
      </c>
      <c r="D582" s="101">
        <v>44140</v>
      </c>
      <c r="E582" s="102">
        <v>0.35416666666666669</v>
      </c>
      <c r="F582" s="103">
        <v>0.375</v>
      </c>
      <c r="G582" s="103">
        <v>0.35416666666666669</v>
      </c>
      <c r="H582" s="103">
        <v>0.39583333333333331</v>
      </c>
      <c r="I582" s="90">
        <f t="shared" si="86"/>
        <v>0.49999999999999956</v>
      </c>
      <c r="J582" s="90">
        <f t="shared" si="85"/>
        <v>0.99999999999999911</v>
      </c>
      <c r="K582" s="91">
        <f t="shared" si="87"/>
        <v>0.66666666666666663</v>
      </c>
      <c r="L582" s="91">
        <f t="shared" si="88"/>
        <v>4.375</v>
      </c>
      <c r="M582" s="29">
        <f t="shared" si="89"/>
        <v>20</v>
      </c>
      <c r="N582" s="92">
        <f t="shared" si="90"/>
        <v>0.49999999999999956</v>
      </c>
      <c r="O582" s="104">
        <f t="shared" si="73"/>
        <v>1.016</v>
      </c>
      <c r="P582" s="105">
        <f t="shared" si="91"/>
        <v>7.111999999999993</v>
      </c>
    </row>
    <row r="583" spans="2:16" x14ac:dyDescent="0.25">
      <c r="B583" s="88" t="str">
        <f t="shared" si="84"/>
        <v>Fazenda Altenor</v>
      </c>
      <c r="C583" s="106">
        <f t="shared" si="92"/>
        <v>2020</v>
      </c>
      <c r="D583" s="101">
        <v>44141</v>
      </c>
      <c r="E583" s="102">
        <v>0.41666666666666669</v>
      </c>
      <c r="F583" s="103">
        <v>0.4375</v>
      </c>
      <c r="G583" s="103">
        <v>0.41666666666666669</v>
      </c>
      <c r="H583" s="103">
        <v>0.45833333333333331</v>
      </c>
      <c r="I583" s="90">
        <f t="shared" si="86"/>
        <v>0.49999999999999956</v>
      </c>
      <c r="J583" s="90">
        <f t="shared" si="85"/>
        <v>0.99999999999999911</v>
      </c>
      <c r="K583" s="91">
        <f t="shared" si="87"/>
        <v>0.66666666666666663</v>
      </c>
      <c r="L583" s="91">
        <f t="shared" si="88"/>
        <v>4.375</v>
      </c>
      <c r="M583" s="29">
        <f t="shared" si="89"/>
        <v>20</v>
      </c>
      <c r="N583" s="92">
        <f t="shared" si="90"/>
        <v>0.49999999999999956</v>
      </c>
      <c r="O583" s="104">
        <f t="shared" si="73"/>
        <v>1.016</v>
      </c>
      <c r="P583" s="105">
        <f t="shared" si="91"/>
        <v>7.111999999999993</v>
      </c>
    </row>
    <row r="584" spans="2:16" x14ac:dyDescent="0.25">
      <c r="B584" s="88" t="str">
        <f t="shared" si="84"/>
        <v>Fazenda Altenor</v>
      </c>
      <c r="C584" s="106">
        <f t="shared" si="92"/>
        <v>2020</v>
      </c>
      <c r="D584" s="101">
        <v>44142</v>
      </c>
      <c r="E584" s="102">
        <v>0.375</v>
      </c>
      <c r="F584" s="103">
        <v>0.39583333333333331</v>
      </c>
      <c r="G584" s="103">
        <v>0.375</v>
      </c>
      <c r="H584" s="103">
        <v>0.41666666666666669</v>
      </c>
      <c r="I584" s="90">
        <f t="shared" si="86"/>
        <v>0.49999999999999956</v>
      </c>
      <c r="J584" s="90">
        <f t="shared" si="85"/>
        <v>1.0000000000000004</v>
      </c>
      <c r="K584" s="91">
        <f t="shared" si="87"/>
        <v>0.66666666666666663</v>
      </c>
      <c r="L584" s="91">
        <f t="shared" si="88"/>
        <v>4.375</v>
      </c>
      <c r="M584" s="29">
        <f t="shared" si="89"/>
        <v>20</v>
      </c>
      <c r="N584" s="92">
        <f t="shared" si="90"/>
        <v>0.49999999999999956</v>
      </c>
      <c r="O584" s="104">
        <f t="shared" si="73"/>
        <v>1.016</v>
      </c>
      <c r="P584" s="105">
        <f t="shared" si="91"/>
        <v>7.111999999999993</v>
      </c>
    </row>
    <row r="585" spans="2:16" x14ac:dyDescent="0.25">
      <c r="B585" s="88" t="str">
        <f t="shared" si="84"/>
        <v>Fazenda Altenor</v>
      </c>
      <c r="C585" s="106">
        <f t="shared" si="92"/>
        <v>2020</v>
      </c>
      <c r="D585" s="101">
        <v>44143</v>
      </c>
      <c r="E585" s="102">
        <v>0.33333333333333331</v>
      </c>
      <c r="F585" s="103">
        <v>0.35416666666666669</v>
      </c>
      <c r="G585" s="103">
        <v>0.33333333333333331</v>
      </c>
      <c r="H585" s="103">
        <v>0.375</v>
      </c>
      <c r="I585" s="90">
        <f t="shared" si="86"/>
        <v>0.50000000000000089</v>
      </c>
      <c r="J585" s="90">
        <f t="shared" si="85"/>
        <v>1.0000000000000004</v>
      </c>
      <c r="K585" s="91">
        <f t="shared" si="87"/>
        <v>0.66666666666666663</v>
      </c>
      <c r="L585" s="91">
        <f t="shared" si="88"/>
        <v>4.375</v>
      </c>
      <c r="M585" s="29">
        <f t="shared" si="89"/>
        <v>20</v>
      </c>
      <c r="N585" s="92">
        <f t="shared" si="90"/>
        <v>0.50000000000000089</v>
      </c>
      <c r="O585" s="104">
        <f t="shared" si="73"/>
        <v>1.016</v>
      </c>
      <c r="P585" s="105">
        <f t="shared" si="91"/>
        <v>7.1120000000000116</v>
      </c>
    </row>
    <row r="586" spans="2:16" x14ac:dyDescent="0.25">
      <c r="B586" s="88" t="str">
        <f t="shared" si="84"/>
        <v>Fazenda Altenor</v>
      </c>
      <c r="C586" s="106">
        <f t="shared" si="92"/>
        <v>2020</v>
      </c>
      <c r="D586" s="101">
        <v>44144</v>
      </c>
      <c r="E586" s="102"/>
      <c r="F586" s="103"/>
      <c r="G586" s="103"/>
      <c r="H586" s="103"/>
      <c r="I586" s="90">
        <f t="shared" si="86"/>
        <v>0</v>
      </c>
      <c r="J586" s="90">
        <f t="shared" si="85"/>
        <v>0</v>
      </c>
      <c r="K586" s="91">
        <f t="shared" si="87"/>
        <v>0.66666666666666663</v>
      </c>
      <c r="L586" s="91">
        <f t="shared" si="88"/>
        <v>4.375</v>
      </c>
      <c r="M586" s="29">
        <f t="shared" si="89"/>
        <v>20</v>
      </c>
      <c r="N586" s="92">
        <f t="shared" si="90"/>
        <v>0</v>
      </c>
      <c r="O586" s="104">
        <f t="shared" si="73"/>
        <v>1.016</v>
      </c>
      <c r="P586" s="105">
        <f t="shared" si="91"/>
        <v>0</v>
      </c>
    </row>
    <row r="587" spans="2:16" x14ac:dyDescent="0.25">
      <c r="B587" s="88" t="str">
        <f t="shared" si="84"/>
        <v>Fazenda Altenor</v>
      </c>
      <c r="C587" s="106">
        <f t="shared" si="92"/>
        <v>2020</v>
      </c>
      <c r="D587" s="101">
        <v>44145</v>
      </c>
      <c r="E587" s="102"/>
      <c r="F587" s="103"/>
      <c r="G587" s="103"/>
      <c r="H587" s="103"/>
      <c r="I587" s="90">
        <f t="shared" si="86"/>
        <v>0</v>
      </c>
      <c r="J587" s="90">
        <f t="shared" si="85"/>
        <v>0</v>
      </c>
      <c r="K587" s="91">
        <f t="shared" si="87"/>
        <v>0.66666666666666663</v>
      </c>
      <c r="L587" s="91">
        <f t="shared" si="88"/>
        <v>4.375</v>
      </c>
      <c r="M587" s="29">
        <f t="shared" si="89"/>
        <v>20</v>
      </c>
      <c r="N587" s="92">
        <f t="shared" si="90"/>
        <v>0</v>
      </c>
      <c r="O587" s="104">
        <f t="shared" si="73"/>
        <v>1.016</v>
      </c>
      <c r="P587" s="105">
        <f t="shared" si="91"/>
        <v>0</v>
      </c>
    </row>
    <row r="588" spans="2:16" x14ac:dyDescent="0.25">
      <c r="B588" s="88" t="str">
        <f t="shared" si="84"/>
        <v>Fazenda Altenor</v>
      </c>
      <c r="C588" s="106">
        <f t="shared" si="92"/>
        <v>2020</v>
      </c>
      <c r="D588" s="101">
        <v>44146</v>
      </c>
      <c r="E588" s="102"/>
      <c r="F588" s="103"/>
      <c r="G588" s="103"/>
      <c r="H588" s="103"/>
      <c r="I588" s="90">
        <f t="shared" si="86"/>
        <v>0</v>
      </c>
      <c r="J588" s="90">
        <f t="shared" si="85"/>
        <v>0</v>
      </c>
      <c r="K588" s="91">
        <f t="shared" si="87"/>
        <v>0.66666666666666663</v>
      </c>
      <c r="L588" s="91">
        <f t="shared" si="88"/>
        <v>4.375</v>
      </c>
      <c r="M588" s="29">
        <f t="shared" si="89"/>
        <v>20</v>
      </c>
      <c r="N588" s="92">
        <f t="shared" si="90"/>
        <v>0</v>
      </c>
      <c r="O588" s="104">
        <f t="shared" si="73"/>
        <v>1.016</v>
      </c>
      <c r="P588" s="105">
        <f t="shared" si="91"/>
        <v>0</v>
      </c>
    </row>
    <row r="589" spans="2:16" x14ac:dyDescent="0.25">
      <c r="B589" s="88" t="str">
        <f t="shared" si="84"/>
        <v>Fazenda Altenor</v>
      </c>
      <c r="C589" s="106">
        <f t="shared" si="92"/>
        <v>2020</v>
      </c>
      <c r="D589" s="101">
        <v>44147</v>
      </c>
      <c r="E589" s="102"/>
      <c r="F589" s="103"/>
      <c r="G589" s="103"/>
      <c r="H589" s="103"/>
      <c r="I589" s="90">
        <f t="shared" si="86"/>
        <v>0</v>
      </c>
      <c r="J589" s="90">
        <f t="shared" si="85"/>
        <v>0</v>
      </c>
      <c r="K589" s="91">
        <f t="shared" si="87"/>
        <v>0.66666666666666663</v>
      </c>
      <c r="L589" s="91">
        <f t="shared" si="88"/>
        <v>4.375</v>
      </c>
      <c r="M589" s="29">
        <f t="shared" si="89"/>
        <v>20</v>
      </c>
      <c r="N589" s="92">
        <f t="shared" si="90"/>
        <v>0</v>
      </c>
      <c r="O589" s="104">
        <f t="shared" si="73"/>
        <v>1.016</v>
      </c>
      <c r="P589" s="105">
        <f t="shared" si="91"/>
        <v>0</v>
      </c>
    </row>
    <row r="590" spans="2:16" x14ac:dyDescent="0.25">
      <c r="B590" s="88" t="str">
        <f t="shared" si="84"/>
        <v>Fazenda Altenor</v>
      </c>
      <c r="C590" s="106">
        <f t="shared" si="92"/>
        <v>2020</v>
      </c>
      <c r="D590" s="101">
        <v>44148</v>
      </c>
      <c r="E590" s="102"/>
      <c r="F590" s="103"/>
      <c r="G590" s="103"/>
      <c r="H590" s="103"/>
      <c r="I590" s="90">
        <f t="shared" si="86"/>
        <v>0</v>
      </c>
      <c r="J590" s="90">
        <f t="shared" si="85"/>
        <v>0</v>
      </c>
      <c r="K590" s="91">
        <f t="shared" si="87"/>
        <v>0.66666666666666663</v>
      </c>
      <c r="L590" s="91">
        <f t="shared" si="88"/>
        <v>4.375</v>
      </c>
      <c r="M590" s="29">
        <f t="shared" si="89"/>
        <v>20</v>
      </c>
      <c r="N590" s="92">
        <f t="shared" si="90"/>
        <v>0</v>
      </c>
      <c r="O590" s="104">
        <f t="shared" si="73"/>
        <v>1.016</v>
      </c>
      <c r="P590" s="105">
        <f t="shared" si="91"/>
        <v>0</v>
      </c>
    </row>
    <row r="591" spans="2:16" x14ac:dyDescent="0.25">
      <c r="B591" s="88" t="str">
        <f t="shared" si="84"/>
        <v>Fazenda Altenor</v>
      </c>
      <c r="C591" s="106">
        <f t="shared" si="92"/>
        <v>2020</v>
      </c>
      <c r="D591" s="101">
        <v>44149</v>
      </c>
      <c r="E591" s="102"/>
      <c r="F591" s="103"/>
      <c r="G591" s="103"/>
      <c r="H591" s="103"/>
      <c r="I591" s="90">
        <f t="shared" si="86"/>
        <v>0</v>
      </c>
      <c r="J591" s="90">
        <f t="shared" si="85"/>
        <v>0</v>
      </c>
      <c r="K591" s="91">
        <f t="shared" si="87"/>
        <v>0.66666666666666663</v>
      </c>
      <c r="L591" s="91">
        <f t="shared" si="88"/>
        <v>4.375</v>
      </c>
      <c r="M591" s="29">
        <f t="shared" si="89"/>
        <v>20</v>
      </c>
      <c r="N591" s="92">
        <f t="shared" si="90"/>
        <v>0</v>
      </c>
      <c r="O591" s="104">
        <f t="shared" si="73"/>
        <v>1.016</v>
      </c>
      <c r="P591" s="105">
        <f t="shared" si="91"/>
        <v>0</v>
      </c>
    </row>
    <row r="592" spans="2:16" x14ac:dyDescent="0.25">
      <c r="B592" s="88" t="str">
        <f t="shared" si="84"/>
        <v>Fazenda Altenor</v>
      </c>
      <c r="C592" s="106">
        <f t="shared" si="92"/>
        <v>2020</v>
      </c>
      <c r="D592" s="101">
        <v>44150</v>
      </c>
      <c r="E592" s="102"/>
      <c r="F592" s="103"/>
      <c r="G592" s="103"/>
      <c r="H592" s="103"/>
      <c r="I592" s="90">
        <f t="shared" si="86"/>
        <v>0</v>
      </c>
      <c r="J592" s="90">
        <f t="shared" si="85"/>
        <v>0</v>
      </c>
      <c r="K592" s="91">
        <f t="shared" si="87"/>
        <v>0.66666666666666663</v>
      </c>
      <c r="L592" s="91">
        <f t="shared" si="88"/>
        <v>4.375</v>
      </c>
      <c r="M592" s="29">
        <f t="shared" si="89"/>
        <v>20</v>
      </c>
      <c r="N592" s="92">
        <f t="shared" si="90"/>
        <v>0</v>
      </c>
      <c r="O592" s="104">
        <f t="shared" si="73"/>
        <v>1.016</v>
      </c>
      <c r="P592" s="105">
        <f t="shared" si="91"/>
        <v>0</v>
      </c>
    </row>
    <row r="593" spans="2:16" x14ac:dyDescent="0.25">
      <c r="B593" s="88" t="str">
        <f t="shared" si="84"/>
        <v>Fazenda Altenor</v>
      </c>
      <c r="C593" s="106">
        <f t="shared" si="92"/>
        <v>2020</v>
      </c>
      <c r="D593" s="101">
        <v>44151</v>
      </c>
      <c r="E593" s="102"/>
      <c r="F593" s="103"/>
      <c r="G593" s="103"/>
      <c r="H593" s="103"/>
      <c r="I593" s="90">
        <f t="shared" si="86"/>
        <v>0</v>
      </c>
      <c r="J593" s="90">
        <f t="shared" si="85"/>
        <v>0</v>
      </c>
      <c r="K593" s="91">
        <f t="shared" si="87"/>
        <v>0.66666666666666663</v>
      </c>
      <c r="L593" s="91">
        <f t="shared" si="88"/>
        <v>4.375</v>
      </c>
      <c r="M593" s="29">
        <f t="shared" si="89"/>
        <v>20</v>
      </c>
      <c r="N593" s="92">
        <f t="shared" si="90"/>
        <v>0</v>
      </c>
      <c r="O593" s="104">
        <f t="shared" si="73"/>
        <v>1.016</v>
      </c>
      <c r="P593" s="105">
        <f t="shared" si="91"/>
        <v>0</v>
      </c>
    </row>
    <row r="594" spans="2:16" x14ac:dyDescent="0.25">
      <c r="B594" s="88" t="str">
        <f t="shared" si="84"/>
        <v>Fazenda Altenor</v>
      </c>
      <c r="C594" s="106">
        <f t="shared" si="92"/>
        <v>2020</v>
      </c>
      <c r="D594" s="101">
        <v>44152</v>
      </c>
      <c r="E594" s="102"/>
      <c r="F594" s="103"/>
      <c r="G594" s="103"/>
      <c r="H594" s="103"/>
      <c r="I594" s="90">
        <f t="shared" si="86"/>
        <v>0</v>
      </c>
      <c r="J594" s="90">
        <f t="shared" si="85"/>
        <v>0</v>
      </c>
      <c r="K594" s="91">
        <f t="shared" si="87"/>
        <v>0.66666666666666663</v>
      </c>
      <c r="L594" s="91">
        <f t="shared" si="88"/>
        <v>4.375</v>
      </c>
      <c r="M594" s="29">
        <f t="shared" si="89"/>
        <v>20</v>
      </c>
      <c r="N594" s="92">
        <f t="shared" si="90"/>
        <v>0</v>
      </c>
      <c r="O594" s="104">
        <f t="shared" si="73"/>
        <v>1.016</v>
      </c>
      <c r="P594" s="105">
        <f t="shared" si="91"/>
        <v>0</v>
      </c>
    </row>
    <row r="595" spans="2:16" x14ac:dyDescent="0.25">
      <c r="B595" s="88" t="str">
        <f t="shared" si="84"/>
        <v>Fazenda Altenor</v>
      </c>
      <c r="C595" s="106">
        <f t="shared" si="92"/>
        <v>2020</v>
      </c>
      <c r="D595" s="101">
        <v>44153</v>
      </c>
      <c r="E595" s="102"/>
      <c r="F595" s="103"/>
      <c r="G595" s="103"/>
      <c r="H595" s="103"/>
      <c r="I595" s="90">
        <f t="shared" si="86"/>
        <v>0</v>
      </c>
      <c r="J595" s="90">
        <f t="shared" si="85"/>
        <v>0</v>
      </c>
      <c r="K595" s="91">
        <f t="shared" si="87"/>
        <v>0.66666666666666663</v>
      </c>
      <c r="L595" s="91">
        <f t="shared" si="88"/>
        <v>4.375</v>
      </c>
      <c r="M595" s="29">
        <f t="shared" si="89"/>
        <v>20</v>
      </c>
      <c r="N595" s="92">
        <f t="shared" si="90"/>
        <v>0</v>
      </c>
      <c r="O595" s="104">
        <f t="shared" si="73"/>
        <v>1.016</v>
      </c>
      <c r="P595" s="105">
        <f t="shared" si="91"/>
        <v>0</v>
      </c>
    </row>
    <row r="596" spans="2:16" x14ac:dyDescent="0.25">
      <c r="B596" s="88" t="str">
        <f t="shared" si="84"/>
        <v>Fazenda Altenor</v>
      </c>
      <c r="C596" s="106">
        <f t="shared" si="92"/>
        <v>2020</v>
      </c>
      <c r="D596" s="101">
        <v>44154</v>
      </c>
      <c r="E596" s="102"/>
      <c r="F596" s="103"/>
      <c r="G596" s="103"/>
      <c r="H596" s="103"/>
      <c r="I596" s="90">
        <f t="shared" si="86"/>
        <v>0</v>
      </c>
      <c r="J596" s="90">
        <f t="shared" si="85"/>
        <v>0</v>
      </c>
      <c r="K596" s="91">
        <f t="shared" si="87"/>
        <v>0.66666666666666663</v>
      </c>
      <c r="L596" s="91">
        <f t="shared" si="88"/>
        <v>4.375</v>
      </c>
      <c r="M596" s="29">
        <f t="shared" si="89"/>
        <v>20</v>
      </c>
      <c r="N596" s="92">
        <f t="shared" si="90"/>
        <v>0</v>
      </c>
      <c r="O596" s="104">
        <f t="shared" si="73"/>
        <v>1.016</v>
      </c>
      <c r="P596" s="105">
        <f t="shared" si="91"/>
        <v>0</v>
      </c>
    </row>
    <row r="597" spans="2:16" x14ac:dyDescent="0.25">
      <c r="B597" s="88" t="str">
        <f t="shared" si="84"/>
        <v>Fazenda Altenor</v>
      </c>
      <c r="C597" s="106">
        <f t="shared" si="92"/>
        <v>2020</v>
      </c>
      <c r="D597" s="101">
        <v>44155</v>
      </c>
      <c r="E597" s="102"/>
      <c r="F597" s="103"/>
      <c r="G597" s="103"/>
      <c r="H597" s="103"/>
      <c r="I597" s="90">
        <f t="shared" si="86"/>
        <v>0</v>
      </c>
      <c r="J597" s="90">
        <f t="shared" si="85"/>
        <v>0</v>
      </c>
      <c r="K597" s="91">
        <f t="shared" si="87"/>
        <v>0.66666666666666663</v>
      </c>
      <c r="L597" s="91">
        <f t="shared" si="88"/>
        <v>4.375</v>
      </c>
      <c r="M597" s="29">
        <f t="shared" si="89"/>
        <v>20</v>
      </c>
      <c r="N597" s="92">
        <f t="shared" si="90"/>
        <v>0</v>
      </c>
      <c r="O597" s="104">
        <f t="shared" si="73"/>
        <v>1.016</v>
      </c>
      <c r="P597" s="105">
        <f t="shared" si="91"/>
        <v>0</v>
      </c>
    </row>
    <row r="598" spans="2:16" x14ac:dyDescent="0.25">
      <c r="B598" s="88" t="str">
        <f t="shared" si="84"/>
        <v>Fazenda Altenor</v>
      </c>
      <c r="C598" s="106">
        <f t="shared" si="92"/>
        <v>2020</v>
      </c>
      <c r="D598" s="101">
        <v>44156</v>
      </c>
      <c r="E598" s="102"/>
      <c r="F598" s="103"/>
      <c r="G598" s="103"/>
      <c r="H598" s="103"/>
      <c r="I598" s="90">
        <f t="shared" si="86"/>
        <v>0</v>
      </c>
      <c r="J598" s="90">
        <f t="shared" si="85"/>
        <v>0</v>
      </c>
      <c r="K598" s="91">
        <f t="shared" si="87"/>
        <v>0.66666666666666663</v>
      </c>
      <c r="L598" s="91">
        <f t="shared" si="88"/>
        <v>4.375</v>
      </c>
      <c r="M598" s="29">
        <f t="shared" si="89"/>
        <v>20</v>
      </c>
      <c r="N598" s="92">
        <f t="shared" si="90"/>
        <v>0</v>
      </c>
      <c r="O598" s="104">
        <f t="shared" si="73"/>
        <v>1.016</v>
      </c>
      <c r="P598" s="105">
        <f t="shared" si="91"/>
        <v>0</v>
      </c>
    </row>
    <row r="599" spans="2:16" x14ac:dyDescent="0.25">
      <c r="B599" s="88" t="str">
        <f t="shared" si="84"/>
        <v>Fazenda Altenor</v>
      </c>
      <c r="C599" s="106">
        <f t="shared" si="92"/>
        <v>2020</v>
      </c>
      <c r="D599" s="101">
        <v>44157</v>
      </c>
      <c r="E599" s="102"/>
      <c r="F599" s="103"/>
      <c r="G599" s="103"/>
      <c r="H599" s="103"/>
      <c r="I599" s="90">
        <f t="shared" si="86"/>
        <v>0</v>
      </c>
      <c r="J599" s="90">
        <f t="shared" si="85"/>
        <v>0</v>
      </c>
      <c r="K599" s="91">
        <f t="shared" si="87"/>
        <v>0.66666666666666663</v>
      </c>
      <c r="L599" s="91">
        <f t="shared" si="88"/>
        <v>4.375</v>
      </c>
      <c r="M599" s="29">
        <f t="shared" si="89"/>
        <v>20</v>
      </c>
      <c r="N599" s="92">
        <f t="shared" si="90"/>
        <v>0</v>
      </c>
      <c r="O599" s="104">
        <f t="shared" si="73"/>
        <v>1.016</v>
      </c>
      <c r="P599" s="105">
        <f t="shared" si="91"/>
        <v>0</v>
      </c>
    </row>
    <row r="600" spans="2:16" x14ac:dyDescent="0.25">
      <c r="B600" s="88" t="str">
        <f t="shared" si="84"/>
        <v>Fazenda Altenor</v>
      </c>
      <c r="C600" s="106">
        <f t="shared" si="92"/>
        <v>2020</v>
      </c>
      <c r="D600" s="101">
        <v>44158</v>
      </c>
      <c r="E600" s="102"/>
      <c r="F600" s="103"/>
      <c r="G600" s="103"/>
      <c r="H600" s="103"/>
      <c r="I600" s="90">
        <f t="shared" si="86"/>
        <v>0</v>
      </c>
      <c r="J600" s="90">
        <f t="shared" si="85"/>
        <v>0</v>
      </c>
      <c r="K600" s="91">
        <f t="shared" si="87"/>
        <v>0.66666666666666663</v>
      </c>
      <c r="L600" s="91">
        <f t="shared" si="88"/>
        <v>4.375</v>
      </c>
      <c r="M600" s="29">
        <f t="shared" si="89"/>
        <v>20</v>
      </c>
      <c r="N600" s="92">
        <f t="shared" si="90"/>
        <v>0</v>
      </c>
      <c r="O600" s="104">
        <f t="shared" si="73"/>
        <v>1.016</v>
      </c>
      <c r="P600" s="105">
        <f t="shared" si="91"/>
        <v>0</v>
      </c>
    </row>
    <row r="601" spans="2:16" x14ac:dyDescent="0.25">
      <c r="B601" s="88" t="str">
        <f t="shared" si="84"/>
        <v>Fazenda Altenor</v>
      </c>
      <c r="C601" s="106">
        <f t="shared" si="92"/>
        <v>2020</v>
      </c>
      <c r="D601" s="101">
        <v>44159</v>
      </c>
      <c r="E601" s="102"/>
      <c r="F601" s="103"/>
      <c r="G601" s="103"/>
      <c r="H601" s="103"/>
      <c r="I601" s="90">
        <f t="shared" si="86"/>
        <v>0</v>
      </c>
      <c r="J601" s="90">
        <f t="shared" si="85"/>
        <v>0</v>
      </c>
      <c r="K601" s="91">
        <f t="shared" si="87"/>
        <v>0.66666666666666663</v>
      </c>
      <c r="L601" s="91">
        <f t="shared" si="88"/>
        <v>4.375</v>
      </c>
      <c r="M601" s="29">
        <f t="shared" si="89"/>
        <v>20</v>
      </c>
      <c r="N601" s="92">
        <f t="shared" si="90"/>
        <v>0</v>
      </c>
      <c r="O601" s="104">
        <f t="shared" si="73"/>
        <v>1.016</v>
      </c>
      <c r="P601" s="105">
        <f t="shared" si="91"/>
        <v>0</v>
      </c>
    </row>
    <row r="602" spans="2:16" x14ac:dyDescent="0.25">
      <c r="B602" s="88" t="str">
        <f t="shared" si="84"/>
        <v>Fazenda Altenor</v>
      </c>
      <c r="C602" s="106">
        <f t="shared" si="92"/>
        <v>2020</v>
      </c>
      <c r="D602" s="101">
        <v>44160</v>
      </c>
      <c r="E602" s="102"/>
      <c r="F602" s="103"/>
      <c r="G602" s="103"/>
      <c r="H602" s="103"/>
      <c r="I602" s="90">
        <f t="shared" si="86"/>
        <v>0</v>
      </c>
      <c r="J602" s="90">
        <f t="shared" si="85"/>
        <v>0</v>
      </c>
      <c r="K602" s="91">
        <f t="shared" si="87"/>
        <v>0.66666666666666663</v>
      </c>
      <c r="L602" s="91">
        <f t="shared" si="88"/>
        <v>4.375</v>
      </c>
      <c r="M602" s="29">
        <f t="shared" si="89"/>
        <v>20</v>
      </c>
      <c r="N602" s="92">
        <f t="shared" si="90"/>
        <v>0</v>
      </c>
      <c r="O602" s="104">
        <f t="shared" si="73"/>
        <v>1.016</v>
      </c>
      <c r="P602" s="105">
        <f t="shared" si="91"/>
        <v>0</v>
      </c>
    </row>
    <row r="603" spans="2:16" x14ac:dyDescent="0.25">
      <c r="B603" s="88" t="str">
        <f t="shared" si="84"/>
        <v>Fazenda Altenor</v>
      </c>
      <c r="C603" s="106">
        <f t="shared" si="92"/>
        <v>2020</v>
      </c>
      <c r="D603" s="101">
        <v>44161</v>
      </c>
      <c r="E603" s="102"/>
      <c r="F603" s="103"/>
      <c r="G603" s="103"/>
      <c r="H603" s="103"/>
      <c r="I603" s="90">
        <f t="shared" si="86"/>
        <v>0</v>
      </c>
      <c r="J603" s="90">
        <f t="shared" si="85"/>
        <v>0</v>
      </c>
      <c r="K603" s="91">
        <f t="shared" si="87"/>
        <v>0.66666666666666663</v>
      </c>
      <c r="L603" s="91">
        <f t="shared" si="88"/>
        <v>4.375</v>
      </c>
      <c r="M603" s="29">
        <f t="shared" si="89"/>
        <v>20</v>
      </c>
      <c r="N603" s="92">
        <f t="shared" si="90"/>
        <v>0</v>
      </c>
      <c r="O603" s="104">
        <f t="shared" si="73"/>
        <v>1.016</v>
      </c>
      <c r="P603" s="105">
        <f t="shared" si="91"/>
        <v>0</v>
      </c>
    </row>
    <row r="604" spans="2:16" x14ac:dyDescent="0.25">
      <c r="B604" s="88" t="str">
        <f t="shared" ref="B604:B637" si="93">$B$5</f>
        <v>Fazenda Altenor</v>
      </c>
      <c r="C604" s="106">
        <f t="shared" si="92"/>
        <v>2020</v>
      </c>
      <c r="D604" s="101">
        <v>44162</v>
      </c>
      <c r="E604" s="102"/>
      <c r="F604" s="103"/>
      <c r="G604" s="103"/>
      <c r="H604" s="103"/>
      <c r="I604" s="90">
        <f t="shared" si="86"/>
        <v>0</v>
      </c>
      <c r="J604" s="90">
        <f t="shared" ref="J604:J637" si="94">((H604-G604)-INT($D$20))*24</f>
        <v>0</v>
      </c>
      <c r="K604" s="91">
        <f t="shared" si="87"/>
        <v>0.66666666666666663</v>
      </c>
      <c r="L604" s="91">
        <f t="shared" si="88"/>
        <v>4.375</v>
      </c>
      <c r="M604" s="29">
        <f t="shared" si="89"/>
        <v>20</v>
      </c>
      <c r="N604" s="92">
        <f t="shared" si="90"/>
        <v>0</v>
      </c>
      <c r="O604" s="104">
        <f t="shared" si="73"/>
        <v>1.016</v>
      </c>
      <c r="P604" s="105">
        <f t="shared" si="91"/>
        <v>0</v>
      </c>
    </row>
    <row r="605" spans="2:16" x14ac:dyDescent="0.25">
      <c r="B605" s="88" t="str">
        <f t="shared" si="93"/>
        <v>Fazenda Altenor</v>
      </c>
      <c r="C605" s="106">
        <f t="shared" si="92"/>
        <v>2020</v>
      </c>
      <c r="D605" s="101">
        <v>44163</v>
      </c>
      <c r="E605" s="102"/>
      <c r="F605" s="103"/>
      <c r="G605" s="103"/>
      <c r="H605" s="103"/>
      <c r="I605" s="90">
        <f t="shared" si="86"/>
        <v>0</v>
      </c>
      <c r="J605" s="90">
        <f t="shared" si="94"/>
        <v>0</v>
      </c>
      <c r="K605" s="91">
        <f t="shared" si="87"/>
        <v>0.66666666666666663</v>
      </c>
      <c r="L605" s="91">
        <f t="shared" si="88"/>
        <v>4.375</v>
      </c>
      <c r="M605" s="29">
        <f t="shared" si="89"/>
        <v>20</v>
      </c>
      <c r="N605" s="92">
        <f t="shared" si="90"/>
        <v>0</v>
      </c>
      <c r="O605" s="104">
        <f t="shared" si="73"/>
        <v>1.016</v>
      </c>
      <c r="P605" s="105">
        <f t="shared" si="91"/>
        <v>0</v>
      </c>
    </row>
    <row r="606" spans="2:16" x14ac:dyDescent="0.25">
      <c r="B606" s="88" t="str">
        <f t="shared" si="93"/>
        <v>Fazenda Altenor</v>
      </c>
      <c r="C606" s="106">
        <f t="shared" si="92"/>
        <v>2020</v>
      </c>
      <c r="D606" s="101">
        <v>44164</v>
      </c>
      <c r="E606" s="102"/>
      <c r="F606" s="103"/>
      <c r="G606" s="103"/>
      <c r="H606" s="103"/>
      <c r="I606" s="90">
        <f t="shared" ref="I606:I637" si="95">((F606-E606)-INT($D$20))*24</f>
        <v>0</v>
      </c>
      <c r="J606" s="90">
        <f t="shared" si="94"/>
        <v>0</v>
      </c>
      <c r="K606" s="91">
        <f t="shared" ref="K606:K637" si="96">VLOOKUP(B606,$B$5:$J$17,5,FALSE)</f>
        <v>0.66666666666666663</v>
      </c>
      <c r="L606" s="91">
        <f t="shared" ref="L606:L637" si="97">VLOOKUP(B606,$B$5:$J$17,6,FALSE)</f>
        <v>4.375</v>
      </c>
      <c r="M606" s="29">
        <f t="shared" ref="M606:M637" si="98">VLOOKUP(B606,$I$5:$J$17,2,FALSE)</f>
        <v>20</v>
      </c>
      <c r="N606" s="92">
        <f t="shared" ref="N606:N637" si="99">I606</f>
        <v>0</v>
      </c>
      <c r="O606" s="104">
        <f t="shared" si="73"/>
        <v>1.016</v>
      </c>
      <c r="P606" s="105">
        <f t="shared" ref="P606:P637" si="100">M606*N606*O606*0.7</f>
        <v>0</v>
      </c>
    </row>
    <row r="607" spans="2:16" x14ac:dyDescent="0.25">
      <c r="B607" s="88" t="str">
        <f t="shared" si="93"/>
        <v>Fazenda Altenor</v>
      </c>
      <c r="C607" s="106">
        <f t="shared" si="92"/>
        <v>2020</v>
      </c>
      <c r="D607" s="101">
        <v>44165</v>
      </c>
      <c r="E607" s="102"/>
      <c r="F607" s="103"/>
      <c r="G607" s="103"/>
      <c r="H607" s="103"/>
      <c r="I607" s="90">
        <f t="shared" si="95"/>
        <v>0</v>
      </c>
      <c r="J607" s="90">
        <f t="shared" si="94"/>
        <v>0</v>
      </c>
      <c r="K607" s="91">
        <f t="shared" si="96"/>
        <v>0.66666666666666663</v>
      </c>
      <c r="L607" s="91">
        <f t="shared" si="97"/>
        <v>4.375</v>
      </c>
      <c r="M607" s="29">
        <f t="shared" si="98"/>
        <v>20</v>
      </c>
      <c r="N607" s="92">
        <f t="shared" si="99"/>
        <v>0</v>
      </c>
      <c r="O607" s="104">
        <f t="shared" si="73"/>
        <v>1.016</v>
      </c>
      <c r="P607" s="105">
        <f t="shared" si="100"/>
        <v>0</v>
      </c>
    </row>
    <row r="608" spans="2:16" x14ac:dyDescent="0.25">
      <c r="B608" s="88" t="str">
        <f t="shared" si="93"/>
        <v>Fazenda Altenor</v>
      </c>
      <c r="C608" s="106">
        <f t="shared" si="92"/>
        <v>2020</v>
      </c>
      <c r="D608" s="101">
        <v>44166</v>
      </c>
      <c r="E608" s="102"/>
      <c r="F608" s="103"/>
      <c r="G608" s="103"/>
      <c r="H608" s="103"/>
      <c r="I608" s="90">
        <f t="shared" si="95"/>
        <v>0</v>
      </c>
      <c r="J608" s="90">
        <f t="shared" si="94"/>
        <v>0</v>
      </c>
      <c r="K608" s="91">
        <f t="shared" si="96"/>
        <v>0.66666666666666663</v>
      </c>
      <c r="L608" s="91">
        <f t="shared" si="97"/>
        <v>4.375</v>
      </c>
      <c r="M608" s="29">
        <f t="shared" si="98"/>
        <v>20</v>
      </c>
      <c r="N608" s="92">
        <f t="shared" si="99"/>
        <v>0</v>
      </c>
      <c r="O608" s="104">
        <f t="shared" si="73"/>
        <v>1.016</v>
      </c>
      <c r="P608" s="105">
        <f t="shared" si="100"/>
        <v>0</v>
      </c>
    </row>
    <row r="609" spans="2:16" x14ac:dyDescent="0.25">
      <c r="B609" s="88" t="str">
        <f t="shared" si="93"/>
        <v>Fazenda Altenor</v>
      </c>
      <c r="C609" s="106">
        <f t="shared" si="92"/>
        <v>2020</v>
      </c>
      <c r="D609" s="101">
        <v>44167</v>
      </c>
      <c r="E609" s="102"/>
      <c r="F609" s="103"/>
      <c r="G609" s="103"/>
      <c r="H609" s="103"/>
      <c r="I609" s="90">
        <f t="shared" si="95"/>
        <v>0</v>
      </c>
      <c r="J609" s="90">
        <f t="shared" si="94"/>
        <v>0</v>
      </c>
      <c r="K609" s="91">
        <f t="shared" si="96"/>
        <v>0.66666666666666663</v>
      </c>
      <c r="L609" s="91">
        <f t="shared" si="97"/>
        <v>4.375</v>
      </c>
      <c r="M609" s="29">
        <f t="shared" si="98"/>
        <v>20</v>
      </c>
      <c r="N609" s="92">
        <f t="shared" si="99"/>
        <v>0</v>
      </c>
      <c r="O609" s="104">
        <f t="shared" si="73"/>
        <v>1.016</v>
      </c>
      <c r="P609" s="105">
        <f t="shared" si="100"/>
        <v>0</v>
      </c>
    </row>
    <row r="610" spans="2:16" x14ac:dyDescent="0.25">
      <c r="B610" s="88" t="str">
        <f t="shared" si="93"/>
        <v>Fazenda Altenor</v>
      </c>
      <c r="C610" s="106">
        <f t="shared" si="92"/>
        <v>2020</v>
      </c>
      <c r="D610" s="101">
        <v>44168</v>
      </c>
      <c r="E610" s="102"/>
      <c r="F610" s="103"/>
      <c r="G610" s="103"/>
      <c r="H610" s="103"/>
      <c r="I610" s="90">
        <f t="shared" si="95"/>
        <v>0</v>
      </c>
      <c r="J610" s="90">
        <f t="shared" si="94"/>
        <v>0</v>
      </c>
      <c r="K610" s="91">
        <f t="shared" si="96"/>
        <v>0.66666666666666663</v>
      </c>
      <c r="L610" s="91">
        <f t="shared" si="97"/>
        <v>4.375</v>
      </c>
      <c r="M610" s="29">
        <f t="shared" si="98"/>
        <v>20</v>
      </c>
      <c r="N610" s="92">
        <f t="shared" si="99"/>
        <v>0</v>
      </c>
      <c r="O610" s="104">
        <f t="shared" si="73"/>
        <v>1.016</v>
      </c>
      <c r="P610" s="105">
        <f t="shared" si="100"/>
        <v>0</v>
      </c>
    </row>
    <row r="611" spans="2:16" x14ac:dyDescent="0.25">
      <c r="B611" s="88" t="str">
        <f t="shared" si="93"/>
        <v>Fazenda Altenor</v>
      </c>
      <c r="C611" s="106">
        <f t="shared" si="92"/>
        <v>2020</v>
      </c>
      <c r="D611" s="101">
        <v>44169</v>
      </c>
      <c r="E611" s="102"/>
      <c r="F611" s="103"/>
      <c r="G611" s="103"/>
      <c r="H611" s="103"/>
      <c r="I611" s="90">
        <f t="shared" si="95"/>
        <v>0</v>
      </c>
      <c r="J611" s="90">
        <f t="shared" si="94"/>
        <v>0</v>
      </c>
      <c r="K611" s="91">
        <f t="shared" si="96"/>
        <v>0.66666666666666663</v>
      </c>
      <c r="L611" s="91">
        <f t="shared" si="97"/>
        <v>4.375</v>
      </c>
      <c r="M611" s="29">
        <f t="shared" si="98"/>
        <v>20</v>
      </c>
      <c r="N611" s="92">
        <f t="shared" si="99"/>
        <v>0</v>
      </c>
      <c r="O611" s="104">
        <f t="shared" si="73"/>
        <v>1.016</v>
      </c>
      <c r="P611" s="105">
        <f t="shared" si="100"/>
        <v>0</v>
      </c>
    </row>
    <row r="612" spans="2:16" x14ac:dyDescent="0.25">
      <c r="B612" s="88" t="str">
        <f t="shared" si="93"/>
        <v>Fazenda Altenor</v>
      </c>
      <c r="C612" s="106">
        <f t="shared" si="92"/>
        <v>2020</v>
      </c>
      <c r="D612" s="101">
        <v>44170</v>
      </c>
      <c r="E612" s="102"/>
      <c r="F612" s="103"/>
      <c r="G612" s="103"/>
      <c r="H612" s="103"/>
      <c r="I612" s="90">
        <f t="shared" si="95"/>
        <v>0</v>
      </c>
      <c r="J612" s="90">
        <f t="shared" si="94"/>
        <v>0</v>
      </c>
      <c r="K612" s="91">
        <f t="shared" si="96"/>
        <v>0.66666666666666663</v>
      </c>
      <c r="L612" s="91">
        <f t="shared" si="97"/>
        <v>4.375</v>
      </c>
      <c r="M612" s="29">
        <f t="shared" si="98"/>
        <v>20</v>
      </c>
      <c r="N612" s="92">
        <f t="shared" si="99"/>
        <v>0</v>
      </c>
      <c r="O612" s="104">
        <f t="shared" si="73"/>
        <v>1.016</v>
      </c>
      <c r="P612" s="105">
        <f t="shared" si="100"/>
        <v>0</v>
      </c>
    </row>
    <row r="613" spans="2:16" x14ac:dyDescent="0.25">
      <c r="B613" s="88" t="str">
        <f t="shared" si="93"/>
        <v>Fazenda Altenor</v>
      </c>
      <c r="C613" s="106">
        <f t="shared" si="92"/>
        <v>2020</v>
      </c>
      <c r="D613" s="101">
        <v>44171</v>
      </c>
      <c r="E613" s="102"/>
      <c r="F613" s="103"/>
      <c r="G613" s="103"/>
      <c r="H613" s="103"/>
      <c r="I613" s="90">
        <f t="shared" si="95"/>
        <v>0</v>
      </c>
      <c r="J613" s="90">
        <f t="shared" si="94"/>
        <v>0</v>
      </c>
      <c r="K613" s="91">
        <f t="shared" si="96"/>
        <v>0.66666666666666663</v>
      </c>
      <c r="L613" s="91">
        <f t="shared" si="97"/>
        <v>4.375</v>
      </c>
      <c r="M613" s="29">
        <f t="shared" si="98"/>
        <v>20</v>
      </c>
      <c r="N613" s="92">
        <f t="shared" si="99"/>
        <v>0</v>
      </c>
      <c r="O613" s="104">
        <f t="shared" si="73"/>
        <v>1.016</v>
      </c>
      <c r="P613" s="105">
        <f t="shared" si="100"/>
        <v>0</v>
      </c>
    </row>
    <row r="614" spans="2:16" x14ac:dyDescent="0.25">
      <c r="B614" s="88" t="str">
        <f t="shared" si="93"/>
        <v>Fazenda Altenor</v>
      </c>
      <c r="C614" s="106">
        <f t="shared" si="92"/>
        <v>2020</v>
      </c>
      <c r="D614" s="101">
        <v>44172</v>
      </c>
      <c r="E614" s="102"/>
      <c r="F614" s="103"/>
      <c r="G614" s="103"/>
      <c r="H614" s="103"/>
      <c r="I614" s="90">
        <f t="shared" si="95"/>
        <v>0</v>
      </c>
      <c r="J614" s="90">
        <f t="shared" si="94"/>
        <v>0</v>
      </c>
      <c r="K614" s="91">
        <f t="shared" si="96"/>
        <v>0.66666666666666663</v>
      </c>
      <c r="L614" s="91">
        <f t="shared" si="97"/>
        <v>4.375</v>
      </c>
      <c r="M614" s="29">
        <f t="shared" si="98"/>
        <v>20</v>
      </c>
      <c r="N614" s="92">
        <f t="shared" si="99"/>
        <v>0</v>
      </c>
      <c r="O614" s="104">
        <f t="shared" si="73"/>
        <v>1.016</v>
      </c>
      <c r="P614" s="105">
        <f t="shared" si="100"/>
        <v>0</v>
      </c>
    </row>
    <row r="615" spans="2:16" x14ac:dyDescent="0.25">
      <c r="B615" s="88" t="str">
        <f t="shared" si="93"/>
        <v>Fazenda Altenor</v>
      </c>
      <c r="C615" s="106">
        <f t="shared" si="92"/>
        <v>2020</v>
      </c>
      <c r="D615" s="101">
        <v>44173</v>
      </c>
      <c r="E615" s="102"/>
      <c r="F615" s="103"/>
      <c r="G615" s="103"/>
      <c r="H615" s="103"/>
      <c r="I615" s="90">
        <f t="shared" si="95"/>
        <v>0</v>
      </c>
      <c r="J615" s="90">
        <f t="shared" si="94"/>
        <v>0</v>
      </c>
      <c r="K615" s="91">
        <f t="shared" si="96"/>
        <v>0.66666666666666663</v>
      </c>
      <c r="L615" s="91">
        <f t="shared" si="97"/>
        <v>4.375</v>
      </c>
      <c r="M615" s="29">
        <f t="shared" si="98"/>
        <v>20</v>
      </c>
      <c r="N615" s="92">
        <f t="shared" si="99"/>
        <v>0</v>
      </c>
      <c r="O615" s="104">
        <f t="shared" si="73"/>
        <v>1.016</v>
      </c>
      <c r="P615" s="105">
        <f t="shared" si="100"/>
        <v>0</v>
      </c>
    </row>
    <row r="616" spans="2:16" x14ac:dyDescent="0.25">
      <c r="B616" s="88" t="str">
        <f t="shared" si="93"/>
        <v>Fazenda Altenor</v>
      </c>
      <c r="C616" s="106">
        <f t="shared" si="92"/>
        <v>2020</v>
      </c>
      <c r="D616" s="101">
        <v>44174</v>
      </c>
      <c r="E616" s="102"/>
      <c r="F616" s="103"/>
      <c r="G616" s="103"/>
      <c r="H616" s="103"/>
      <c r="I616" s="90">
        <f t="shared" si="95"/>
        <v>0</v>
      </c>
      <c r="J616" s="90">
        <f t="shared" si="94"/>
        <v>0</v>
      </c>
      <c r="K616" s="91">
        <f t="shared" si="96"/>
        <v>0.66666666666666663</v>
      </c>
      <c r="L616" s="91">
        <f t="shared" si="97"/>
        <v>4.375</v>
      </c>
      <c r="M616" s="29">
        <f t="shared" si="98"/>
        <v>20</v>
      </c>
      <c r="N616" s="92">
        <f t="shared" si="99"/>
        <v>0</v>
      </c>
      <c r="O616" s="104">
        <f t="shared" si="73"/>
        <v>1.016</v>
      </c>
      <c r="P616" s="105">
        <f t="shared" si="100"/>
        <v>0</v>
      </c>
    </row>
    <row r="617" spans="2:16" x14ac:dyDescent="0.25">
      <c r="B617" s="88" t="str">
        <f t="shared" si="93"/>
        <v>Fazenda Altenor</v>
      </c>
      <c r="C617" s="106">
        <f t="shared" si="92"/>
        <v>2020</v>
      </c>
      <c r="D617" s="101">
        <v>44175</v>
      </c>
      <c r="E617" s="102"/>
      <c r="F617" s="103"/>
      <c r="G617" s="103"/>
      <c r="H617" s="103"/>
      <c r="I617" s="90">
        <f t="shared" si="95"/>
        <v>0</v>
      </c>
      <c r="J617" s="90">
        <f t="shared" si="94"/>
        <v>0</v>
      </c>
      <c r="K617" s="91">
        <f t="shared" si="96"/>
        <v>0.66666666666666663</v>
      </c>
      <c r="L617" s="91">
        <f t="shared" si="97"/>
        <v>4.375</v>
      </c>
      <c r="M617" s="29">
        <f t="shared" si="98"/>
        <v>20</v>
      </c>
      <c r="N617" s="92">
        <f t="shared" si="99"/>
        <v>0</v>
      </c>
      <c r="O617" s="104">
        <f t="shared" si="73"/>
        <v>1.016</v>
      </c>
      <c r="P617" s="105">
        <f t="shared" si="100"/>
        <v>0</v>
      </c>
    </row>
    <row r="618" spans="2:16" x14ac:dyDescent="0.25">
      <c r="B618" s="88" t="str">
        <f t="shared" si="93"/>
        <v>Fazenda Altenor</v>
      </c>
      <c r="C618" s="106">
        <f t="shared" si="92"/>
        <v>2020</v>
      </c>
      <c r="D618" s="101">
        <v>44176</v>
      </c>
      <c r="E618" s="102"/>
      <c r="F618" s="103"/>
      <c r="G618" s="103"/>
      <c r="H618" s="103"/>
      <c r="I618" s="90">
        <f t="shared" si="95"/>
        <v>0</v>
      </c>
      <c r="J618" s="90">
        <f t="shared" si="94"/>
        <v>0</v>
      </c>
      <c r="K618" s="91">
        <f t="shared" si="96"/>
        <v>0.66666666666666663</v>
      </c>
      <c r="L618" s="91">
        <f t="shared" si="97"/>
        <v>4.375</v>
      </c>
      <c r="M618" s="29">
        <f t="shared" si="98"/>
        <v>20</v>
      </c>
      <c r="N618" s="92">
        <f t="shared" si="99"/>
        <v>0</v>
      </c>
      <c r="O618" s="104">
        <f t="shared" si="73"/>
        <v>1.016</v>
      </c>
      <c r="P618" s="105">
        <f t="shared" si="100"/>
        <v>0</v>
      </c>
    </row>
    <row r="619" spans="2:16" x14ac:dyDescent="0.25">
      <c r="B619" s="88" t="str">
        <f t="shared" si="93"/>
        <v>Fazenda Altenor</v>
      </c>
      <c r="C619" s="106">
        <f t="shared" si="92"/>
        <v>2020</v>
      </c>
      <c r="D619" s="101">
        <v>44177</v>
      </c>
      <c r="E619" s="102"/>
      <c r="F619" s="103"/>
      <c r="G619" s="103"/>
      <c r="H619" s="103"/>
      <c r="I619" s="90">
        <f t="shared" si="95"/>
        <v>0</v>
      </c>
      <c r="J619" s="90">
        <f t="shared" si="94"/>
        <v>0</v>
      </c>
      <c r="K619" s="91">
        <f t="shared" si="96"/>
        <v>0.66666666666666663</v>
      </c>
      <c r="L619" s="91">
        <f t="shared" si="97"/>
        <v>4.375</v>
      </c>
      <c r="M619" s="29">
        <f t="shared" si="98"/>
        <v>20</v>
      </c>
      <c r="N619" s="92">
        <f t="shared" si="99"/>
        <v>0</v>
      </c>
      <c r="O619" s="104">
        <f t="shared" si="73"/>
        <v>1.016</v>
      </c>
      <c r="P619" s="105">
        <f t="shared" si="100"/>
        <v>0</v>
      </c>
    </row>
    <row r="620" spans="2:16" x14ac:dyDescent="0.25">
      <c r="B620" s="88" t="str">
        <f t="shared" si="93"/>
        <v>Fazenda Altenor</v>
      </c>
      <c r="C620" s="106">
        <f t="shared" si="92"/>
        <v>2020</v>
      </c>
      <c r="D620" s="101">
        <v>44178</v>
      </c>
      <c r="E620" s="102"/>
      <c r="F620" s="103"/>
      <c r="G620" s="103"/>
      <c r="H620" s="103"/>
      <c r="I620" s="90">
        <f t="shared" si="95"/>
        <v>0</v>
      </c>
      <c r="J620" s="90">
        <f t="shared" si="94"/>
        <v>0</v>
      </c>
      <c r="K620" s="91">
        <f t="shared" si="96"/>
        <v>0.66666666666666663</v>
      </c>
      <c r="L620" s="91">
        <f t="shared" si="97"/>
        <v>4.375</v>
      </c>
      <c r="M620" s="29">
        <f t="shared" si="98"/>
        <v>20</v>
      </c>
      <c r="N620" s="92">
        <f t="shared" si="99"/>
        <v>0</v>
      </c>
      <c r="O620" s="104">
        <f t="shared" si="73"/>
        <v>1.016</v>
      </c>
      <c r="P620" s="105">
        <f t="shared" si="100"/>
        <v>0</v>
      </c>
    </row>
    <row r="621" spans="2:16" x14ac:dyDescent="0.25">
      <c r="B621" s="88" t="str">
        <f t="shared" si="93"/>
        <v>Fazenda Altenor</v>
      </c>
      <c r="C621" s="106">
        <f t="shared" si="92"/>
        <v>2020</v>
      </c>
      <c r="D621" s="101">
        <v>44179</v>
      </c>
      <c r="E621" s="102"/>
      <c r="F621" s="103"/>
      <c r="G621" s="103"/>
      <c r="H621" s="103"/>
      <c r="I621" s="90">
        <f t="shared" si="95"/>
        <v>0</v>
      </c>
      <c r="J621" s="90">
        <f t="shared" si="94"/>
        <v>0</v>
      </c>
      <c r="K621" s="91">
        <f t="shared" si="96"/>
        <v>0.66666666666666663</v>
      </c>
      <c r="L621" s="91">
        <f t="shared" si="97"/>
        <v>4.375</v>
      </c>
      <c r="M621" s="29">
        <f t="shared" si="98"/>
        <v>20</v>
      </c>
      <c r="N621" s="92">
        <f t="shared" si="99"/>
        <v>0</v>
      </c>
      <c r="O621" s="104">
        <f t="shared" si="73"/>
        <v>1.016</v>
      </c>
      <c r="P621" s="105">
        <f t="shared" si="100"/>
        <v>0</v>
      </c>
    </row>
    <row r="622" spans="2:16" x14ac:dyDescent="0.25">
      <c r="B622" s="88" t="str">
        <f t="shared" si="93"/>
        <v>Fazenda Altenor</v>
      </c>
      <c r="C622" s="106">
        <f t="shared" si="92"/>
        <v>2020</v>
      </c>
      <c r="D622" s="101">
        <v>44180</v>
      </c>
      <c r="E622" s="102"/>
      <c r="F622" s="103"/>
      <c r="G622" s="103"/>
      <c r="H622" s="103"/>
      <c r="I622" s="90">
        <f t="shared" si="95"/>
        <v>0</v>
      </c>
      <c r="J622" s="90">
        <f t="shared" si="94"/>
        <v>0</v>
      </c>
      <c r="K622" s="91">
        <f t="shared" si="96"/>
        <v>0.66666666666666663</v>
      </c>
      <c r="L622" s="91">
        <f t="shared" si="97"/>
        <v>4.375</v>
      </c>
      <c r="M622" s="29">
        <f t="shared" si="98"/>
        <v>20</v>
      </c>
      <c r="N622" s="92">
        <f t="shared" si="99"/>
        <v>0</v>
      </c>
      <c r="O622" s="104">
        <f t="shared" si="73"/>
        <v>1.016</v>
      </c>
      <c r="P622" s="105">
        <f t="shared" si="100"/>
        <v>0</v>
      </c>
    </row>
    <row r="623" spans="2:16" x14ac:dyDescent="0.25">
      <c r="B623" s="88" t="str">
        <f t="shared" si="93"/>
        <v>Fazenda Altenor</v>
      </c>
      <c r="C623" s="106">
        <f t="shared" si="92"/>
        <v>2020</v>
      </c>
      <c r="D623" s="101">
        <v>44181</v>
      </c>
      <c r="E623" s="102"/>
      <c r="F623" s="103"/>
      <c r="G623" s="103"/>
      <c r="H623" s="103"/>
      <c r="I623" s="90">
        <f t="shared" si="95"/>
        <v>0</v>
      </c>
      <c r="J623" s="90">
        <f t="shared" si="94"/>
        <v>0</v>
      </c>
      <c r="K623" s="91">
        <f t="shared" si="96"/>
        <v>0.66666666666666663</v>
      </c>
      <c r="L623" s="91">
        <f t="shared" si="97"/>
        <v>4.375</v>
      </c>
      <c r="M623" s="29">
        <f t="shared" si="98"/>
        <v>20</v>
      </c>
      <c r="N623" s="92">
        <f t="shared" si="99"/>
        <v>0</v>
      </c>
      <c r="O623" s="104">
        <f t="shared" si="73"/>
        <v>1.016</v>
      </c>
      <c r="P623" s="105">
        <f t="shared" si="100"/>
        <v>0</v>
      </c>
    </row>
    <row r="624" spans="2:16" x14ac:dyDescent="0.25">
      <c r="B624" s="88" t="str">
        <f t="shared" si="93"/>
        <v>Fazenda Altenor</v>
      </c>
      <c r="C624" s="106">
        <f t="shared" si="92"/>
        <v>2020</v>
      </c>
      <c r="D624" s="101">
        <v>44182</v>
      </c>
      <c r="E624" s="102"/>
      <c r="F624" s="103"/>
      <c r="G624" s="103"/>
      <c r="H624" s="103"/>
      <c r="I624" s="90">
        <f t="shared" si="95"/>
        <v>0</v>
      </c>
      <c r="J624" s="90">
        <f t="shared" si="94"/>
        <v>0</v>
      </c>
      <c r="K624" s="91">
        <f t="shared" si="96"/>
        <v>0.66666666666666663</v>
      </c>
      <c r="L624" s="91">
        <f t="shared" si="97"/>
        <v>4.375</v>
      </c>
      <c r="M624" s="29">
        <f t="shared" si="98"/>
        <v>20</v>
      </c>
      <c r="N624" s="92">
        <f t="shared" si="99"/>
        <v>0</v>
      </c>
      <c r="O624" s="104">
        <f t="shared" si="73"/>
        <v>1.016</v>
      </c>
      <c r="P624" s="105">
        <f t="shared" si="100"/>
        <v>0</v>
      </c>
    </row>
    <row r="625" spans="2:16" x14ac:dyDescent="0.25">
      <c r="B625" s="88" t="str">
        <f t="shared" si="93"/>
        <v>Fazenda Altenor</v>
      </c>
      <c r="C625" s="106">
        <f t="shared" si="92"/>
        <v>2020</v>
      </c>
      <c r="D625" s="101">
        <v>44183</v>
      </c>
      <c r="E625" s="102"/>
      <c r="F625" s="103"/>
      <c r="G625" s="103"/>
      <c r="H625" s="103"/>
      <c r="I625" s="90">
        <f t="shared" si="95"/>
        <v>0</v>
      </c>
      <c r="J625" s="90">
        <f t="shared" si="94"/>
        <v>0</v>
      </c>
      <c r="K625" s="91">
        <f t="shared" si="96"/>
        <v>0.66666666666666663</v>
      </c>
      <c r="L625" s="91">
        <f t="shared" si="97"/>
        <v>4.375</v>
      </c>
      <c r="M625" s="29">
        <f t="shared" si="98"/>
        <v>20</v>
      </c>
      <c r="N625" s="92">
        <f t="shared" si="99"/>
        <v>0</v>
      </c>
      <c r="O625" s="104">
        <f t="shared" si="73"/>
        <v>1.016</v>
      </c>
      <c r="P625" s="105">
        <f t="shared" si="100"/>
        <v>0</v>
      </c>
    </row>
    <row r="626" spans="2:16" x14ac:dyDescent="0.25">
      <c r="B626" s="88" t="str">
        <f t="shared" si="93"/>
        <v>Fazenda Altenor</v>
      </c>
      <c r="C626" s="106">
        <f t="shared" si="92"/>
        <v>2020</v>
      </c>
      <c r="D626" s="101">
        <v>44184</v>
      </c>
      <c r="E626" s="102"/>
      <c r="F626" s="103"/>
      <c r="G626" s="103"/>
      <c r="H626" s="103"/>
      <c r="I626" s="90">
        <f t="shared" si="95"/>
        <v>0</v>
      </c>
      <c r="J626" s="90">
        <f t="shared" si="94"/>
        <v>0</v>
      </c>
      <c r="K626" s="91">
        <f t="shared" si="96"/>
        <v>0.66666666666666663</v>
      </c>
      <c r="L626" s="91">
        <f t="shared" si="97"/>
        <v>4.375</v>
      </c>
      <c r="M626" s="29">
        <f t="shared" si="98"/>
        <v>20</v>
      </c>
      <c r="N626" s="92">
        <f t="shared" si="99"/>
        <v>0</v>
      </c>
      <c r="O626" s="104">
        <f t="shared" si="73"/>
        <v>1.016</v>
      </c>
      <c r="P626" s="105">
        <f t="shared" si="100"/>
        <v>0</v>
      </c>
    </row>
    <row r="627" spans="2:16" x14ac:dyDescent="0.25">
      <c r="B627" s="88" t="str">
        <f t="shared" si="93"/>
        <v>Fazenda Altenor</v>
      </c>
      <c r="C627" s="106">
        <f t="shared" si="92"/>
        <v>2020</v>
      </c>
      <c r="D627" s="101">
        <v>44185</v>
      </c>
      <c r="E627" s="102"/>
      <c r="F627" s="103"/>
      <c r="G627" s="103"/>
      <c r="H627" s="103"/>
      <c r="I627" s="90">
        <f t="shared" si="95"/>
        <v>0</v>
      </c>
      <c r="J627" s="90">
        <f t="shared" si="94"/>
        <v>0</v>
      </c>
      <c r="K627" s="91">
        <f t="shared" si="96"/>
        <v>0.66666666666666663</v>
      </c>
      <c r="L627" s="91">
        <f t="shared" si="97"/>
        <v>4.375</v>
      </c>
      <c r="M627" s="29">
        <f t="shared" si="98"/>
        <v>20</v>
      </c>
      <c r="N627" s="92">
        <f t="shared" si="99"/>
        <v>0</v>
      </c>
      <c r="O627" s="104">
        <f t="shared" si="73"/>
        <v>1.016</v>
      </c>
      <c r="P627" s="105">
        <f t="shared" si="100"/>
        <v>0</v>
      </c>
    </row>
    <row r="628" spans="2:16" x14ac:dyDescent="0.25">
      <c r="B628" s="88" t="str">
        <f t="shared" si="93"/>
        <v>Fazenda Altenor</v>
      </c>
      <c r="C628" s="106">
        <f t="shared" si="92"/>
        <v>2020</v>
      </c>
      <c r="D628" s="101">
        <v>44186</v>
      </c>
      <c r="E628" s="102"/>
      <c r="F628" s="103"/>
      <c r="G628" s="103"/>
      <c r="H628" s="103"/>
      <c r="I628" s="90">
        <f t="shared" si="95"/>
        <v>0</v>
      </c>
      <c r="J628" s="90">
        <f t="shared" si="94"/>
        <v>0</v>
      </c>
      <c r="K628" s="91">
        <f t="shared" si="96"/>
        <v>0.66666666666666663</v>
      </c>
      <c r="L628" s="91">
        <f t="shared" si="97"/>
        <v>4.375</v>
      </c>
      <c r="M628" s="29">
        <f t="shared" si="98"/>
        <v>20</v>
      </c>
      <c r="N628" s="92">
        <f t="shared" si="99"/>
        <v>0</v>
      </c>
      <c r="O628" s="104">
        <f t="shared" si="73"/>
        <v>1.016</v>
      </c>
      <c r="P628" s="105">
        <f t="shared" si="100"/>
        <v>0</v>
      </c>
    </row>
    <row r="629" spans="2:16" x14ac:dyDescent="0.25">
      <c r="B629" s="88" t="str">
        <f t="shared" si="93"/>
        <v>Fazenda Altenor</v>
      </c>
      <c r="C629" s="106">
        <f t="shared" si="92"/>
        <v>2020</v>
      </c>
      <c r="D629" s="101">
        <v>44187</v>
      </c>
      <c r="E629" s="102"/>
      <c r="F629" s="103"/>
      <c r="G629" s="103"/>
      <c r="H629" s="103"/>
      <c r="I629" s="90">
        <f t="shared" si="95"/>
        <v>0</v>
      </c>
      <c r="J629" s="90">
        <f t="shared" si="94"/>
        <v>0</v>
      </c>
      <c r="K629" s="91">
        <f t="shared" si="96"/>
        <v>0.66666666666666663</v>
      </c>
      <c r="L629" s="91">
        <f t="shared" si="97"/>
        <v>4.375</v>
      </c>
      <c r="M629" s="29">
        <f t="shared" si="98"/>
        <v>20</v>
      </c>
      <c r="N629" s="92">
        <f t="shared" si="99"/>
        <v>0</v>
      </c>
      <c r="O629" s="104">
        <f t="shared" si="73"/>
        <v>1.016</v>
      </c>
      <c r="P629" s="105">
        <f t="shared" si="100"/>
        <v>0</v>
      </c>
    </row>
    <row r="630" spans="2:16" x14ac:dyDescent="0.25">
      <c r="B630" s="88" t="str">
        <f t="shared" si="93"/>
        <v>Fazenda Altenor</v>
      </c>
      <c r="C630" s="106">
        <f t="shared" si="92"/>
        <v>2020</v>
      </c>
      <c r="D630" s="101">
        <v>44188</v>
      </c>
      <c r="E630" s="102"/>
      <c r="F630" s="103"/>
      <c r="G630" s="103"/>
      <c r="H630" s="103"/>
      <c r="I630" s="90">
        <f t="shared" si="95"/>
        <v>0</v>
      </c>
      <c r="J630" s="90">
        <f t="shared" si="94"/>
        <v>0</v>
      </c>
      <c r="K630" s="91">
        <f t="shared" si="96"/>
        <v>0.66666666666666663</v>
      </c>
      <c r="L630" s="91">
        <f t="shared" si="97"/>
        <v>4.375</v>
      </c>
      <c r="M630" s="29">
        <f t="shared" si="98"/>
        <v>20</v>
      </c>
      <c r="N630" s="92">
        <f t="shared" si="99"/>
        <v>0</v>
      </c>
      <c r="O630" s="104">
        <f t="shared" si="73"/>
        <v>1.016</v>
      </c>
      <c r="P630" s="105">
        <f t="shared" si="100"/>
        <v>0</v>
      </c>
    </row>
    <row r="631" spans="2:16" x14ac:dyDescent="0.25">
      <c r="B631" s="88" t="str">
        <f t="shared" si="93"/>
        <v>Fazenda Altenor</v>
      </c>
      <c r="C631" s="106">
        <f t="shared" ref="C631:C637" si="101">YEAR(D631)</f>
        <v>2020</v>
      </c>
      <c r="D631" s="101">
        <v>44189</v>
      </c>
      <c r="E631" s="102"/>
      <c r="F631" s="103"/>
      <c r="G631" s="103"/>
      <c r="H631" s="103"/>
      <c r="I631" s="90">
        <f t="shared" si="95"/>
        <v>0</v>
      </c>
      <c r="J631" s="90">
        <f t="shared" si="94"/>
        <v>0</v>
      </c>
      <c r="K631" s="91">
        <f t="shared" si="96"/>
        <v>0.66666666666666663</v>
      </c>
      <c r="L631" s="91">
        <f t="shared" si="97"/>
        <v>4.375</v>
      </c>
      <c r="M631" s="29">
        <f t="shared" si="98"/>
        <v>20</v>
      </c>
      <c r="N631" s="92">
        <f t="shared" si="99"/>
        <v>0</v>
      </c>
      <c r="O631" s="104">
        <f t="shared" si="73"/>
        <v>1.016</v>
      </c>
      <c r="P631" s="105">
        <f t="shared" si="100"/>
        <v>0</v>
      </c>
    </row>
    <row r="632" spans="2:16" x14ac:dyDescent="0.25">
      <c r="B632" s="88" t="str">
        <f t="shared" si="93"/>
        <v>Fazenda Altenor</v>
      </c>
      <c r="C632" s="106">
        <f t="shared" si="101"/>
        <v>2020</v>
      </c>
      <c r="D632" s="101">
        <v>44190</v>
      </c>
      <c r="E632" s="102"/>
      <c r="F632" s="103"/>
      <c r="G632" s="103"/>
      <c r="H632" s="103"/>
      <c r="I632" s="90">
        <f t="shared" si="95"/>
        <v>0</v>
      </c>
      <c r="J632" s="90">
        <f t="shared" si="94"/>
        <v>0</v>
      </c>
      <c r="K632" s="91">
        <f t="shared" si="96"/>
        <v>0.66666666666666663</v>
      </c>
      <c r="L632" s="91">
        <f t="shared" si="97"/>
        <v>4.375</v>
      </c>
      <c r="M632" s="29">
        <f t="shared" si="98"/>
        <v>20</v>
      </c>
      <c r="N632" s="92">
        <f t="shared" si="99"/>
        <v>0</v>
      </c>
      <c r="O632" s="104">
        <f t="shared" si="73"/>
        <v>1.016</v>
      </c>
      <c r="P632" s="105">
        <f t="shared" si="100"/>
        <v>0</v>
      </c>
    </row>
    <row r="633" spans="2:16" x14ac:dyDescent="0.25">
      <c r="B633" s="88" t="str">
        <f t="shared" si="93"/>
        <v>Fazenda Altenor</v>
      </c>
      <c r="C633" s="106">
        <f t="shared" si="101"/>
        <v>2020</v>
      </c>
      <c r="D633" s="101">
        <v>44191</v>
      </c>
      <c r="E633" s="102"/>
      <c r="F633" s="103"/>
      <c r="G633" s="103"/>
      <c r="H633" s="103"/>
      <c r="I633" s="90">
        <f t="shared" si="95"/>
        <v>0</v>
      </c>
      <c r="J633" s="90">
        <f t="shared" si="94"/>
        <v>0</v>
      </c>
      <c r="K633" s="91">
        <f t="shared" si="96"/>
        <v>0.66666666666666663</v>
      </c>
      <c r="L633" s="91">
        <f t="shared" si="97"/>
        <v>4.375</v>
      </c>
      <c r="M633" s="29">
        <f t="shared" si="98"/>
        <v>20</v>
      </c>
      <c r="N633" s="92">
        <f t="shared" si="99"/>
        <v>0</v>
      </c>
      <c r="O633" s="104">
        <f t="shared" si="73"/>
        <v>1.016</v>
      </c>
      <c r="P633" s="105">
        <f t="shared" si="100"/>
        <v>0</v>
      </c>
    </row>
    <row r="634" spans="2:16" x14ac:dyDescent="0.25">
      <c r="B634" s="88" t="str">
        <f t="shared" si="93"/>
        <v>Fazenda Altenor</v>
      </c>
      <c r="C634" s="106">
        <f t="shared" si="101"/>
        <v>2020</v>
      </c>
      <c r="D634" s="101">
        <v>44192</v>
      </c>
      <c r="E634" s="102"/>
      <c r="F634" s="103"/>
      <c r="G634" s="103"/>
      <c r="H634" s="103"/>
      <c r="I634" s="90">
        <f t="shared" si="95"/>
        <v>0</v>
      </c>
      <c r="J634" s="90">
        <f t="shared" si="94"/>
        <v>0</v>
      </c>
      <c r="K634" s="91">
        <f t="shared" si="96"/>
        <v>0.66666666666666663</v>
      </c>
      <c r="L634" s="91">
        <f t="shared" si="97"/>
        <v>4.375</v>
      </c>
      <c r="M634" s="29">
        <f t="shared" si="98"/>
        <v>20</v>
      </c>
      <c r="N634" s="92">
        <f t="shared" si="99"/>
        <v>0</v>
      </c>
      <c r="O634" s="104">
        <f t="shared" si="73"/>
        <v>1.016</v>
      </c>
      <c r="P634" s="105">
        <f t="shared" si="100"/>
        <v>0</v>
      </c>
    </row>
    <row r="635" spans="2:16" x14ac:dyDescent="0.25">
      <c r="B635" s="88" t="str">
        <f t="shared" si="93"/>
        <v>Fazenda Altenor</v>
      </c>
      <c r="C635" s="106">
        <f t="shared" si="101"/>
        <v>2020</v>
      </c>
      <c r="D635" s="101">
        <v>44193</v>
      </c>
      <c r="E635" s="102"/>
      <c r="F635" s="103"/>
      <c r="G635" s="103"/>
      <c r="H635" s="103"/>
      <c r="I635" s="90">
        <f t="shared" si="95"/>
        <v>0</v>
      </c>
      <c r="J635" s="90">
        <f t="shared" si="94"/>
        <v>0</v>
      </c>
      <c r="K635" s="91">
        <f t="shared" si="96"/>
        <v>0.66666666666666663</v>
      </c>
      <c r="L635" s="91">
        <f t="shared" si="97"/>
        <v>4.375</v>
      </c>
      <c r="M635" s="29">
        <f t="shared" si="98"/>
        <v>20</v>
      </c>
      <c r="N635" s="92">
        <f t="shared" si="99"/>
        <v>0</v>
      </c>
      <c r="O635" s="104">
        <f t="shared" si="73"/>
        <v>1.016</v>
      </c>
      <c r="P635" s="105">
        <f t="shared" si="100"/>
        <v>0</v>
      </c>
    </row>
    <row r="636" spans="2:16" x14ac:dyDescent="0.25">
      <c r="B636" s="88" t="str">
        <f t="shared" si="93"/>
        <v>Fazenda Altenor</v>
      </c>
      <c r="C636" s="106">
        <f t="shared" si="101"/>
        <v>2020</v>
      </c>
      <c r="D636" s="101">
        <v>44194</v>
      </c>
      <c r="E636" s="102"/>
      <c r="F636" s="103"/>
      <c r="G636" s="103"/>
      <c r="H636" s="103"/>
      <c r="I636" s="90">
        <f t="shared" si="95"/>
        <v>0</v>
      </c>
      <c r="J636" s="90">
        <f t="shared" si="94"/>
        <v>0</v>
      </c>
      <c r="K636" s="91">
        <f t="shared" si="96"/>
        <v>0.66666666666666663</v>
      </c>
      <c r="L636" s="91">
        <f t="shared" si="97"/>
        <v>4.375</v>
      </c>
      <c r="M636" s="29">
        <f t="shared" si="98"/>
        <v>20</v>
      </c>
      <c r="N636" s="92">
        <f t="shared" si="99"/>
        <v>0</v>
      </c>
      <c r="O636" s="104">
        <f t="shared" si="73"/>
        <v>1.016</v>
      </c>
      <c r="P636" s="105">
        <f t="shared" si="100"/>
        <v>0</v>
      </c>
    </row>
    <row r="637" spans="2:16" x14ac:dyDescent="0.25">
      <c r="B637" s="88" t="str">
        <f t="shared" si="93"/>
        <v>Fazenda Altenor</v>
      </c>
      <c r="C637" s="106">
        <f t="shared" si="101"/>
        <v>2020</v>
      </c>
      <c r="D637" s="101">
        <v>44195</v>
      </c>
      <c r="E637" s="102"/>
      <c r="F637" s="103"/>
      <c r="G637" s="103"/>
      <c r="H637" s="103"/>
      <c r="I637" s="90">
        <f t="shared" si="95"/>
        <v>0</v>
      </c>
      <c r="J637" s="90">
        <f t="shared" si="94"/>
        <v>0</v>
      </c>
      <c r="K637" s="91">
        <f t="shared" si="96"/>
        <v>0.66666666666666663</v>
      </c>
      <c r="L637" s="91">
        <f t="shared" si="97"/>
        <v>4.375</v>
      </c>
      <c r="M637" s="29">
        <f t="shared" si="98"/>
        <v>20</v>
      </c>
      <c r="N637" s="92">
        <f t="shared" si="99"/>
        <v>0</v>
      </c>
      <c r="O637" s="104">
        <f t="shared" si="73"/>
        <v>1.016</v>
      </c>
      <c r="P637" s="105">
        <f t="shared" si="100"/>
        <v>0</v>
      </c>
    </row>
    <row r="638" spans="2:16" x14ac:dyDescent="0.25">
      <c r="B638" s="88"/>
      <c r="C638" s="106"/>
      <c r="D638" s="101"/>
      <c r="E638" s="102"/>
      <c r="F638" s="103"/>
      <c r="G638" s="103"/>
      <c r="H638" s="103"/>
      <c r="I638" s="90"/>
      <c r="J638" s="90"/>
      <c r="K638" s="91"/>
      <c r="L638" s="91"/>
      <c r="M638" s="29"/>
      <c r="N638" s="92"/>
      <c r="O638" s="104"/>
      <c r="P638" s="105"/>
    </row>
    <row r="639" spans="2:16" ht="15" thickBot="1" x14ac:dyDescent="0.3">
      <c r="B639" s="97"/>
      <c r="C639" s="97"/>
      <c r="D639" s="97"/>
      <c r="E639" s="97"/>
      <c r="F639" s="97"/>
      <c r="G639" s="97"/>
      <c r="H639" s="97"/>
      <c r="I639" s="97"/>
      <c r="J639" s="97"/>
      <c r="K639" s="97"/>
      <c r="L639" s="97"/>
      <c r="M639" s="97"/>
      <c r="N639" s="97"/>
      <c r="O639" s="97"/>
      <c r="P639" s="97"/>
    </row>
    <row r="640" spans="2:16" ht="15" thickTop="1" x14ac:dyDescent="0.25">
      <c r="P640" s="96"/>
    </row>
    <row r="641" spans="2:16" x14ac:dyDescent="0.25">
      <c r="B641" s="178" t="s">
        <v>183</v>
      </c>
      <c r="C641" s="178"/>
      <c r="D641" s="178"/>
      <c r="E641" s="178"/>
      <c r="F641" s="178"/>
      <c r="G641" s="178"/>
      <c r="H641" s="178"/>
      <c r="I641" s="178"/>
      <c r="J641" s="178"/>
      <c r="K641" s="178"/>
      <c r="L641" s="178"/>
      <c r="M641" s="70"/>
      <c r="N641" s="70"/>
      <c r="O641" s="70"/>
      <c r="P641" s="70"/>
    </row>
    <row r="642" spans="2:16" ht="15.75" x14ac:dyDescent="0.25">
      <c r="B642" s="148" t="s">
        <v>17</v>
      </c>
      <c r="C642" s="148"/>
      <c r="D642" s="148" t="s">
        <v>218</v>
      </c>
      <c r="E642" s="148"/>
      <c r="F642" s="148"/>
      <c r="G642" s="148" t="s">
        <v>219</v>
      </c>
      <c r="H642" s="148"/>
      <c r="I642" s="148"/>
      <c r="J642" s="148" t="s">
        <v>220</v>
      </c>
      <c r="K642" s="148"/>
      <c r="L642" s="148"/>
    </row>
    <row r="643" spans="2:16" ht="71.25" x14ac:dyDescent="0.25">
      <c r="B643" s="148"/>
      <c r="C643" s="148"/>
      <c r="D643" s="107" t="s">
        <v>221</v>
      </c>
      <c r="E643" s="107" t="s">
        <v>222</v>
      </c>
      <c r="F643" s="107" t="s">
        <v>223</v>
      </c>
      <c r="G643" s="107" t="s">
        <v>224</v>
      </c>
      <c r="H643" s="107" t="s">
        <v>225</v>
      </c>
      <c r="I643" s="107" t="s">
        <v>226</v>
      </c>
      <c r="J643" s="107" t="s">
        <v>227</v>
      </c>
      <c r="K643" s="107" t="s">
        <v>228</v>
      </c>
      <c r="L643" s="107" t="s">
        <v>229</v>
      </c>
    </row>
    <row r="644" spans="2:16" x14ac:dyDescent="0.25">
      <c r="B644" s="180" t="s">
        <v>12</v>
      </c>
      <c r="C644" s="180"/>
      <c r="D644" s="68">
        <f>AVERAGE(I27:I638)</f>
        <v>0.45605564648117836</v>
      </c>
      <c r="E644" s="92">
        <f>VLOOKUP(B644,$B$5:$J$17,5,FALSE)</f>
        <v>0.66666666666666663</v>
      </c>
      <c r="F644" s="108">
        <f>LARGE(D644:E644,1)</f>
        <v>0.66666666666666663</v>
      </c>
      <c r="G644" s="68">
        <f>AVERAGE(J27:J638)</f>
        <v>0.9129296235679214</v>
      </c>
      <c r="H644" s="68">
        <f>VLOOKUP(B644,$B$5:$J$17,6,FALSE)</f>
        <v>4.375</v>
      </c>
      <c r="I644" s="109">
        <f>LARGE(G644:H644,1)</f>
        <v>4.375</v>
      </c>
      <c r="J644" s="68">
        <f>AVERAGE(P27:P638)</f>
        <v>6.4859108196721778</v>
      </c>
      <c r="K644" s="68">
        <f>O10</f>
        <v>6.0876727397260275</v>
      </c>
      <c r="L644" s="109">
        <f>LARGE(J644:K644,1)</f>
        <v>6.4859108196721778</v>
      </c>
    </row>
    <row r="1397" spans="17:18" x14ac:dyDescent="0.25">
      <c r="Q1397" s="70"/>
      <c r="R1397" s="70"/>
    </row>
    <row r="1398" spans="17:18" x14ac:dyDescent="0.25">
      <c r="Q1398" s="70"/>
      <c r="R1398" s="70"/>
    </row>
    <row r="1399" spans="17:18" x14ac:dyDescent="0.25">
      <c r="Q1399" s="70"/>
      <c r="R1399" s="70"/>
    </row>
    <row r="1400" spans="17:18" ht="15" customHeight="1" x14ac:dyDescent="0.25"/>
  </sheetData>
  <mergeCells count="41">
    <mergeCell ref="B644:C644"/>
    <mergeCell ref="J25:J26"/>
    <mergeCell ref="K25:K26"/>
    <mergeCell ref="L25:L26"/>
    <mergeCell ref="M25:P25"/>
    <mergeCell ref="B641:L641"/>
    <mergeCell ref="B642:C643"/>
    <mergeCell ref="D642:F642"/>
    <mergeCell ref="G642:I642"/>
    <mergeCell ref="J642:L642"/>
    <mergeCell ref="B25:B26"/>
    <mergeCell ref="C25:C26"/>
    <mergeCell ref="D25:D26"/>
    <mergeCell ref="E25:F25"/>
    <mergeCell ref="G25:H25"/>
    <mergeCell ref="I25:I26"/>
    <mergeCell ref="B24:P24"/>
    <mergeCell ref="L10:N10"/>
    <mergeCell ref="B11:C11"/>
    <mergeCell ref="B12:C12"/>
    <mergeCell ref="B13:C13"/>
    <mergeCell ref="B14:C14"/>
    <mergeCell ref="B15:C15"/>
    <mergeCell ref="B10:C10"/>
    <mergeCell ref="B16:C16"/>
    <mergeCell ref="B17:C17"/>
    <mergeCell ref="B19:C19"/>
    <mergeCell ref="B20:C20"/>
    <mergeCell ref="B21:C21"/>
    <mergeCell ref="B5:C5"/>
    <mergeCell ref="B6:C6"/>
    <mergeCell ref="B7:C7"/>
    <mergeCell ref="B8:C8"/>
    <mergeCell ref="B9:C9"/>
    <mergeCell ref="B1:O1"/>
    <mergeCell ref="B2:G2"/>
    <mergeCell ref="I2:J3"/>
    <mergeCell ref="L2:O3"/>
    <mergeCell ref="B3:C4"/>
    <mergeCell ref="D3:E3"/>
    <mergeCell ref="F3:G3"/>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695A-4BE8-4DC4-889B-B5CC0E8DDA30}">
  <sheetPr>
    <tabColor rgb="FFC2D7E0"/>
  </sheetPr>
  <dimension ref="B1:R36"/>
  <sheetViews>
    <sheetView showGridLines="0" zoomScale="80" zoomScaleNormal="80" workbookViewId="0">
      <selection activeCell="D28" sqref="D28:Q28"/>
    </sheetView>
  </sheetViews>
  <sheetFormatPr defaultRowHeight="15" x14ac:dyDescent="0.25"/>
  <cols>
    <col min="1" max="6" width="9.140625" style="110"/>
    <col min="7" max="7" width="12.140625" style="110" customWidth="1"/>
    <col min="8" max="9" width="9.140625" style="110"/>
    <col min="10" max="10" width="9.5703125" style="110" bestFit="1" customWidth="1"/>
    <col min="11" max="11" width="9.140625" style="110"/>
    <col min="12" max="12" width="10.28515625" style="110" bestFit="1" customWidth="1"/>
    <col min="13" max="16" width="9.140625" style="110"/>
    <col min="17" max="17" width="11.5703125" style="110" bestFit="1" customWidth="1"/>
    <col min="18" max="18" width="10.5703125" style="110" customWidth="1"/>
    <col min="19" max="262" width="9.140625" style="110"/>
    <col min="263" max="263" width="12.140625" style="110" customWidth="1"/>
    <col min="264" max="265" width="9.140625" style="110"/>
    <col min="266" max="266" width="9.5703125" style="110" bestFit="1" customWidth="1"/>
    <col min="267" max="267" width="9.140625" style="110"/>
    <col min="268" max="268" width="10.28515625" style="110" bestFit="1" customWidth="1"/>
    <col min="269" max="272" width="9.140625" style="110"/>
    <col min="273" max="273" width="11.5703125" style="110" bestFit="1" customWidth="1"/>
    <col min="274" max="274" width="10.5703125" style="110" customWidth="1"/>
    <col min="275" max="518" width="9.140625" style="110"/>
    <col min="519" max="519" width="12.140625" style="110" customWidth="1"/>
    <col min="520" max="521" width="9.140625" style="110"/>
    <col min="522" max="522" width="9.5703125" style="110" bestFit="1" customWidth="1"/>
    <col min="523" max="523" width="9.140625" style="110"/>
    <col min="524" max="524" width="10.28515625" style="110" bestFit="1" customWidth="1"/>
    <col min="525" max="528" width="9.140625" style="110"/>
    <col min="529" max="529" width="11.5703125" style="110" bestFit="1" customWidth="1"/>
    <col min="530" max="530" width="10.5703125" style="110" customWidth="1"/>
    <col min="531" max="774" width="9.140625" style="110"/>
    <col min="775" max="775" width="12.140625" style="110" customWidth="1"/>
    <col min="776" max="777" width="9.140625" style="110"/>
    <col min="778" max="778" width="9.5703125" style="110" bestFit="1" customWidth="1"/>
    <col min="779" max="779" width="9.140625" style="110"/>
    <col min="780" max="780" width="10.28515625" style="110" bestFit="1" customWidth="1"/>
    <col min="781" max="784" width="9.140625" style="110"/>
    <col min="785" max="785" width="11.5703125" style="110" bestFit="1" customWidth="1"/>
    <col min="786" max="786" width="10.5703125" style="110" customWidth="1"/>
    <col min="787" max="1030" width="9.140625" style="110"/>
    <col min="1031" max="1031" width="12.140625" style="110" customWidth="1"/>
    <col min="1032" max="1033" width="9.140625" style="110"/>
    <col min="1034" max="1034" width="9.5703125" style="110" bestFit="1" customWidth="1"/>
    <col min="1035" max="1035" width="9.140625" style="110"/>
    <col min="1036" max="1036" width="10.28515625" style="110" bestFit="1" customWidth="1"/>
    <col min="1037" max="1040" width="9.140625" style="110"/>
    <col min="1041" max="1041" width="11.5703125" style="110" bestFit="1" customWidth="1"/>
    <col min="1042" max="1042" width="10.5703125" style="110" customWidth="1"/>
    <col min="1043" max="1286" width="9.140625" style="110"/>
    <col min="1287" max="1287" width="12.140625" style="110" customWidth="1"/>
    <col min="1288" max="1289" width="9.140625" style="110"/>
    <col min="1290" max="1290" width="9.5703125" style="110" bestFit="1" customWidth="1"/>
    <col min="1291" max="1291" width="9.140625" style="110"/>
    <col min="1292" max="1292" width="10.28515625" style="110" bestFit="1" customWidth="1"/>
    <col min="1293" max="1296" width="9.140625" style="110"/>
    <col min="1297" max="1297" width="11.5703125" style="110" bestFit="1" customWidth="1"/>
    <col min="1298" max="1298" width="10.5703125" style="110" customWidth="1"/>
    <col min="1299" max="1542" width="9.140625" style="110"/>
    <col min="1543" max="1543" width="12.140625" style="110" customWidth="1"/>
    <col min="1544" max="1545" width="9.140625" style="110"/>
    <col min="1546" max="1546" width="9.5703125" style="110" bestFit="1" customWidth="1"/>
    <col min="1547" max="1547" width="9.140625" style="110"/>
    <col min="1548" max="1548" width="10.28515625" style="110" bestFit="1" customWidth="1"/>
    <col min="1549" max="1552" width="9.140625" style="110"/>
    <col min="1553" max="1553" width="11.5703125" style="110" bestFit="1" customWidth="1"/>
    <col min="1554" max="1554" width="10.5703125" style="110" customWidth="1"/>
    <col min="1555" max="1798" width="9.140625" style="110"/>
    <col min="1799" max="1799" width="12.140625" style="110" customWidth="1"/>
    <col min="1800" max="1801" width="9.140625" style="110"/>
    <col min="1802" max="1802" width="9.5703125" style="110" bestFit="1" customWidth="1"/>
    <col min="1803" max="1803" width="9.140625" style="110"/>
    <col min="1804" max="1804" width="10.28515625" style="110" bestFit="1" customWidth="1"/>
    <col min="1805" max="1808" width="9.140625" style="110"/>
    <col min="1809" max="1809" width="11.5703125" style="110" bestFit="1" customWidth="1"/>
    <col min="1810" max="1810" width="10.5703125" style="110" customWidth="1"/>
    <col min="1811" max="2054" width="9.140625" style="110"/>
    <col min="2055" max="2055" width="12.140625" style="110" customWidth="1"/>
    <col min="2056" max="2057" width="9.140625" style="110"/>
    <col min="2058" max="2058" width="9.5703125" style="110" bestFit="1" customWidth="1"/>
    <col min="2059" max="2059" width="9.140625" style="110"/>
    <col min="2060" max="2060" width="10.28515625" style="110" bestFit="1" customWidth="1"/>
    <col min="2061" max="2064" width="9.140625" style="110"/>
    <col min="2065" max="2065" width="11.5703125" style="110" bestFit="1" customWidth="1"/>
    <col min="2066" max="2066" width="10.5703125" style="110" customWidth="1"/>
    <col min="2067" max="2310" width="9.140625" style="110"/>
    <col min="2311" max="2311" width="12.140625" style="110" customWidth="1"/>
    <col min="2312" max="2313" width="9.140625" style="110"/>
    <col min="2314" max="2314" width="9.5703125" style="110" bestFit="1" customWidth="1"/>
    <col min="2315" max="2315" width="9.140625" style="110"/>
    <col min="2316" max="2316" width="10.28515625" style="110" bestFit="1" customWidth="1"/>
    <col min="2317" max="2320" width="9.140625" style="110"/>
    <col min="2321" max="2321" width="11.5703125" style="110" bestFit="1" customWidth="1"/>
    <col min="2322" max="2322" width="10.5703125" style="110" customWidth="1"/>
    <col min="2323" max="2566" width="9.140625" style="110"/>
    <col min="2567" max="2567" width="12.140625" style="110" customWidth="1"/>
    <col min="2568" max="2569" width="9.140625" style="110"/>
    <col min="2570" max="2570" width="9.5703125" style="110" bestFit="1" customWidth="1"/>
    <col min="2571" max="2571" width="9.140625" style="110"/>
    <col min="2572" max="2572" width="10.28515625" style="110" bestFit="1" customWidth="1"/>
    <col min="2573" max="2576" width="9.140625" style="110"/>
    <col min="2577" max="2577" width="11.5703125" style="110" bestFit="1" customWidth="1"/>
    <col min="2578" max="2578" width="10.5703125" style="110" customWidth="1"/>
    <col min="2579" max="2822" width="9.140625" style="110"/>
    <col min="2823" max="2823" width="12.140625" style="110" customWidth="1"/>
    <col min="2824" max="2825" width="9.140625" style="110"/>
    <col min="2826" max="2826" width="9.5703125" style="110" bestFit="1" customWidth="1"/>
    <col min="2827" max="2827" width="9.140625" style="110"/>
    <col min="2828" max="2828" width="10.28515625" style="110" bestFit="1" customWidth="1"/>
    <col min="2829" max="2832" width="9.140625" style="110"/>
    <col min="2833" max="2833" width="11.5703125" style="110" bestFit="1" customWidth="1"/>
    <col min="2834" max="2834" width="10.5703125" style="110" customWidth="1"/>
    <col min="2835" max="3078" width="9.140625" style="110"/>
    <col min="3079" max="3079" width="12.140625" style="110" customWidth="1"/>
    <col min="3080" max="3081" width="9.140625" style="110"/>
    <col min="3082" max="3082" width="9.5703125" style="110" bestFit="1" customWidth="1"/>
    <col min="3083" max="3083" width="9.140625" style="110"/>
    <col min="3084" max="3084" width="10.28515625" style="110" bestFit="1" customWidth="1"/>
    <col min="3085" max="3088" width="9.140625" style="110"/>
    <col min="3089" max="3089" width="11.5703125" style="110" bestFit="1" customWidth="1"/>
    <col min="3090" max="3090" width="10.5703125" style="110" customWidth="1"/>
    <col min="3091" max="3334" width="9.140625" style="110"/>
    <col min="3335" max="3335" width="12.140625" style="110" customWidth="1"/>
    <col min="3336" max="3337" width="9.140625" style="110"/>
    <col min="3338" max="3338" width="9.5703125" style="110" bestFit="1" customWidth="1"/>
    <col min="3339" max="3339" width="9.140625" style="110"/>
    <col min="3340" max="3340" width="10.28515625" style="110" bestFit="1" customWidth="1"/>
    <col min="3341" max="3344" width="9.140625" style="110"/>
    <col min="3345" max="3345" width="11.5703125" style="110" bestFit="1" customWidth="1"/>
    <col min="3346" max="3346" width="10.5703125" style="110" customWidth="1"/>
    <col min="3347" max="3590" width="9.140625" style="110"/>
    <col min="3591" max="3591" width="12.140625" style="110" customWidth="1"/>
    <col min="3592" max="3593" width="9.140625" style="110"/>
    <col min="3594" max="3594" width="9.5703125" style="110" bestFit="1" customWidth="1"/>
    <col min="3595" max="3595" width="9.140625" style="110"/>
    <col min="3596" max="3596" width="10.28515625" style="110" bestFit="1" customWidth="1"/>
    <col min="3597" max="3600" width="9.140625" style="110"/>
    <col min="3601" max="3601" width="11.5703125" style="110" bestFit="1" customWidth="1"/>
    <col min="3602" max="3602" width="10.5703125" style="110" customWidth="1"/>
    <col min="3603" max="3846" width="9.140625" style="110"/>
    <col min="3847" max="3847" width="12.140625" style="110" customWidth="1"/>
    <col min="3848" max="3849" width="9.140625" style="110"/>
    <col min="3850" max="3850" width="9.5703125" style="110" bestFit="1" customWidth="1"/>
    <col min="3851" max="3851" width="9.140625" style="110"/>
    <col min="3852" max="3852" width="10.28515625" style="110" bestFit="1" customWidth="1"/>
    <col min="3853" max="3856" width="9.140625" style="110"/>
    <col min="3857" max="3857" width="11.5703125" style="110" bestFit="1" customWidth="1"/>
    <col min="3858" max="3858" width="10.5703125" style="110" customWidth="1"/>
    <col min="3859" max="4102" width="9.140625" style="110"/>
    <col min="4103" max="4103" width="12.140625" style="110" customWidth="1"/>
    <col min="4104" max="4105" width="9.140625" style="110"/>
    <col min="4106" max="4106" width="9.5703125" style="110" bestFit="1" customWidth="1"/>
    <col min="4107" max="4107" width="9.140625" style="110"/>
    <col min="4108" max="4108" width="10.28515625" style="110" bestFit="1" customWidth="1"/>
    <col min="4109" max="4112" width="9.140625" style="110"/>
    <col min="4113" max="4113" width="11.5703125" style="110" bestFit="1" customWidth="1"/>
    <col min="4114" max="4114" width="10.5703125" style="110" customWidth="1"/>
    <col min="4115" max="4358" width="9.140625" style="110"/>
    <col min="4359" max="4359" width="12.140625" style="110" customWidth="1"/>
    <col min="4360" max="4361" width="9.140625" style="110"/>
    <col min="4362" max="4362" width="9.5703125" style="110" bestFit="1" customWidth="1"/>
    <col min="4363" max="4363" width="9.140625" style="110"/>
    <col min="4364" max="4364" width="10.28515625" style="110" bestFit="1" customWidth="1"/>
    <col min="4365" max="4368" width="9.140625" style="110"/>
    <col min="4369" max="4369" width="11.5703125" style="110" bestFit="1" customWidth="1"/>
    <col min="4370" max="4370" width="10.5703125" style="110" customWidth="1"/>
    <col min="4371" max="4614" width="9.140625" style="110"/>
    <col min="4615" max="4615" width="12.140625" style="110" customWidth="1"/>
    <col min="4616" max="4617" width="9.140625" style="110"/>
    <col min="4618" max="4618" width="9.5703125" style="110" bestFit="1" customWidth="1"/>
    <col min="4619" max="4619" width="9.140625" style="110"/>
    <col min="4620" max="4620" width="10.28515625" style="110" bestFit="1" customWidth="1"/>
    <col min="4621" max="4624" width="9.140625" style="110"/>
    <col min="4625" max="4625" width="11.5703125" style="110" bestFit="1" customWidth="1"/>
    <col min="4626" max="4626" width="10.5703125" style="110" customWidth="1"/>
    <col min="4627" max="4870" width="9.140625" style="110"/>
    <col min="4871" max="4871" width="12.140625" style="110" customWidth="1"/>
    <col min="4872" max="4873" width="9.140625" style="110"/>
    <col min="4874" max="4874" width="9.5703125" style="110" bestFit="1" customWidth="1"/>
    <col min="4875" max="4875" width="9.140625" style="110"/>
    <col min="4876" max="4876" width="10.28515625" style="110" bestFit="1" customWidth="1"/>
    <col min="4877" max="4880" width="9.140625" style="110"/>
    <col min="4881" max="4881" width="11.5703125" style="110" bestFit="1" customWidth="1"/>
    <col min="4882" max="4882" width="10.5703125" style="110" customWidth="1"/>
    <col min="4883" max="5126" width="9.140625" style="110"/>
    <col min="5127" max="5127" width="12.140625" style="110" customWidth="1"/>
    <col min="5128" max="5129" width="9.140625" style="110"/>
    <col min="5130" max="5130" width="9.5703125" style="110" bestFit="1" customWidth="1"/>
    <col min="5131" max="5131" width="9.140625" style="110"/>
    <col min="5132" max="5132" width="10.28515625" style="110" bestFit="1" customWidth="1"/>
    <col min="5133" max="5136" width="9.140625" style="110"/>
    <col min="5137" max="5137" width="11.5703125" style="110" bestFit="1" customWidth="1"/>
    <col min="5138" max="5138" width="10.5703125" style="110" customWidth="1"/>
    <col min="5139" max="5382" width="9.140625" style="110"/>
    <col min="5383" max="5383" width="12.140625" style="110" customWidth="1"/>
    <col min="5384" max="5385" width="9.140625" style="110"/>
    <col min="5386" max="5386" width="9.5703125" style="110" bestFit="1" customWidth="1"/>
    <col min="5387" max="5387" width="9.140625" style="110"/>
    <col min="5388" max="5388" width="10.28515625" style="110" bestFit="1" customWidth="1"/>
    <col min="5389" max="5392" width="9.140625" style="110"/>
    <col min="5393" max="5393" width="11.5703125" style="110" bestFit="1" customWidth="1"/>
    <col min="5394" max="5394" width="10.5703125" style="110" customWidth="1"/>
    <col min="5395" max="5638" width="9.140625" style="110"/>
    <col min="5639" max="5639" width="12.140625" style="110" customWidth="1"/>
    <col min="5640" max="5641" width="9.140625" style="110"/>
    <col min="5642" max="5642" width="9.5703125" style="110" bestFit="1" customWidth="1"/>
    <col min="5643" max="5643" width="9.140625" style="110"/>
    <col min="5644" max="5644" width="10.28515625" style="110" bestFit="1" customWidth="1"/>
    <col min="5645" max="5648" width="9.140625" style="110"/>
    <col min="5649" max="5649" width="11.5703125" style="110" bestFit="1" customWidth="1"/>
    <col min="5650" max="5650" width="10.5703125" style="110" customWidth="1"/>
    <col min="5651" max="5894" width="9.140625" style="110"/>
    <col min="5895" max="5895" width="12.140625" style="110" customWidth="1"/>
    <col min="5896" max="5897" width="9.140625" style="110"/>
    <col min="5898" max="5898" width="9.5703125" style="110" bestFit="1" customWidth="1"/>
    <col min="5899" max="5899" width="9.140625" style="110"/>
    <col min="5900" max="5900" width="10.28515625" style="110" bestFit="1" customWidth="1"/>
    <col min="5901" max="5904" width="9.140625" style="110"/>
    <col min="5905" max="5905" width="11.5703125" style="110" bestFit="1" customWidth="1"/>
    <col min="5906" max="5906" width="10.5703125" style="110" customWidth="1"/>
    <col min="5907" max="6150" width="9.140625" style="110"/>
    <col min="6151" max="6151" width="12.140625" style="110" customWidth="1"/>
    <col min="6152" max="6153" width="9.140625" style="110"/>
    <col min="6154" max="6154" width="9.5703125" style="110" bestFit="1" customWidth="1"/>
    <col min="6155" max="6155" width="9.140625" style="110"/>
    <col min="6156" max="6156" width="10.28515625" style="110" bestFit="1" customWidth="1"/>
    <col min="6157" max="6160" width="9.140625" style="110"/>
    <col min="6161" max="6161" width="11.5703125" style="110" bestFit="1" customWidth="1"/>
    <col min="6162" max="6162" width="10.5703125" style="110" customWidth="1"/>
    <col min="6163" max="6406" width="9.140625" style="110"/>
    <col min="6407" max="6407" width="12.140625" style="110" customWidth="1"/>
    <col min="6408" max="6409" width="9.140625" style="110"/>
    <col min="6410" max="6410" width="9.5703125" style="110" bestFit="1" customWidth="1"/>
    <col min="6411" max="6411" width="9.140625" style="110"/>
    <col min="6412" max="6412" width="10.28515625" style="110" bestFit="1" customWidth="1"/>
    <col min="6413" max="6416" width="9.140625" style="110"/>
    <col min="6417" max="6417" width="11.5703125" style="110" bestFit="1" customWidth="1"/>
    <col min="6418" max="6418" width="10.5703125" style="110" customWidth="1"/>
    <col min="6419" max="6662" width="9.140625" style="110"/>
    <col min="6663" max="6663" width="12.140625" style="110" customWidth="1"/>
    <col min="6664" max="6665" width="9.140625" style="110"/>
    <col min="6666" max="6666" width="9.5703125" style="110" bestFit="1" customWidth="1"/>
    <col min="6667" max="6667" width="9.140625" style="110"/>
    <col min="6668" max="6668" width="10.28515625" style="110" bestFit="1" customWidth="1"/>
    <col min="6669" max="6672" width="9.140625" style="110"/>
    <col min="6673" max="6673" width="11.5703125" style="110" bestFit="1" customWidth="1"/>
    <col min="6674" max="6674" width="10.5703125" style="110" customWidth="1"/>
    <col min="6675" max="6918" width="9.140625" style="110"/>
    <col min="6919" max="6919" width="12.140625" style="110" customWidth="1"/>
    <col min="6920" max="6921" width="9.140625" style="110"/>
    <col min="6922" max="6922" width="9.5703125" style="110" bestFit="1" customWidth="1"/>
    <col min="6923" max="6923" width="9.140625" style="110"/>
    <col min="6924" max="6924" width="10.28515625" style="110" bestFit="1" customWidth="1"/>
    <col min="6925" max="6928" width="9.140625" style="110"/>
    <col min="6929" max="6929" width="11.5703125" style="110" bestFit="1" customWidth="1"/>
    <col min="6930" max="6930" width="10.5703125" style="110" customWidth="1"/>
    <col min="6931" max="7174" width="9.140625" style="110"/>
    <col min="7175" max="7175" width="12.140625" style="110" customWidth="1"/>
    <col min="7176" max="7177" width="9.140625" style="110"/>
    <col min="7178" max="7178" width="9.5703125" style="110" bestFit="1" customWidth="1"/>
    <col min="7179" max="7179" width="9.140625" style="110"/>
    <col min="7180" max="7180" width="10.28515625" style="110" bestFit="1" customWidth="1"/>
    <col min="7181" max="7184" width="9.140625" style="110"/>
    <col min="7185" max="7185" width="11.5703125" style="110" bestFit="1" customWidth="1"/>
    <col min="7186" max="7186" width="10.5703125" style="110" customWidth="1"/>
    <col min="7187" max="7430" width="9.140625" style="110"/>
    <col min="7431" max="7431" width="12.140625" style="110" customWidth="1"/>
    <col min="7432" max="7433" width="9.140625" style="110"/>
    <col min="7434" max="7434" width="9.5703125" style="110" bestFit="1" customWidth="1"/>
    <col min="7435" max="7435" width="9.140625" style="110"/>
    <col min="7436" max="7436" width="10.28515625" style="110" bestFit="1" customWidth="1"/>
    <col min="7437" max="7440" width="9.140625" style="110"/>
    <col min="7441" max="7441" width="11.5703125" style="110" bestFit="1" customWidth="1"/>
    <col min="7442" max="7442" width="10.5703125" style="110" customWidth="1"/>
    <col min="7443" max="7686" width="9.140625" style="110"/>
    <col min="7687" max="7687" width="12.140625" style="110" customWidth="1"/>
    <col min="7688" max="7689" width="9.140625" style="110"/>
    <col min="7690" max="7690" width="9.5703125" style="110" bestFit="1" customWidth="1"/>
    <col min="7691" max="7691" width="9.140625" style="110"/>
    <col min="7692" max="7692" width="10.28515625" style="110" bestFit="1" customWidth="1"/>
    <col min="7693" max="7696" width="9.140625" style="110"/>
    <col min="7697" max="7697" width="11.5703125" style="110" bestFit="1" customWidth="1"/>
    <col min="7698" max="7698" width="10.5703125" style="110" customWidth="1"/>
    <col min="7699" max="7942" width="9.140625" style="110"/>
    <col min="7943" max="7943" width="12.140625" style="110" customWidth="1"/>
    <col min="7944" max="7945" width="9.140625" style="110"/>
    <col min="7946" max="7946" width="9.5703125" style="110" bestFit="1" customWidth="1"/>
    <col min="7947" max="7947" width="9.140625" style="110"/>
    <col min="7948" max="7948" width="10.28515625" style="110" bestFit="1" customWidth="1"/>
    <col min="7949" max="7952" width="9.140625" style="110"/>
    <col min="7953" max="7953" width="11.5703125" style="110" bestFit="1" customWidth="1"/>
    <col min="7954" max="7954" width="10.5703125" style="110" customWidth="1"/>
    <col min="7955" max="8198" width="9.140625" style="110"/>
    <col min="8199" max="8199" width="12.140625" style="110" customWidth="1"/>
    <col min="8200" max="8201" width="9.140625" style="110"/>
    <col min="8202" max="8202" width="9.5703125" style="110" bestFit="1" customWidth="1"/>
    <col min="8203" max="8203" width="9.140625" style="110"/>
    <col min="8204" max="8204" width="10.28515625" style="110" bestFit="1" customWidth="1"/>
    <col min="8205" max="8208" width="9.140625" style="110"/>
    <col min="8209" max="8209" width="11.5703125" style="110" bestFit="1" customWidth="1"/>
    <col min="8210" max="8210" width="10.5703125" style="110" customWidth="1"/>
    <col min="8211" max="8454" width="9.140625" style="110"/>
    <col min="8455" max="8455" width="12.140625" style="110" customWidth="1"/>
    <col min="8456" max="8457" width="9.140625" style="110"/>
    <col min="8458" max="8458" width="9.5703125" style="110" bestFit="1" customWidth="1"/>
    <col min="8459" max="8459" width="9.140625" style="110"/>
    <col min="8460" max="8460" width="10.28515625" style="110" bestFit="1" customWidth="1"/>
    <col min="8461" max="8464" width="9.140625" style="110"/>
    <col min="8465" max="8465" width="11.5703125" style="110" bestFit="1" customWidth="1"/>
    <col min="8466" max="8466" width="10.5703125" style="110" customWidth="1"/>
    <col min="8467" max="8710" width="9.140625" style="110"/>
    <col min="8711" max="8711" width="12.140625" style="110" customWidth="1"/>
    <col min="8712" max="8713" width="9.140625" style="110"/>
    <col min="8714" max="8714" width="9.5703125" style="110" bestFit="1" customWidth="1"/>
    <col min="8715" max="8715" width="9.140625" style="110"/>
    <col min="8716" max="8716" width="10.28515625" style="110" bestFit="1" customWidth="1"/>
    <col min="8717" max="8720" width="9.140625" style="110"/>
    <col min="8721" max="8721" width="11.5703125" style="110" bestFit="1" customWidth="1"/>
    <col min="8722" max="8722" width="10.5703125" style="110" customWidth="1"/>
    <col min="8723" max="8966" width="9.140625" style="110"/>
    <col min="8967" max="8967" width="12.140625" style="110" customWidth="1"/>
    <col min="8968" max="8969" width="9.140625" style="110"/>
    <col min="8970" max="8970" width="9.5703125" style="110" bestFit="1" customWidth="1"/>
    <col min="8971" max="8971" width="9.140625" style="110"/>
    <col min="8972" max="8972" width="10.28515625" style="110" bestFit="1" customWidth="1"/>
    <col min="8973" max="8976" width="9.140625" style="110"/>
    <col min="8977" max="8977" width="11.5703125" style="110" bestFit="1" customWidth="1"/>
    <col min="8978" max="8978" width="10.5703125" style="110" customWidth="1"/>
    <col min="8979" max="9222" width="9.140625" style="110"/>
    <col min="9223" max="9223" width="12.140625" style="110" customWidth="1"/>
    <col min="9224" max="9225" width="9.140625" style="110"/>
    <col min="9226" max="9226" width="9.5703125" style="110" bestFit="1" customWidth="1"/>
    <col min="9227" max="9227" width="9.140625" style="110"/>
    <col min="9228" max="9228" width="10.28515625" style="110" bestFit="1" customWidth="1"/>
    <col min="9229" max="9232" width="9.140625" style="110"/>
    <col min="9233" max="9233" width="11.5703125" style="110" bestFit="1" customWidth="1"/>
    <col min="9234" max="9234" width="10.5703125" style="110" customWidth="1"/>
    <col min="9235" max="9478" width="9.140625" style="110"/>
    <col min="9479" max="9479" width="12.140625" style="110" customWidth="1"/>
    <col min="9480" max="9481" width="9.140625" style="110"/>
    <col min="9482" max="9482" width="9.5703125" style="110" bestFit="1" customWidth="1"/>
    <col min="9483" max="9483" width="9.140625" style="110"/>
    <col min="9484" max="9484" width="10.28515625" style="110" bestFit="1" customWidth="1"/>
    <col min="9485" max="9488" width="9.140625" style="110"/>
    <col min="9489" max="9489" width="11.5703125" style="110" bestFit="1" customWidth="1"/>
    <col min="9490" max="9490" width="10.5703125" style="110" customWidth="1"/>
    <col min="9491" max="9734" width="9.140625" style="110"/>
    <col min="9735" max="9735" width="12.140625" style="110" customWidth="1"/>
    <col min="9736" max="9737" width="9.140625" style="110"/>
    <col min="9738" max="9738" width="9.5703125" style="110" bestFit="1" customWidth="1"/>
    <col min="9739" max="9739" width="9.140625" style="110"/>
    <col min="9740" max="9740" width="10.28515625" style="110" bestFit="1" customWidth="1"/>
    <col min="9741" max="9744" width="9.140625" style="110"/>
    <col min="9745" max="9745" width="11.5703125" style="110" bestFit="1" customWidth="1"/>
    <col min="9746" max="9746" width="10.5703125" style="110" customWidth="1"/>
    <col min="9747" max="9990" width="9.140625" style="110"/>
    <col min="9991" max="9991" width="12.140625" style="110" customWidth="1"/>
    <col min="9992" max="9993" width="9.140625" style="110"/>
    <col min="9994" max="9994" width="9.5703125" style="110" bestFit="1" customWidth="1"/>
    <col min="9995" max="9995" width="9.140625" style="110"/>
    <col min="9996" max="9996" width="10.28515625" style="110" bestFit="1" customWidth="1"/>
    <col min="9997" max="10000" width="9.140625" style="110"/>
    <col min="10001" max="10001" width="11.5703125" style="110" bestFit="1" customWidth="1"/>
    <col min="10002" max="10002" width="10.5703125" style="110" customWidth="1"/>
    <col min="10003" max="10246" width="9.140625" style="110"/>
    <col min="10247" max="10247" width="12.140625" style="110" customWidth="1"/>
    <col min="10248" max="10249" width="9.140625" style="110"/>
    <col min="10250" max="10250" width="9.5703125" style="110" bestFit="1" customWidth="1"/>
    <col min="10251" max="10251" width="9.140625" style="110"/>
    <col min="10252" max="10252" width="10.28515625" style="110" bestFit="1" customWidth="1"/>
    <col min="10253" max="10256" width="9.140625" style="110"/>
    <col min="10257" max="10257" width="11.5703125" style="110" bestFit="1" customWidth="1"/>
    <col min="10258" max="10258" width="10.5703125" style="110" customWidth="1"/>
    <col min="10259" max="10502" width="9.140625" style="110"/>
    <col min="10503" max="10503" width="12.140625" style="110" customWidth="1"/>
    <col min="10504" max="10505" width="9.140625" style="110"/>
    <col min="10506" max="10506" width="9.5703125" style="110" bestFit="1" customWidth="1"/>
    <col min="10507" max="10507" width="9.140625" style="110"/>
    <col min="10508" max="10508" width="10.28515625" style="110" bestFit="1" customWidth="1"/>
    <col min="10509" max="10512" width="9.140625" style="110"/>
    <col min="10513" max="10513" width="11.5703125" style="110" bestFit="1" customWidth="1"/>
    <col min="10514" max="10514" width="10.5703125" style="110" customWidth="1"/>
    <col min="10515" max="10758" width="9.140625" style="110"/>
    <col min="10759" max="10759" width="12.140625" style="110" customWidth="1"/>
    <col min="10760" max="10761" width="9.140625" style="110"/>
    <col min="10762" max="10762" width="9.5703125" style="110" bestFit="1" customWidth="1"/>
    <col min="10763" max="10763" width="9.140625" style="110"/>
    <col min="10764" max="10764" width="10.28515625" style="110" bestFit="1" customWidth="1"/>
    <col min="10765" max="10768" width="9.140625" style="110"/>
    <col min="10769" max="10769" width="11.5703125" style="110" bestFit="1" customWidth="1"/>
    <col min="10770" max="10770" width="10.5703125" style="110" customWidth="1"/>
    <col min="10771" max="11014" width="9.140625" style="110"/>
    <col min="11015" max="11015" width="12.140625" style="110" customWidth="1"/>
    <col min="11016" max="11017" width="9.140625" style="110"/>
    <col min="11018" max="11018" width="9.5703125" style="110" bestFit="1" customWidth="1"/>
    <col min="11019" max="11019" width="9.140625" style="110"/>
    <col min="11020" max="11020" width="10.28515625" style="110" bestFit="1" customWidth="1"/>
    <col min="11021" max="11024" width="9.140625" style="110"/>
    <col min="11025" max="11025" width="11.5703125" style="110" bestFit="1" customWidth="1"/>
    <col min="11026" max="11026" width="10.5703125" style="110" customWidth="1"/>
    <col min="11027" max="11270" width="9.140625" style="110"/>
    <col min="11271" max="11271" width="12.140625" style="110" customWidth="1"/>
    <col min="11272" max="11273" width="9.140625" style="110"/>
    <col min="11274" max="11274" width="9.5703125" style="110" bestFit="1" customWidth="1"/>
    <col min="11275" max="11275" width="9.140625" style="110"/>
    <col min="11276" max="11276" width="10.28515625" style="110" bestFit="1" customWidth="1"/>
    <col min="11277" max="11280" width="9.140625" style="110"/>
    <col min="11281" max="11281" width="11.5703125" style="110" bestFit="1" customWidth="1"/>
    <col min="11282" max="11282" width="10.5703125" style="110" customWidth="1"/>
    <col min="11283" max="11526" width="9.140625" style="110"/>
    <col min="11527" max="11527" width="12.140625" style="110" customWidth="1"/>
    <col min="11528" max="11529" width="9.140625" style="110"/>
    <col min="11530" max="11530" width="9.5703125" style="110" bestFit="1" customWidth="1"/>
    <col min="11531" max="11531" width="9.140625" style="110"/>
    <col min="11532" max="11532" width="10.28515625" style="110" bestFit="1" customWidth="1"/>
    <col min="11533" max="11536" width="9.140625" style="110"/>
    <col min="11537" max="11537" width="11.5703125" style="110" bestFit="1" customWidth="1"/>
    <col min="11538" max="11538" width="10.5703125" style="110" customWidth="1"/>
    <col min="11539" max="11782" width="9.140625" style="110"/>
    <col min="11783" max="11783" width="12.140625" style="110" customWidth="1"/>
    <col min="11784" max="11785" width="9.140625" style="110"/>
    <col min="11786" max="11786" width="9.5703125" style="110" bestFit="1" customWidth="1"/>
    <col min="11787" max="11787" width="9.140625" style="110"/>
    <col min="11788" max="11788" width="10.28515625" style="110" bestFit="1" customWidth="1"/>
    <col min="11789" max="11792" width="9.140625" style="110"/>
    <col min="11793" max="11793" width="11.5703125" style="110" bestFit="1" customWidth="1"/>
    <col min="11794" max="11794" width="10.5703125" style="110" customWidth="1"/>
    <col min="11795" max="12038" width="9.140625" style="110"/>
    <col min="12039" max="12039" width="12.140625" style="110" customWidth="1"/>
    <col min="12040" max="12041" width="9.140625" style="110"/>
    <col min="12042" max="12042" width="9.5703125" style="110" bestFit="1" customWidth="1"/>
    <col min="12043" max="12043" width="9.140625" style="110"/>
    <col min="12044" max="12044" width="10.28515625" style="110" bestFit="1" customWidth="1"/>
    <col min="12045" max="12048" width="9.140625" style="110"/>
    <col min="12049" max="12049" width="11.5703125" style="110" bestFit="1" customWidth="1"/>
    <col min="12050" max="12050" width="10.5703125" style="110" customWidth="1"/>
    <col min="12051" max="12294" width="9.140625" style="110"/>
    <col min="12295" max="12295" width="12.140625" style="110" customWidth="1"/>
    <col min="12296" max="12297" width="9.140625" style="110"/>
    <col min="12298" max="12298" width="9.5703125" style="110" bestFit="1" customWidth="1"/>
    <col min="12299" max="12299" width="9.140625" style="110"/>
    <col min="12300" max="12300" width="10.28515625" style="110" bestFit="1" customWidth="1"/>
    <col min="12301" max="12304" width="9.140625" style="110"/>
    <col min="12305" max="12305" width="11.5703125" style="110" bestFit="1" customWidth="1"/>
    <col min="12306" max="12306" width="10.5703125" style="110" customWidth="1"/>
    <col min="12307" max="12550" width="9.140625" style="110"/>
    <col min="12551" max="12551" width="12.140625" style="110" customWidth="1"/>
    <col min="12552" max="12553" width="9.140625" style="110"/>
    <col min="12554" max="12554" width="9.5703125" style="110" bestFit="1" customWidth="1"/>
    <col min="12555" max="12555" width="9.140625" style="110"/>
    <col min="12556" max="12556" width="10.28515625" style="110" bestFit="1" customWidth="1"/>
    <col min="12557" max="12560" width="9.140625" style="110"/>
    <col min="12561" max="12561" width="11.5703125" style="110" bestFit="1" customWidth="1"/>
    <col min="12562" max="12562" width="10.5703125" style="110" customWidth="1"/>
    <col min="12563" max="12806" width="9.140625" style="110"/>
    <col min="12807" max="12807" width="12.140625" style="110" customWidth="1"/>
    <col min="12808" max="12809" width="9.140625" style="110"/>
    <col min="12810" max="12810" width="9.5703125" style="110" bestFit="1" customWidth="1"/>
    <col min="12811" max="12811" width="9.140625" style="110"/>
    <col min="12812" max="12812" width="10.28515625" style="110" bestFit="1" customWidth="1"/>
    <col min="12813" max="12816" width="9.140625" style="110"/>
    <col min="12817" max="12817" width="11.5703125" style="110" bestFit="1" customWidth="1"/>
    <col min="12818" max="12818" width="10.5703125" style="110" customWidth="1"/>
    <col min="12819" max="13062" width="9.140625" style="110"/>
    <col min="13063" max="13063" width="12.140625" style="110" customWidth="1"/>
    <col min="13064" max="13065" width="9.140625" style="110"/>
    <col min="13066" max="13066" width="9.5703125" style="110" bestFit="1" customWidth="1"/>
    <col min="13067" max="13067" width="9.140625" style="110"/>
    <col min="13068" max="13068" width="10.28515625" style="110" bestFit="1" customWidth="1"/>
    <col min="13069" max="13072" width="9.140625" style="110"/>
    <col min="13073" max="13073" width="11.5703125" style="110" bestFit="1" customWidth="1"/>
    <col min="13074" max="13074" width="10.5703125" style="110" customWidth="1"/>
    <col min="13075" max="13318" width="9.140625" style="110"/>
    <col min="13319" max="13319" width="12.140625" style="110" customWidth="1"/>
    <col min="13320" max="13321" width="9.140625" style="110"/>
    <col min="13322" max="13322" width="9.5703125" style="110" bestFit="1" customWidth="1"/>
    <col min="13323" max="13323" width="9.140625" style="110"/>
    <col min="13324" max="13324" width="10.28515625" style="110" bestFit="1" customWidth="1"/>
    <col min="13325" max="13328" width="9.140625" style="110"/>
    <col min="13329" max="13329" width="11.5703125" style="110" bestFit="1" customWidth="1"/>
    <col min="13330" max="13330" width="10.5703125" style="110" customWidth="1"/>
    <col min="13331" max="13574" width="9.140625" style="110"/>
    <col min="13575" max="13575" width="12.140625" style="110" customWidth="1"/>
    <col min="13576" max="13577" width="9.140625" style="110"/>
    <col min="13578" max="13578" width="9.5703125" style="110" bestFit="1" customWidth="1"/>
    <col min="13579" max="13579" width="9.140625" style="110"/>
    <col min="13580" max="13580" width="10.28515625" style="110" bestFit="1" customWidth="1"/>
    <col min="13581" max="13584" width="9.140625" style="110"/>
    <col min="13585" max="13585" width="11.5703125" style="110" bestFit="1" customWidth="1"/>
    <col min="13586" max="13586" width="10.5703125" style="110" customWidth="1"/>
    <col min="13587" max="13830" width="9.140625" style="110"/>
    <col min="13831" max="13831" width="12.140625" style="110" customWidth="1"/>
    <col min="13832" max="13833" width="9.140625" style="110"/>
    <col min="13834" max="13834" width="9.5703125" style="110" bestFit="1" customWidth="1"/>
    <col min="13835" max="13835" width="9.140625" style="110"/>
    <col min="13836" max="13836" width="10.28515625" style="110" bestFit="1" customWidth="1"/>
    <col min="13837" max="13840" width="9.140625" style="110"/>
    <col min="13841" max="13841" width="11.5703125" style="110" bestFit="1" customWidth="1"/>
    <col min="13842" max="13842" width="10.5703125" style="110" customWidth="1"/>
    <col min="13843" max="14086" width="9.140625" style="110"/>
    <col min="14087" max="14087" width="12.140625" style="110" customWidth="1"/>
    <col min="14088" max="14089" width="9.140625" style="110"/>
    <col min="14090" max="14090" width="9.5703125" style="110" bestFit="1" customWidth="1"/>
    <col min="14091" max="14091" width="9.140625" style="110"/>
    <col min="14092" max="14092" width="10.28515625" style="110" bestFit="1" customWidth="1"/>
    <col min="14093" max="14096" width="9.140625" style="110"/>
    <col min="14097" max="14097" width="11.5703125" style="110" bestFit="1" customWidth="1"/>
    <col min="14098" max="14098" width="10.5703125" style="110" customWidth="1"/>
    <col min="14099" max="14342" width="9.140625" style="110"/>
    <col min="14343" max="14343" width="12.140625" style="110" customWidth="1"/>
    <col min="14344" max="14345" width="9.140625" style="110"/>
    <col min="14346" max="14346" width="9.5703125" style="110" bestFit="1" customWidth="1"/>
    <col min="14347" max="14347" width="9.140625" style="110"/>
    <col min="14348" max="14348" width="10.28515625" style="110" bestFit="1" customWidth="1"/>
    <col min="14349" max="14352" width="9.140625" style="110"/>
    <col min="14353" max="14353" width="11.5703125" style="110" bestFit="1" customWidth="1"/>
    <col min="14354" max="14354" width="10.5703125" style="110" customWidth="1"/>
    <col min="14355" max="14598" width="9.140625" style="110"/>
    <col min="14599" max="14599" width="12.140625" style="110" customWidth="1"/>
    <col min="14600" max="14601" width="9.140625" style="110"/>
    <col min="14602" max="14602" width="9.5703125" style="110" bestFit="1" customWidth="1"/>
    <col min="14603" max="14603" width="9.140625" style="110"/>
    <col min="14604" max="14604" width="10.28515625" style="110" bestFit="1" customWidth="1"/>
    <col min="14605" max="14608" width="9.140625" style="110"/>
    <col min="14609" max="14609" width="11.5703125" style="110" bestFit="1" customWidth="1"/>
    <col min="14610" max="14610" width="10.5703125" style="110" customWidth="1"/>
    <col min="14611" max="14854" width="9.140625" style="110"/>
    <col min="14855" max="14855" width="12.140625" style="110" customWidth="1"/>
    <col min="14856" max="14857" width="9.140625" style="110"/>
    <col min="14858" max="14858" width="9.5703125" style="110" bestFit="1" customWidth="1"/>
    <col min="14859" max="14859" width="9.140625" style="110"/>
    <col min="14860" max="14860" width="10.28515625" style="110" bestFit="1" customWidth="1"/>
    <col min="14861" max="14864" width="9.140625" style="110"/>
    <col min="14865" max="14865" width="11.5703125" style="110" bestFit="1" customWidth="1"/>
    <col min="14866" max="14866" width="10.5703125" style="110" customWidth="1"/>
    <col min="14867" max="15110" width="9.140625" style="110"/>
    <col min="15111" max="15111" width="12.140625" style="110" customWidth="1"/>
    <col min="15112" max="15113" width="9.140625" style="110"/>
    <col min="15114" max="15114" width="9.5703125" style="110" bestFit="1" customWidth="1"/>
    <col min="15115" max="15115" width="9.140625" style="110"/>
    <col min="15116" max="15116" width="10.28515625" style="110" bestFit="1" customWidth="1"/>
    <col min="15117" max="15120" width="9.140625" style="110"/>
    <col min="15121" max="15121" width="11.5703125" style="110" bestFit="1" customWidth="1"/>
    <col min="15122" max="15122" width="10.5703125" style="110" customWidth="1"/>
    <col min="15123" max="15366" width="9.140625" style="110"/>
    <col min="15367" max="15367" width="12.140625" style="110" customWidth="1"/>
    <col min="15368" max="15369" width="9.140625" style="110"/>
    <col min="15370" max="15370" width="9.5703125" style="110" bestFit="1" customWidth="1"/>
    <col min="15371" max="15371" width="9.140625" style="110"/>
    <col min="15372" max="15372" width="10.28515625" style="110" bestFit="1" customWidth="1"/>
    <col min="15373" max="15376" width="9.140625" style="110"/>
    <col min="15377" max="15377" width="11.5703125" style="110" bestFit="1" customWidth="1"/>
    <col min="15378" max="15378" width="10.5703125" style="110" customWidth="1"/>
    <col min="15379" max="15622" width="9.140625" style="110"/>
    <col min="15623" max="15623" width="12.140625" style="110" customWidth="1"/>
    <col min="15624" max="15625" width="9.140625" style="110"/>
    <col min="15626" max="15626" width="9.5703125" style="110" bestFit="1" customWidth="1"/>
    <col min="15627" max="15627" width="9.140625" style="110"/>
    <col min="15628" max="15628" width="10.28515625" style="110" bestFit="1" customWidth="1"/>
    <col min="15629" max="15632" width="9.140625" style="110"/>
    <col min="15633" max="15633" width="11.5703125" style="110" bestFit="1" customWidth="1"/>
    <col min="15634" max="15634" width="10.5703125" style="110" customWidth="1"/>
    <col min="15635" max="15878" width="9.140625" style="110"/>
    <col min="15879" max="15879" width="12.140625" style="110" customWidth="1"/>
    <col min="15880" max="15881" width="9.140625" style="110"/>
    <col min="15882" max="15882" width="9.5703125" style="110" bestFit="1" customWidth="1"/>
    <col min="15883" max="15883" width="9.140625" style="110"/>
    <col min="15884" max="15884" width="10.28515625" style="110" bestFit="1" customWidth="1"/>
    <col min="15885" max="15888" width="9.140625" style="110"/>
    <col min="15889" max="15889" width="11.5703125" style="110" bestFit="1" customWidth="1"/>
    <col min="15890" max="15890" width="10.5703125" style="110" customWidth="1"/>
    <col min="15891" max="16134" width="9.140625" style="110"/>
    <col min="16135" max="16135" width="12.140625" style="110" customWidth="1"/>
    <col min="16136" max="16137" width="9.140625" style="110"/>
    <col min="16138" max="16138" width="9.5703125" style="110" bestFit="1" customWidth="1"/>
    <col min="16139" max="16139" width="9.140625" style="110"/>
    <col min="16140" max="16140" width="10.28515625" style="110" bestFit="1" customWidth="1"/>
    <col min="16141" max="16144" width="9.140625" style="110"/>
    <col min="16145" max="16145" width="11.5703125" style="110" bestFit="1" customWidth="1"/>
    <col min="16146" max="16146" width="10.5703125" style="110" customWidth="1"/>
    <col min="16147" max="16384" width="9.140625" style="110"/>
  </cols>
  <sheetData>
    <row r="1" spans="2:18" ht="15.75" x14ac:dyDescent="0.25">
      <c r="B1" s="111" t="s">
        <v>230</v>
      </c>
      <c r="H1" s="110" t="s">
        <v>231</v>
      </c>
      <c r="I1" s="112" t="s">
        <v>232</v>
      </c>
      <c r="P1" s="110" t="s">
        <v>233</v>
      </c>
      <c r="Q1" s="113">
        <v>44775</v>
      </c>
    </row>
    <row r="2" spans="2:18" ht="15.75" thickBot="1" x14ac:dyDescent="0.3"/>
    <row r="3" spans="2:18" x14ac:dyDescent="0.25">
      <c r="B3" s="182">
        <v>2019</v>
      </c>
      <c r="C3" s="114"/>
      <c r="D3" s="115"/>
      <c r="E3" s="115"/>
      <c r="F3" s="115"/>
      <c r="G3" s="115"/>
      <c r="H3" s="115"/>
      <c r="I3" s="115"/>
      <c r="J3" s="115"/>
      <c r="K3" s="115"/>
      <c r="L3" s="115"/>
      <c r="M3" s="115"/>
      <c r="N3" s="115"/>
      <c r="O3" s="115"/>
      <c r="P3" s="115"/>
      <c r="Q3" s="115"/>
      <c r="R3" s="116"/>
    </row>
    <row r="4" spans="2:18" ht="15.75" x14ac:dyDescent="0.25">
      <c r="B4" s="182"/>
      <c r="C4" s="117"/>
      <c r="D4" s="183" t="s">
        <v>234</v>
      </c>
      <c r="E4" s="184"/>
      <c r="F4" s="184"/>
      <c r="G4" s="184"/>
      <c r="H4" s="184"/>
      <c r="I4" s="184"/>
      <c r="J4" s="184"/>
      <c r="K4" s="184"/>
      <c r="L4" s="184"/>
      <c r="M4" s="184"/>
      <c r="N4" s="184"/>
      <c r="O4" s="184"/>
      <c r="P4" s="184"/>
      <c r="Q4" s="184"/>
      <c r="R4" s="118"/>
    </row>
    <row r="5" spans="2:18" ht="15.75" thickBot="1" x14ac:dyDescent="0.3">
      <c r="B5" s="182"/>
      <c r="C5" s="117"/>
      <c r="D5" s="119"/>
      <c r="E5" s="119"/>
      <c r="F5" s="119"/>
      <c r="G5" s="119"/>
      <c r="H5" s="119"/>
      <c r="I5" s="119"/>
      <c r="J5" s="119"/>
      <c r="K5" s="119"/>
      <c r="L5" s="119"/>
      <c r="M5" s="119"/>
      <c r="N5" s="119"/>
      <c r="O5" s="119"/>
      <c r="P5" s="119"/>
      <c r="Q5" s="119"/>
      <c r="R5" s="118"/>
    </row>
    <row r="6" spans="2:18" x14ac:dyDescent="0.25">
      <c r="B6" s="182"/>
      <c r="C6" s="117"/>
      <c r="D6" s="185" t="s">
        <v>235</v>
      </c>
      <c r="E6" s="186"/>
      <c r="F6" s="186"/>
      <c r="G6" s="186"/>
      <c r="H6" s="186"/>
      <c r="I6" s="186"/>
      <c r="J6" s="186"/>
      <c r="K6" s="186"/>
      <c r="L6" s="186"/>
      <c r="M6" s="186"/>
      <c r="N6" s="186"/>
      <c r="O6" s="186"/>
      <c r="P6" s="186"/>
      <c r="Q6" s="187"/>
      <c r="R6" s="118"/>
    </row>
    <row r="7" spans="2:18" ht="15.75" thickBot="1" x14ac:dyDescent="0.3">
      <c r="B7" s="182"/>
      <c r="C7" s="117"/>
      <c r="D7" s="188">
        <v>2019</v>
      </c>
      <c r="E7" s="189"/>
      <c r="F7" s="190">
        <v>0.10199999999999999</v>
      </c>
      <c r="G7" s="191"/>
      <c r="H7" s="191"/>
      <c r="I7" s="191"/>
      <c r="J7" s="191"/>
      <c r="K7" s="191"/>
      <c r="L7" s="191"/>
      <c r="M7" s="191"/>
      <c r="N7" s="191"/>
      <c r="O7" s="191"/>
      <c r="P7" s="191"/>
      <c r="Q7" s="192"/>
      <c r="R7" s="118"/>
    </row>
    <row r="8" spans="2:18" x14ac:dyDescent="0.25">
      <c r="B8" s="182"/>
      <c r="C8" s="117"/>
      <c r="D8" s="119"/>
      <c r="E8" s="120"/>
      <c r="F8" s="120"/>
      <c r="G8" s="120"/>
      <c r="H8" s="120"/>
      <c r="I8" s="120"/>
      <c r="J8" s="120"/>
      <c r="K8" s="120"/>
      <c r="L8" s="120"/>
      <c r="M8" s="120"/>
      <c r="N8" s="120"/>
      <c r="O8" s="120"/>
      <c r="P8" s="120"/>
      <c r="Q8" s="120"/>
      <c r="R8" s="118"/>
    </row>
    <row r="9" spans="2:18" x14ac:dyDescent="0.25">
      <c r="B9" s="182"/>
      <c r="C9" s="117"/>
      <c r="D9" s="119"/>
      <c r="E9" s="119"/>
      <c r="F9" s="119"/>
      <c r="G9" s="119"/>
      <c r="H9" s="119"/>
      <c r="I9" s="119"/>
      <c r="J9" s="119"/>
      <c r="K9" s="119"/>
      <c r="L9" s="119"/>
      <c r="M9" s="119"/>
      <c r="N9" s="119"/>
      <c r="O9" s="119"/>
      <c r="P9" s="119"/>
      <c r="Q9" s="119"/>
      <c r="R9" s="118"/>
    </row>
    <row r="10" spans="2:18" ht="15.75" x14ac:dyDescent="0.25">
      <c r="B10" s="182"/>
      <c r="C10" s="117"/>
      <c r="D10" s="183" t="s">
        <v>236</v>
      </c>
      <c r="E10" s="184"/>
      <c r="F10" s="184"/>
      <c r="G10" s="184"/>
      <c r="H10" s="184"/>
      <c r="I10" s="184"/>
      <c r="J10" s="184"/>
      <c r="K10" s="184"/>
      <c r="L10" s="184"/>
      <c r="M10" s="184"/>
      <c r="N10" s="184"/>
      <c r="O10" s="184"/>
      <c r="P10" s="184"/>
      <c r="Q10" s="184"/>
      <c r="R10" s="118"/>
    </row>
    <row r="11" spans="2:18" ht="15.75" thickBot="1" x14ac:dyDescent="0.3">
      <c r="B11" s="182"/>
      <c r="C11" s="117"/>
      <c r="D11" s="119"/>
      <c r="E11" s="119"/>
      <c r="F11" s="119"/>
      <c r="G11" s="119"/>
      <c r="H11" s="119"/>
      <c r="I11" s="119"/>
      <c r="J11" s="119"/>
      <c r="K11" s="119"/>
      <c r="L11" s="119"/>
      <c r="M11" s="119"/>
      <c r="N11" s="119"/>
      <c r="O11" s="119"/>
      <c r="P11" s="119"/>
      <c r="Q11" s="119"/>
      <c r="R11" s="118"/>
    </row>
    <row r="12" spans="2:18" x14ac:dyDescent="0.25">
      <c r="B12" s="182"/>
      <c r="C12" s="117"/>
      <c r="D12" s="185" t="s">
        <v>237</v>
      </c>
      <c r="E12" s="186"/>
      <c r="F12" s="186"/>
      <c r="G12" s="186"/>
      <c r="H12" s="186"/>
      <c r="I12" s="186"/>
      <c r="J12" s="186"/>
      <c r="K12" s="186"/>
      <c r="L12" s="186"/>
      <c r="M12" s="186"/>
      <c r="N12" s="186"/>
      <c r="O12" s="186"/>
      <c r="P12" s="186"/>
      <c r="Q12" s="187"/>
      <c r="R12" s="118"/>
    </row>
    <row r="13" spans="2:18" x14ac:dyDescent="0.25">
      <c r="B13" s="182"/>
      <c r="C13" s="117"/>
      <c r="D13" s="193">
        <v>2019</v>
      </c>
      <c r="E13" s="194"/>
      <c r="F13" s="195" t="s">
        <v>238</v>
      </c>
      <c r="G13" s="196"/>
      <c r="H13" s="196"/>
      <c r="I13" s="196"/>
      <c r="J13" s="196"/>
      <c r="K13" s="196"/>
      <c r="L13" s="196"/>
      <c r="M13" s="196"/>
      <c r="N13" s="196"/>
      <c r="O13" s="196"/>
      <c r="P13" s="196"/>
      <c r="Q13" s="197"/>
      <c r="R13" s="118"/>
    </row>
    <row r="14" spans="2:18" x14ac:dyDescent="0.25">
      <c r="B14" s="182"/>
      <c r="C14" s="117"/>
      <c r="D14" s="121"/>
      <c r="E14" s="122"/>
      <c r="F14" s="123" t="s">
        <v>239</v>
      </c>
      <c r="G14" s="123" t="s">
        <v>240</v>
      </c>
      <c r="H14" s="123" t="s">
        <v>241</v>
      </c>
      <c r="I14" s="123" t="s">
        <v>242</v>
      </c>
      <c r="J14" s="123" t="s">
        <v>243</v>
      </c>
      <c r="K14" s="123" t="s">
        <v>244</v>
      </c>
      <c r="L14" s="123" t="s">
        <v>245</v>
      </c>
      <c r="M14" s="123" t="s">
        <v>246</v>
      </c>
      <c r="N14" s="123" t="s">
        <v>247</v>
      </c>
      <c r="O14" s="123" t="s">
        <v>248</v>
      </c>
      <c r="P14" s="123" t="s">
        <v>249</v>
      </c>
      <c r="Q14" s="124" t="s">
        <v>250</v>
      </c>
      <c r="R14" s="125" t="s">
        <v>77</v>
      </c>
    </row>
    <row r="15" spans="2:18" ht="15.75" thickBot="1" x14ac:dyDescent="0.3">
      <c r="B15" s="182"/>
      <c r="C15" s="117"/>
      <c r="D15" s="126"/>
      <c r="E15" s="127"/>
      <c r="F15" s="128">
        <v>0.35399999999999998</v>
      </c>
      <c r="G15" s="128">
        <v>0.55730000000000002</v>
      </c>
      <c r="H15" s="128">
        <v>0.50749999999999995</v>
      </c>
      <c r="I15" s="128">
        <v>0.50949999999999995</v>
      </c>
      <c r="J15" s="128">
        <v>0.47939999999999999</v>
      </c>
      <c r="K15" s="128">
        <v>0.41749999999999998</v>
      </c>
      <c r="L15" s="128">
        <v>0.59140000000000004</v>
      </c>
      <c r="M15" s="128">
        <v>0.53120000000000001</v>
      </c>
      <c r="N15" s="128">
        <v>0.56059999999999999</v>
      </c>
      <c r="O15" s="128">
        <v>0.53700000000000003</v>
      </c>
      <c r="P15" s="128">
        <v>0.57199999999999995</v>
      </c>
      <c r="Q15" s="129">
        <v>0.59970000000000001</v>
      </c>
      <c r="R15" s="130">
        <f>AVERAGE(F15:Q15)</f>
        <v>0.51809166666666673</v>
      </c>
    </row>
    <row r="16" spans="2:18" ht="15.75" thickBot="1" x14ac:dyDescent="0.3">
      <c r="B16" s="182"/>
      <c r="C16" s="117"/>
      <c r="D16" s="131"/>
      <c r="E16" s="131"/>
      <c r="F16" s="131"/>
      <c r="G16" s="131"/>
      <c r="H16" s="131"/>
      <c r="I16" s="131"/>
      <c r="J16" s="131"/>
      <c r="K16" s="131"/>
      <c r="L16" s="131"/>
      <c r="M16" s="131"/>
      <c r="N16" s="131"/>
      <c r="O16" s="131"/>
      <c r="P16" s="131"/>
      <c r="Q16" s="131"/>
      <c r="R16" s="118"/>
    </row>
    <row r="17" spans="2:18" ht="15.75" thickBot="1" x14ac:dyDescent="0.3">
      <c r="B17" s="182"/>
      <c r="C17" s="117"/>
      <c r="D17" s="131"/>
      <c r="E17" s="131"/>
      <c r="F17" s="131"/>
      <c r="G17" s="131"/>
      <c r="H17" s="131"/>
      <c r="I17" s="198" t="s">
        <v>251</v>
      </c>
      <c r="J17" s="199"/>
      <c r="K17" s="199"/>
      <c r="L17" s="132">
        <f>(F7*0.5)+(R15*0.5)</f>
        <v>0.31004583333333335</v>
      </c>
      <c r="M17" s="131"/>
      <c r="N17" s="131"/>
      <c r="O17" s="131"/>
      <c r="P17" s="131"/>
      <c r="Q17" s="131"/>
      <c r="R17" s="118"/>
    </row>
    <row r="18" spans="2:18" ht="15.75" thickBot="1" x14ac:dyDescent="0.3">
      <c r="B18" s="182"/>
      <c r="C18" s="133"/>
      <c r="D18" s="134"/>
      <c r="E18" s="134"/>
      <c r="F18" s="134"/>
      <c r="G18" s="134"/>
      <c r="H18" s="134"/>
      <c r="I18" s="134"/>
      <c r="J18" s="134"/>
      <c r="K18" s="134"/>
      <c r="L18" s="134"/>
      <c r="M18" s="134"/>
      <c r="N18" s="134"/>
      <c r="O18" s="134"/>
      <c r="P18" s="134"/>
      <c r="Q18" s="134"/>
      <c r="R18" s="135"/>
    </row>
    <row r="20" spans="2:18" ht="15.75" thickBot="1" x14ac:dyDescent="0.3"/>
    <row r="21" spans="2:18" x14ac:dyDescent="0.25">
      <c r="B21" s="182">
        <v>2020</v>
      </c>
      <c r="C21" s="114"/>
      <c r="D21" s="115"/>
      <c r="E21" s="115"/>
      <c r="F21" s="115"/>
      <c r="G21" s="115"/>
      <c r="H21" s="115"/>
      <c r="I21" s="115"/>
      <c r="J21" s="115"/>
      <c r="K21" s="115"/>
      <c r="L21" s="115"/>
      <c r="M21" s="115"/>
      <c r="N21" s="115"/>
      <c r="O21" s="115"/>
      <c r="P21" s="115"/>
      <c r="Q21" s="115"/>
      <c r="R21" s="116"/>
    </row>
    <row r="22" spans="2:18" x14ac:dyDescent="0.25">
      <c r="B22" s="182"/>
      <c r="C22" s="117"/>
      <c r="D22" s="184" t="s">
        <v>252</v>
      </c>
      <c r="E22" s="184"/>
      <c r="F22" s="184"/>
      <c r="G22" s="184"/>
      <c r="H22" s="184"/>
      <c r="I22" s="184"/>
      <c r="J22" s="184"/>
      <c r="K22" s="184"/>
      <c r="L22" s="184"/>
      <c r="M22" s="184"/>
      <c r="N22" s="184"/>
      <c r="O22" s="184"/>
      <c r="P22" s="184"/>
      <c r="Q22" s="184"/>
      <c r="R22" s="118"/>
    </row>
    <row r="23" spans="2:18" ht="15.75" thickBot="1" x14ac:dyDescent="0.3">
      <c r="B23" s="182"/>
      <c r="C23" s="117"/>
      <c r="D23" s="119"/>
      <c r="E23" s="119"/>
      <c r="F23" s="119"/>
      <c r="G23" s="119"/>
      <c r="H23" s="119"/>
      <c r="I23" s="119"/>
      <c r="J23" s="119"/>
      <c r="K23" s="119"/>
      <c r="L23" s="119"/>
      <c r="M23" s="119"/>
      <c r="N23" s="119"/>
      <c r="O23" s="119"/>
      <c r="P23" s="119"/>
      <c r="Q23" s="119"/>
      <c r="R23" s="118"/>
    </row>
    <row r="24" spans="2:18" x14ac:dyDescent="0.25">
      <c r="B24" s="182"/>
      <c r="C24" s="117"/>
      <c r="D24" s="185" t="s">
        <v>235</v>
      </c>
      <c r="E24" s="186"/>
      <c r="F24" s="186"/>
      <c r="G24" s="186"/>
      <c r="H24" s="186"/>
      <c r="I24" s="186"/>
      <c r="J24" s="186"/>
      <c r="K24" s="186"/>
      <c r="L24" s="186"/>
      <c r="M24" s="186"/>
      <c r="N24" s="186"/>
      <c r="O24" s="186"/>
      <c r="P24" s="186"/>
      <c r="Q24" s="187"/>
      <c r="R24" s="118"/>
    </row>
    <row r="25" spans="2:18" ht="15.75" thickBot="1" x14ac:dyDescent="0.3">
      <c r="B25" s="182"/>
      <c r="C25" s="117"/>
      <c r="D25" s="188">
        <v>2020</v>
      </c>
      <c r="E25" s="189"/>
      <c r="F25" s="200">
        <v>9.7900000000000001E-2</v>
      </c>
      <c r="G25" s="201"/>
      <c r="H25" s="201"/>
      <c r="I25" s="201"/>
      <c r="J25" s="201"/>
      <c r="K25" s="201"/>
      <c r="L25" s="201"/>
      <c r="M25" s="201"/>
      <c r="N25" s="201"/>
      <c r="O25" s="201"/>
      <c r="P25" s="201"/>
      <c r="Q25" s="202"/>
      <c r="R25" s="118"/>
    </row>
    <row r="26" spans="2:18" x14ac:dyDescent="0.25">
      <c r="B26" s="182"/>
      <c r="C26" s="117"/>
      <c r="D26" s="119"/>
      <c r="E26" s="120"/>
      <c r="F26" s="120"/>
      <c r="G26" s="120"/>
      <c r="H26" s="120"/>
      <c r="I26" s="120"/>
      <c r="J26" s="120"/>
      <c r="K26" s="120"/>
      <c r="L26" s="120"/>
      <c r="M26" s="120"/>
      <c r="N26" s="120"/>
      <c r="O26" s="120"/>
      <c r="P26" s="120"/>
      <c r="Q26" s="120"/>
      <c r="R26" s="118"/>
    </row>
    <row r="27" spans="2:18" x14ac:dyDescent="0.25">
      <c r="B27" s="182"/>
      <c r="C27" s="117"/>
      <c r="D27" s="119"/>
      <c r="E27" s="119"/>
      <c r="F27" s="119"/>
      <c r="G27" s="119"/>
      <c r="H27" s="119"/>
      <c r="I27" s="119"/>
      <c r="J27" s="119"/>
      <c r="K27" s="119"/>
      <c r="L27" s="119"/>
      <c r="M27" s="119"/>
      <c r="N27" s="119"/>
      <c r="O27" s="119"/>
      <c r="P27" s="119"/>
      <c r="Q27" s="119"/>
      <c r="R27" s="118"/>
    </row>
    <row r="28" spans="2:18" x14ac:dyDescent="0.25">
      <c r="B28" s="182"/>
      <c r="C28" s="117"/>
      <c r="D28" s="203" t="s">
        <v>253</v>
      </c>
      <c r="E28" s="203"/>
      <c r="F28" s="203"/>
      <c r="G28" s="203"/>
      <c r="H28" s="203"/>
      <c r="I28" s="203"/>
      <c r="J28" s="203"/>
      <c r="K28" s="203"/>
      <c r="L28" s="203"/>
      <c r="M28" s="203"/>
      <c r="N28" s="203"/>
      <c r="O28" s="203"/>
      <c r="P28" s="203"/>
      <c r="Q28" s="203"/>
      <c r="R28" s="118"/>
    </row>
    <row r="29" spans="2:18" ht="15.75" thickBot="1" x14ac:dyDescent="0.3">
      <c r="B29" s="182"/>
      <c r="C29" s="117"/>
      <c r="D29" s="119"/>
      <c r="E29" s="119"/>
      <c r="F29" s="119"/>
      <c r="G29" s="119"/>
      <c r="H29" s="119"/>
      <c r="I29" s="119"/>
      <c r="J29" s="119"/>
      <c r="K29" s="119"/>
      <c r="L29" s="119"/>
      <c r="M29" s="119"/>
      <c r="N29" s="119"/>
      <c r="O29" s="119"/>
      <c r="P29" s="119"/>
      <c r="Q29" s="119"/>
      <c r="R29" s="118"/>
    </row>
    <row r="30" spans="2:18" x14ac:dyDescent="0.25">
      <c r="B30" s="182"/>
      <c r="C30" s="117"/>
      <c r="D30" s="185" t="s">
        <v>237</v>
      </c>
      <c r="E30" s="186"/>
      <c r="F30" s="186"/>
      <c r="G30" s="186"/>
      <c r="H30" s="186"/>
      <c r="I30" s="186"/>
      <c r="J30" s="186"/>
      <c r="K30" s="186"/>
      <c r="L30" s="186"/>
      <c r="M30" s="186"/>
      <c r="N30" s="186"/>
      <c r="O30" s="186"/>
      <c r="P30" s="186"/>
      <c r="Q30" s="187"/>
      <c r="R30" s="118"/>
    </row>
    <row r="31" spans="2:18" x14ac:dyDescent="0.25">
      <c r="B31" s="182"/>
      <c r="C31" s="117"/>
      <c r="D31" s="193">
        <v>2020</v>
      </c>
      <c r="E31" s="204"/>
      <c r="F31" s="195" t="s">
        <v>238</v>
      </c>
      <c r="G31" s="196"/>
      <c r="H31" s="196"/>
      <c r="I31" s="196"/>
      <c r="J31" s="196"/>
      <c r="K31" s="196"/>
      <c r="L31" s="196"/>
      <c r="M31" s="196"/>
      <c r="N31" s="196"/>
      <c r="O31" s="196"/>
      <c r="P31" s="196"/>
      <c r="Q31" s="197"/>
      <c r="R31" s="118"/>
    </row>
    <row r="32" spans="2:18" x14ac:dyDescent="0.25">
      <c r="B32" s="182"/>
      <c r="C32" s="117"/>
      <c r="D32" s="121"/>
      <c r="E32" s="122"/>
      <c r="F32" s="123" t="s">
        <v>239</v>
      </c>
      <c r="G32" s="123" t="s">
        <v>240</v>
      </c>
      <c r="H32" s="123" t="s">
        <v>241</v>
      </c>
      <c r="I32" s="123" t="s">
        <v>242</v>
      </c>
      <c r="J32" s="123" t="s">
        <v>243</v>
      </c>
      <c r="K32" s="123" t="s">
        <v>244</v>
      </c>
      <c r="L32" s="123" t="s">
        <v>245</v>
      </c>
      <c r="M32" s="123" t="s">
        <v>246</v>
      </c>
      <c r="N32" s="123" t="s">
        <v>247</v>
      </c>
      <c r="O32" s="123" t="s">
        <v>248</v>
      </c>
      <c r="P32" s="123" t="s">
        <v>249</v>
      </c>
      <c r="Q32" s="124" t="s">
        <v>250</v>
      </c>
      <c r="R32" s="125" t="s">
        <v>77</v>
      </c>
    </row>
    <row r="33" spans="2:18" ht="15.75" thickBot="1" x14ac:dyDescent="0.3">
      <c r="B33" s="182"/>
      <c r="C33" s="117"/>
      <c r="D33" s="126"/>
      <c r="E33" s="127"/>
      <c r="F33" s="128">
        <v>0.56269999999999998</v>
      </c>
      <c r="G33" s="128">
        <v>0.52580000000000005</v>
      </c>
      <c r="H33" s="128">
        <v>0.38429999999999997</v>
      </c>
      <c r="I33" s="128">
        <v>0.2964</v>
      </c>
      <c r="J33" s="128">
        <v>0.35749999999999998</v>
      </c>
      <c r="K33" s="128">
        <v>0.4758</v>
      </c>
      <c r="L33" s="128">
        <v>0.39319999999999999</v>
      </c>
      <c r="M33" s="128">
        <v>0.39939999999999998</v>
      </c>
      <c r="N33" s="128">
        <v>0.32869999999999999</v>
      </c>
      <c r="O33" s="128">
        <v>0.57230000000000003</v>
      </c>
      <c r="P33" s="128">
        <v>0.54010000000000002</v>
      </c>
      <c r="Q33" s="129">
        <v>0.61060000000000003</v>
      </c>
      <c r="R33" s="130">
        <f>AVERAGE(F33:Q33)</f>
        <v>0.45389999999999997</v>
      </c>
    </row>
    <row r="34" spans="2:18" ht="15.75" thickBot="1" x14ac:dyDescent="0.3">
      <c r="B34" s="182"/>
      <c r="C34" s="117"/>
      <c r="D34" s="131"/>
      <c r="E34" s="131"/>
      <c r="F34" s="131"/>
      <c r="G34" s="131"/>
      <c r="H34" s="131"/>
      <c r="I34" s="131"/>
      <c r="J34" s="131"/>
      <c r="K34" s="131"/>
      <c r="L34" s="131"/>
      <c r="M34" s="131"/>
      <c r="N34" s="131"/>
      <c r="O34" s="131"/>
      <c r="P34" s="131"/>
      <c r="Q34" s="131"/>
      <c r="R34" s="118"/>
    </row>
    <row r="35" spans="2:18" ht="15.75" thickBot="1" x14ac:dyDescent="0.3">
      <c r="B35" s="182"/>
      <c r="C35" s="117"/>
      <c r="D35" s="131"/>
      <c r="E35" s="131"/>
      <c r="F35" s="131"/>
      <c r="G35" s="131"/>
      <c r="H35" s="131"/>
      <c r="I35" s="205" t="s">
        <v>254</v>
      </c>
      <c r="J35" s="199"/>
      <c r="K35" s="199"/>
      <c r="L35" s="132">
        <f>(F25*0.5)+(R33*0.5)</f>
        <v>0.27589999999999998</v>
      </c>
      <c r="M35" s="131"/>
      <c r="N35" s="131"/>
      <c r="O35" s="131"/>
      <c r="P35" s="131"/>
      <c r="Q35" s="131"/>
      <c r="R35" s="118"/>
    </row>
    <row r="36" spans="2:18" ht="15.75" thickBot="1" x14ac:dyDescent="0.3">
      <c r="B36" s="182"/>
      <c r="C36" s="133"/>
      <c r="D36" s="134"/>
      <c r="E36" s="134"/>
      <c r="F36" s="134"/>
      <c r="G36" s="134"/>
      <c r="H36" s="134"/>
      <c r="I36" s="134"/>
      <c r="J36" s="134"/>
      <c r="K36" s="134"/>
      <c r="L36" s="134"/>
      <c r="M36" s="134"/>
      <c r="N36" s="134"/>
      <c r="O36" s="134"/>
      <c r="P36" s="134"/>
      <c r="Q36" s="134"/>
      <c r="R36" s="135"/>
    </row>
  </sheetData>
  <mergeCells count="20">
    <mergeCell ref="B21:B36"/>
    <mergeCell ref="D22:Q22"/>
    <mergeCell ref="D24:Q24"/>
    <mergeCell ref="D25:E25"/>
    <mergeCell ref="F25:Q25"/>
    <mergeCell ref="D28:Q28"/>
    <mergeCell ref="D30:Q30"/>
    <mergeCell ref="D31:E31"/>
    <mergeCell ref="F31:Q31"/>
    <mergeCell ref="I35:K35"/>
    <mergeCell ref="B3:B18"/>
    <mergeCell ref="D4:Q4"/>
    <mergeCell ref="D6:Q6"/>
    <mergeCell ref="D7:E7"/>
    <mergeCell ref="F7:Q7"/>
    <mergeCell ref="D10:Q10"/>
    <mergeCell ref="D12:Q12"/>
    <mergeCell ref="D13:E13"/>
    <mergeCell ref="F13:Q13"/>
    <mergeCell ref="I17:K17"/>
  </mergeCells>
  <hyperlinks>
    <hyperlink ref="I1" r:id="rId1" location=":~:text=Fatores%20de%20emiss%C3%A3o%20MDL%2FSIN,-Info&amp;text=Ele%20calcula%20a%20m%C3%A9dia%20das,que%20estejam%20funcionando%20na%20margem" xr:uid="{A705C73E-70B8-4CE1-9615-7DF7359D24CC}"/>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9829-C649-4794-B41C-30825FE385A6}">
  <sheetPr>
    <tabColor theme="0" tint="-0.249977111117893"/>
  </sheetPr>
  <dimension ref="B1:G17"/>
  <sheetViews>
    <sheetView zoomScale="90" zoomScaleNormal="90" workbookViewId="0">
      <selection activeCell="B2" sqref="B2:D2"/>
    </sheetView>
  </sheetViews>
  <sheetFormatPr defaultRowHeight="14.25" x14ac:dyDescent="0.25"/>
  <cols>
    <col min="1" max="1" width="2.42578125" style="40" customWidth="1"/>
    <col min="2" max="2" width="22.42578125" style="40" customWidth="1"/>
    <col min="3" max="3" width="31.28515625" style="40" customWidth="1"/>
    <col min="4" max="4" width="19.140625" style="40" customWidth="1"/>
    <col min="5" max="5" width="23.42578125" style="40" customWidth="1"/>
    <col min="6" max="6" width="23" style="40" customWidth="1"/>
    <col min="7" max="7" width="9.28515625" style="40" hidden="1" customWidth="1"/>
    <col min="8" max="8" width="25.28515625" style="40" customWidth="1"/>
    <col min="9" max="256" width="9.140625" style="40"/>
    <col min="257" max="257" width="2.42578125" style="40" customWidth="1"/>
    <col min="258" max="258" width="22.42578125" style="40" customWidth="1"/>
    <col min="259" max="259" width="31.28515625" style="40" customWidth="1"/>
    <col min="260" max="260" width="19.140625" style="40" customWidth="1"/>
    <col min="261" max="261" width="23.42578125" style="40" customWidth="1"/>
    <col min="262" max="262" width="23" style="40" customWidth="1"/>
    <col min="263" max="263" width="0" style="40" hidden="1" customWidth="1"/>
    <col min="264" max="264" width="25.28515625" style="40" customWidth="1"/>
    <col min="265" max="512" width="9.140625" style="40"/>
    <col min="513" max="513" width="2.42578125" style="40" customWidth="1"/>
    <col min="514" max="514" width="22.42578125" style="40" customWidth="1"/>
    <col min="515" max="515" width="31.28515625" style="40" customWidth="1"/>
    <col min="516" max="516" width="19.140625" style="40" customWidth="1"/>
    <col min="517" max="517" width="23.42578125" style="40" customWidth="1"/>
    <col min="518" max="518" width="23" style="40" customWidth="1"/>
    <col min="519" max="519" width="0" style="40" hidden="1" customWidth="1"/>
    <col min="520" max="520" width="25.28515625" style="40" customWidth="1"/>
    <col min="521" max="768" width="9.140625" style="40"/>
    <col min="769" max="769" width="2.42578125" style="40" customWidth="1"/>
    <col min="770" max="770" width="22.42578125" style="40" customWidth="1"/>
    <col min="771" max="771" width="31.28515625" style="40" customWidth="1"/>
    <col min="772" max="772" width="19.140625" style="40" customWidth="1"/>
    <col min="773" max="773" width="23.42578125" style="40" customWidth="1"/>
    <col min="774" max="774" width="23" style="40" customWidth="1"/>
    <col min="775" max="775" width="0" style="40" hidden="1" customWidth="1"/>
    <col min="776" max="776" width="25.28515625" style="40" customWidth="1"/>
    <col min="777" max="1024" width="9.140625" style="40"/>
    <col min="1025" max="1025" width="2.42578125" style="40" customWidth="1"/>
    <col min="1026" max="1026" width="22.42578125" style="40" customWidth="1"/>
    <col min="1027" max="1027" width="31.28515625" style="40" customWidth="1"/>
    <col min="1028" max="1028" width="19.140625" style="40" customWidth="1"/>
    <col min="1029" max="1029" width="23.42578125" style="40" customWidth="1"/>
    <col min="1030" max="1030" width="23" style="40" customWidth="1"/>
    <col min="1031" max="1031" width="0" style="40" hidden="1" customWidth="1"/>
    <col min="1032" max="1032" width="25.28515625" style="40" customWidth="1"/>
    <col min="1033" max="1280" width="9.140625" style="40"/>
    <col min="1281" max="1281" width="2.42578125" style="40" customWidth="1"/>
    <col min="1282" max="1282" width="22.42578125" style="40" customWidth="1"/>
    <col min="1283" max="1283" width="31.28515625" style="40" customWidth="1"/>
    <col min="1284" max="1284" width="19.140625" style="40" customWidth="1"/>
    <col min="1285" max="1285" width="23.42578125" style="40" customWidth="1"/>
    <col min="1286" max="1286" width="23" style="40" customWidth="1"/>
    <col min="1287" max="1287" width="0" style="40" hidden="1" customWidth="1"/>
    <col min="1288" max="1288" width="25.28515625" style="40" customWidth="1"/>
    <col min="1289" max="1536" width="9.140625" style="40"/>
    <col min="1537" max="1537" width="2.42578125" style="40" customWidth="1"/>
    <col min="1538" max="1538" width="22.42578125" style="40" customWidth="1"/>
    <col min="1539" max="1539" width="31.28515625" style="40" customWidth="1"/>
    <col min="1540" max="1540" width="19.140625" style="40" customWidth="1"/>
    <col min="1541" max="1541" width="23.42578125" style="40" customWidth="1"/>
    <col min="1542" max="1542" width="23" style="40" customWidth="1"/>
    <col min="1543" max="1543" width="0" style="40" hidden="1" customWidth="1"/>
    <col min="1544" max="1544" width="25.28515625" style="40" customWidth="1"/>
    <col min="1545" max="1792" width="9.140625" style="40"/>
    <col min="1793" max="1793" width="2.42578125" style="40" customWidth="1"/>
    <col min="1794" max="1794" width="22.42578125" style="40" customWidth="1"/>
    <col min="1795" max="1795" width="31.28515625" style="40" customWidth="1"/>
    <col min="1796" max="1796" width="19.140625" style="40" customWidth="1"/>
    <col min="1797" max="1797" width="23.42578125" style="40" customWidth="1"/>
    <col min="1798" max="1798" width="23" style="40" customWidth="1"/>
    <col min="1799" max="1799" width="0" style="40" hidden="1" customWidth="1"/>
    <col min="1800" max="1800" width="25.28515625" style="40" customWidth="1"/>
    <col min="1801" max="2048" width="9.140625" style="40"/>
    <col min="2049" max="2049" width="2.42578125" style="40" customWidth="1"/>
    <col min="2050" max="2050" width="22.42578125" style="40" customWidth="1"/>
    <col min="2051" max="2051" width="31.28515625" style="40" customWidth="1"/>
    <col min="2052" max="2052" width="19.140625" style="40" customWidth="1"/>
    <col min="2053" max="2053" width="23.42578125" style="40" customWidth="1"/>
    <col min="2054" max="2054" width="23" style="40" customWidth="1"/>
    <col min="2055" max="2055" width="0" style="40" hidden="1" customWidth="1"/>
    <col min="2056" max="2056" width="25.28515625" style="40" customWidth="1"/>
    <col min="2057" max="2304" width="9.140625" style="40"/>
    <col min="2305" max="2305" width="2.42578125" style="40" customWidth="1"/>
    <col min="2306" max="2306" width="22.42578125" style="40" customWidth="1"/>
    <col min="2307" max="2307" width="31.28515625" style="40" customWidth="1"/>
    <col min="2308" max="2308" width="19.140625" style="40" customWidth="1"/>
    <col min="2309" max="2309" width="23.42578125" style="40" customWidth="1"/>
    <col min="2310" max="2310" width="23" style="40" customWidth="1"/>
    <col min="2311" max="2311" width="0" style="40" hidden="1" customWidth="1"/>
    <col min="2312" max="2312" width="25.28515625" style="40" customWidth="1"/>
    <col min="2313" max="2560" width="9.140625" style="40"/>
    <col min="2561" max="2561" width="2.42578125" style="40" customWidth="1"/>
    <col min="2562" max="2562" width="22.42578125" style="40" customWidth="1"/>
    <col min="2563" max="2563" width="31.28515625" style="40" customWidth="1"/>
    <col min="2564" max="2564" width="19.140625" style="40" customWidth="1"/>
    <col min="2565" max="2565" width="23.42578125" style="40" customWidth="1"/>
    <col min="2566" max="2566" width="23" style="40" customWidth="1"/>
    <col min="2567" max="2567" width="0" style="40" hidden="1" customWidth="1"/>
    <col min="2568" max="2568" width="25.28515625" style="40" customWidth="1"/>
    <col min="2569" max="2816" width="9.140625" style="40"/>
    <col min="2817" max="2817" width="2.42578125" style="40" customWidth="1"/>
    <col min="2818" max="2818" width="22.42578125" style="40" customWidth="1"/>
    <col min="2819" max="2819" width="31.28515625" style="40" customWidth="1"/>
    <col min="2820" max="2820" width="19.140625" style="40" customWidth="1"/>
    <col min="2821" max="2821" width="23.42578125" style="40" customWidth="1"/>
    <col min="2822" max="2822" width="23" style="40" customWidth="1"/>
    <col min="2823" max="2823" width="0" style="40" hidden="1" customWidth="1"/>
    <col min="2824" max="2824" width="25.28515625" style="40" customWidth="1"/>
    <col min="2825" max="3072" width="9.140625" style="40"/>
    <col min="3073" max="3073" width="2.42578125" style="40" customWidth="1"/>
    <col min="3074" max="3074" width="22.42578125" style="40" customWidth="1"/>
    <col min="3075" max="3075" width="31.28515625" style="40" customWidth="1"/>
    <col min="3076" max="3076" width="19.140625" style="40" customWidth="1"/>
    <col min="3077" max="3077" width="23.42578125" style="40" customWidth="1"/>
    <col min="3078" max="3078" width="23" style="40" customWidth="1"/>
    <col min="3079" max="3079" width="0" style="40" hidden="1" customWidth="1"/>
    <col min="3080" max="3080" width="25.28515625" style="40" customWidth="1"/>
    <col min="3081" max="3328" width="9.140625" style="40"/>
    <col min="3329" max="3329" width="2.42578125" style="40" customWidth="1"/>
    <col min="3330" max="3330" width="22.42578125" style="40" customWidth="1"/>
    <col min="3331" max="3331" width="31.28515625" style="40" customWidth="1"/>
    <col min="3332" max="3332" width="19.140625" style="40" customWidth="1"/>
    <col min="3333" max="3333" width="23.42578125" style="40" customWidth="1"/>
    <col min="3334" max="3334" width="23" style="40" customWidth="1"/>
    <col min="3335" max="3335" width="0" style="40" hidden="1" customWidth="1"/>
    <col min="3336" max="3336" width="25.28515625" style="40" customWidth="1"/>
    <col min="3337" max="3584" width="9.140625" style="40"/>
    <col min="3585" max="3585" width="2.42578125" style="40" customWidth="1"/>
    <col min="3586" max="3586" width="22.42578125" style="40" customWidth="1"/>
    <col min="3587" max="3587" width="31.28515625" style="40" customWidth="1"/>
    <col min="3588" max="3588" width="19.140625" style="40" customWidth="1"/>
    <col min="3589" max="3589" width="23.42578125" style="40" customWidth="1"/>
    <col min="3590" max="3590" width="23" style="40" customWidth="1"/>
    <col min="3591" max="3591" width="0" style="40" hidden="1" customWidth="1"/>
    <col min="3592" max="3592" width="25.28515625" style="40" customWidth="1"/>
    <col min="3593" max="3840" width="9.140625" style="40"/>
    <col min="3841" max="3841" width="2.42578125" style="40" customWidth="1"/>
    <col min="3842" max="3842" width="22.42578125" style="40" customWidth="1"/>
    <col min="3843" max="3843" width="31.28515625" style="40" customWidth="1"/>
    <col min="3844" max="3844" width="19.140625" style="40" customWidth="1"/>
    <col min="3845" max="3845" width="23.42578125" style="40" customWidth="1"/>
    <col min="3846" max="3846" width="23" style="40" customWidth="1"/>
    <col min="3847" max="3847" width="0" style="40" hidden="1" customWidth="1"/>
    <col min="3848" max="3848" width="25.28515625" style="40" customWidth="1"/>
    <col min="3849" max="4096" width="9.140625" style="40"/>
    <col min="4097" max="4097" width="2.42578125" style="40" customWidth="1"/>
    <col min="4098" max="4098" width="22.42578125" style="40" customWidth="1"/>
    <col min="4099" max="4099" width="31.28515625" style="40" customWidth="1"/>
    <col min="4100" max="4100" width="19.140625" style="40" customWidth="1"/>
    <col min="4101" max="4101" width="23.42578125" style="40" customWidth="1"/>
    <col min="4102" max="4102" width="23" style="40" customWidth="1"/>
    <col min="4103" max="4103" width="0" style="40" hidden="1" customWidth="1"/>
    <col min="4104" max="4104" width="25.28515625" style="40" customWidth="1"/>
    <col min="4105" max="4352" width="9.140625" style="40"/>
    <col min="4353" max="4353" width="2.42578125" style="40" customWidth="1"/>
    <col min="4354" max="4354" width="22.42578125" style="40" customWidth="1"/>
    <col min="4355" max="4355" width="31.28515625" style="40" customWidth="1"/>
    <col min="4356" max="4356" width="19.140625" style="40" customWidth="1"/>
    <col min="4357" max="4357" width="23.42578125" style="40" customWidth="1"/>
    <col min="4358" max="4358" width="23" style="40" customWidth="1"/>
    <col min="4359" max="4359" width="0" style="40" hidden="1" customWidth="1"/>
    <col min="4360" max="4360" width="25.28515625" style="40" customWidth="1"/>
    <col min="4361" max="4608" width="9.140625" style="40"/>
    <col min="4609" max="4609" width="2.42578125" style="40" customWidth="1"/>
    <col min="4610" max="4610" width="22.42578125" style="40" customWidth="1"/>
    <col min="4611" max="4611" width="31.28515625" style="40" customWidth="1"/>
    <col min="4612" max="4612" width="19.140625" style="40" customWidth="1"/>
    <col min="4613" max="4613" width="23.42578125" style="40" customWidth="1"/>
    <col min="4614" max="4614" width="23" style="40" customWidth="1"/>
    <col min="4615" max="4615" width="0" style="40" hidden="1" customWidth="1"/>
    <col min="4616" max="4616" width="25.28515625" style="40" customWidth="1"/>
    <col min="4617" max="4864" width="9.140625" style="40"/>
    <col min="4865" max="4865" width="2.42578125" style="40" customWidth="1"/>
    <col min="4866" max="4866" width="22.42578125" style="40" customWidth="1"/>
    <col min="4867" max="4867" width="31.28515625" style="40" customWidth="1"/>
    <col min="4868" max="4868" width="19.140625" style="40" customWidth="1"/>
    <col min="4869" max="4869" width="23.42578125" style="40" customWidth="1"/>
    <col min="4870" max="4870" width="23" style="40" customWidth="1"/>
    <col min="4871" max="4871" width="0" style="40" hidden="1" customWidth="1"/>
    <col min="4872" max="4872" width="25.28515625" style="40" customWidth="1"/>
    <col min="4873" max="5120" width="9.140625" style="40"/>
    <col min="5121" max="5121" width="2.42578125" style="40" customWidth="1"/>
    <col min="5122" max="5122" width="22.42578125" style="40" customWidth="1"/>
    <col min="5123" max="5123" width="31.28515625" style="40" customWidth="1"/>
    <col min="5124" max="5124" width="19.140625" style="40" customWidth="1"/>
    <col min="5125" max="5125" width="23.42578125" style="40" customWidth="1"/>
    <col min="5126" max="5126" width="23" style="40" customWidth="1"/>
    <col min="5127" max="5127" width="0" style="40" hidden="1" customWidth="1"/>
    <col min="5128" max="5128" width="25.28515625" style="40" customWidth="1"/>
    <col min="5129" max="5376" width="9.140625" style="40"/>
    <col min="5377" max="5377" width="2.42578125" style="40" customWidth="1"/>
    <col min="5378" max="5378" width="22.42578125" style="40" customWidth="1"/>
    <col min="5379" max="5379" width="31.28515625" style="40" customWidth="1"/>
    <col min="5380" max="5380" width="19.140625" style="40" customWidth="1"/>
    <col min="5381" max="5381" width="23.42578125" style="40" customWidth="1"/>
    <col min="5382" max="5382" width="23" style="40" customWidth="1"/>
    <col min="5383" max="5383" width="0" style="40" hidden="1" customWidth="1"/>
    <col min="5384" max="5384" width="25.28515625" style="40" customWidth="1"/>
    <col min="5385" max="5632" width="9.140625" style="40"/>
    <col min="5633" max="5633" width="2.42578125" style="40" customWidth="1"/>
    <col min="5634" max="5634" width="22.42578125" style="40" customWidth="1"/>
    <col min="5635" max="5635" width="31.28515625" style="40" customWidth="1"/>
    <col min="5636" max="5636" width="19.140625" style="40" customWidth="1"/>
    <col min="5637" max="5637" width="23.42578125" style="40" customWidth="1"/>
    <col min="5638" max="5638" width="23" style="40" customWidth="1"/>
    <col min="5639" max="5639" width="0" style="40" hidden="1" customWidth="1"/>
    <col min="5640" max="5640" width="25.28515625" style="40" customWidth="1"/>
    <col min="5641" max="5888" width="9.140625" style="40"/>
    <col min="5889" max="5889" width="2.42578125" style="40" customWidth="1"/>
    <col min="5890" max="5890" width="22.42578125" style="40" customWidth="1"/>
    <col min="5891" max="5891" width="31.28515625" style="40" customWidth="1"/>
    <col min="5892" max="5892" width="19.140625" style="40" customWidth="1"/>
    <col min="5893" max="5893" width="23.42578125" style="40" customWidth="1"/>
    <col min="5894" max="5894" width="23" style="40" customWidth="1"/>
    <col min="5895" max="5895" width="0" style="40" hidden="1" customWidth="1"/>
    <col min="5896" max="5896" width="25.28515625" style="40" customWidth="1"/>
    <col min="5897" max="6144" width="9.140625" style="40"/>
    <col min="6145" max="6145" width="2.42578125" style="40" customWidth="1"/>
    <col min="6146" max="6146" width="22.42578125" style="40" customWidth="1"/>
    <col min="6147" max="6147" width="31.28515625" style="40" customWidth="1"/>
    <col min="6148" max="6148" width="19.140625" style="40" customWidth="1"/>
    <col min="6149" max="6149" width="23.42578125" style="40" customWidth="1"/>
    <col min="6150" max="6150" width="23" style="40" customWidth="1"/>
    <col min="6151" max="6151" width="0" style="40" hidden="1" customWidth="1"/>
    <col min="6152" max="6152" width="25.28515625" style="40" customWidth="1"/>
    <col min="6153" max="6400" width="9.140625" style="40"/>
    <col min="6401" max="6401" width="2.42578125" style="40" customWidth="1"/>
    <col min="6402" max="6402" width="22.42578125" style="40" customWidth="1"/>
    <col min="6403" max="6403" width="31.28515625" style="40" customWidth="1"/>
    <col min="6404" max="6404" width="19.140625" style="40" customWidth="1"/>
    <col min="6405" max="6405" width="23.42578125" style="40" customWidth="1"/>
    <col min="6406" max="6406" width="23" style="40" customWidth="1"/>
    <col min="6407" max="6407" width="0" style="40" hidden="1" customWidth="1"/>
    <col min="6408" max="6408" width="25.28515625" style="40" customWidth="1"/>
    <col min="6409" max="6656" width="9.140625" style="40"/>
    <col min="6657" max="6657" width="2.42578125" style="40" customWidth="1"/>
    <col min="6658" max="6658" width="22.42578125" style="40" customWidth="1"/>
    <col min="6659" max="6659" width="31.28515625" style="40" customWidth="1"/>
    <col min="6660" max="6660" width="19.140625" style="40" customWidth="1"/>
    <col min="6661" max="6661" width="23.42578125" style="40" customWidth="1"/>
    <col min="6662" max="6662" width="23" style="40" customWidth="1"/>
    <col min="6663" max="6663" width="0" style="40" hidden="1" customWidth="1"/>
    <col min="6664" max="6664" width="25.28515625" style="40" customWidth="1"/>
    <col min="6665" max="6912" width="9.140625" style="40"/>
    <col min="6913" max="6913" width="2.42578125" style="40" customWidth="1"/>
    <col min="6914" max="6914" width="22.42578125" style="40" customWidth="1"/>
    <col min="6915" max="6915" width="31.28515625" style="40" customWidth="1"/>
    <col min="6916" max="6916" width="19.140625" style="40" customWidth="1"/>
    <col min="6917" max="6917" width="23.42578125" style="40" customWidth="1"/>
    <col min="6918" max="6918" width="23" style="40" customWidth="1"/>
    <col min="6919" max="6919" width="0" style="40" hidden="1" customWidth="1"/>
    <col min="6920" max="6920" width="25.28515625" style="40" customWidth="1"/>
    <col min="6921" max="7168" width="9.140625" style="40"/>
    <col min="7169" max="7169" width="2.42578125" style="40" customWidth="1"/>
    <col min="7170" max="7170" width="22.42578125" style="40" customWidth="1"/>
    <col min="7171" max="7171" width="31.28515625" style="40" customWidth="1"/>
    <col min="7172" max="7172" width="19.140625" style="40" customWidth="1"/>
    <col min="7173" max="7173" width="23.42578125" style="40" customWidth="1"/>
    <col min="7174" max="7174" width="23" style="40" customWidth="1"/>
    <col min="7175" max="7175" width="0" style="40" hidden="1" customWidth="1"/>
    <col min="7176" max="7176" width="25.28515625" style="40" customWidth="1"/>
    <col min="7177" max="7424" width="9.140625" style="40"/>
    <col min="7425" max="7425" width="2.42578125" style="40" customWidth="1"/>
    <col min="7426" max="7426" width="22.42578125" style="40" customWidth="1"/>
    <col min="7427" max="7427" width="31.28515625" style="40" customWidth="1"/>
    <col min="7428" max="7428" width="19.140625" style="40" customWidth="1"/>
    <col min="7429" max="7429" width="23.42578125" style="40" customWidth="1"/>
    <col min="7430" max="7430" width="23" style="40" customWidth="1"/>
    <col min="7431" max="7431" width="0" style="40" hidden="1" customWidth="1"/>
    <col min="7432" max="7432" width="25.28515625" style="40" customWidth="1"/>
    <col min="7433" max="7680" width="9.140625" style="40"/>
    <col min="7681" max="7681" width="2.42578125" style="40" customWidth="1"/>
    <col min="7682" max="7682" width="22.42578125" style="40" customWidth="1"/>
    <col min="7683" max="7683" width="31.28515625" style="40" customWidth="1"/>
    <col min="7684" max="7684" width="19.140625" style="40" customWidth="1"/>
    <col min="7685" max="7685" width="23.42578125" style="40" customWidth="1"/>
    <col min="7686" max="7686" width="23" style="40" customWidth="1"/>
    <col min="7687" max="7687" width="0" style="40" hidden="1" customWidth="1"/>
    <col min="7688" max="7688" width="25.28515625" style="40" customWidth="1"/>
    <col min="7689" max="7936" width="9.140625" style="40"/>
    <col min="7937" max="7937" width="2.42578125" style="40" customWidth="1"/>
    <col min="7938" max="7938" width="22.42578125" style="40" customWidth="1"/>
    <col min="7939" max="7939" width="31.28515625" style="40" customWidth="1"/>
    <col min="7940" max="7940" width="19.140625" style="40" customWidth="1"/>
    <col min="7941" max="7941" width="23.42578125" style="40" customWidth="1"/>
    <col min="7942" max="7942" width="23" style="40" customWidth="1"/>
    <col min="7943" max="7943" width="0" style="40" hidden="1" customWidth="1"/>
    <col min="7944" max="7944" width="25.28515625" style="40" customWidth="1"/>
    <col min="7945" max="8192" width="9.140625" style="40"/>
    <col min="8193" max="8193" width="2.42578125" style="40" customWidth="1"/>
    <col min="8194" max="8194" width="22.42578125" style="40" customWidth="1"/>
    <col min="8195" max="8195" width="31.28515625" style="40" customWidth="1"/>
    <col min="8196" max="8196" width="19.140625" style="40" customWidth="1"/>
    <col min="8197" max="8197" width="23.42578125" style="40" customWidth="1"/>
    <col min="8198" max="8198" width="23" style="40" customWidth="1"/>
    <col min="8199" max="8199" width="0" style="40" hidden="1" customWidth="1"/>
    <col min="8200" max="8200" width="25.28515625" style="40" customWidth="1"/>
    <col min="8201" max="8448" width="9.140625" style="40"/>
    <col min="8449" max="8449" width="2.42578125" style="40" customWidth="1"/>
    <col min="8450" max="8450" width="22.42578125" style="40" customWidth="1"/>
    <col min="8451" max="8451" width="31.28515625" style="40" customWidth="1"/>
    <col min="8452" max="8452" width="19.140625" style="40" customWidth="1"/>
    <col min="8453" max="8453" width="23.42578125" style="40" customWidth="1"/>
    <col min="8454" max="8454" width="23" style="40" customWidth="1"/>
    <col min="8455" max="8455" width="0" style="40" hidden="1" customWidth="1"/>
    <col min="8456" max="8456" width="25.28515625" style="40" customWidth="1"/>
    <col min="8457" max="8704" width="9.140625" style="40"/>
    <col min="8705" max="8705" width="2.42578125" style="40" customWidth="1"/>
    <col min="8706" max="8706" width="22.42578125" style="40" customWidth="1"/>
    <col min="8707" max="8707" width="31.28515625" style="40" customWidth="1"/>
    <col min="8708" max="8708" width="19.140625" style="40" customWidth="1"/>
    <col min="8709" max="8709" width="23.42578125" style="40" customWidth="1"/>
    <col min="8710" max="8710" width="23" style="40" customWidth="1"/>
    <col min="8711" max="8711" width="0" style="40" hidden="1" customWidth="1"/>
    <col min="8712" max="8712" width="25.28515625" style="40" customWidth="1"/>
    <col min="8713" max="8960" width="9.140625" style="40"/>
    <col min="8961" max="8961" width="2.42578125" style="40" customWidth="1"/>
    <col min="8962" max="8962" width="22.42578125" style="40" customWidth="1"/>
    <col min="8963" max="8963" width="31.28515625" style="40" customWidth="1"/>
    <col min="8964" max="8964" width="19.140625" style="40" customWidth="1"/>
    <col min="8965" max="8965" width="23.42578125" style="40" customWidth="1"/>
    <col min="8966" max="8966" width="23" style="40" customWidth="1"/>
    <col min="8967" max="8967" width="0" style="40" hidden="1" customWidth="1"/>
    <col min="8968" max="8968" width="25.28515625" style="40" customWidth="1"/>
    <col min="8969" max="9216" width="9.140625" style="40"/>
    <col min="9217" max="9217" width="2.42578125" style="40" customWidth="1"/>
    <col min="9218" max="9218" width="22.42578125" style="40" customWidth="1"/>
    <col min="9219" max="9219" width="31.28515625" style="40" customWidth="1"/>
    <col min="9220" max="9220" width="19.140625" style="40" customWidth="1"/>
    <col min="9221" max="9221" width="23.42578125" style="40" customWidth="1"/>
    <col min="9222" max="9222" width="23" style="40" customWidth="1"/>
    <col min="9223" max="9223" width="0" style="40" hidden="1" customWidth="1"/>
    <col min="9224" max="9224" width="25.28515625" style="40" customWidth="1"/>
    <col min="9225" max="9472" width="9.140625" style="40"/>
    <col min="9473" max="9473" width="2.42578125" style="40" customWidth="1"/>
    <col min="9474" max="9474" width="22.42578125" style="40" customWidth="1"/>
    <col min="9475" max="9475" width="31.28515625" style="40" customWidth="1"/>
    <col min="9476" max="9476" width="19.140625" style="40" customWidth="1"/>
    <col min="9477" max="9477" width="23.42578125" style="40" customWidth="1"/>
    <col min="9478" max="9478" width="23" style="40" customWidth="1"/>
    <col min="9479" max="9479" width="0" style="40" hidden="1" customWidth="1"/>
    <col min="9480" max="9480" width="25.28515625" style="40" customWidth="1"/>
    <col min="9481" max="9728" width="9.140625" style="40"/>
    <col min="9729" max="9729" width="2.42578125" style="40" customWidth="1"/>
    <col min="9730" max="9730" width="22.42578125" style="40" customWidth="1"/>
    <col min="9731" max="9731" width="31.28515625" style="40" customWidth="1"/>
    <col min="9732" max="9732" width="19.140625" style="40" customWidth="1"/>
    <col min="9733" max="9733" width="23.42578125" style="40" customWidth="1"/>
    <col min="9734" max="9734" width="23" style="40" customWidth="1"/>
    <col min="9735" max="9735" width="0" style="40" hidden="1" customWidth="1"/>
    <col min="9736" max="9736" width="25.28515625" style="40" customWidth="1"/>
    <col min="9737" max="9984" width="9.140625" style="40"/>
    <col min="9985" max="9985" width="2.42578125" style="40" customWidth="1"/>
    <col min="9986" max="9986" width="22.42578125" style="40" customWidth="1"/>
    <col min="9987" max="9987" width="31.28515625" style="40" customWidth="1"/>
    <col min="9988" max="9988" width="19.140625" style="40" customWidth="1"/>
    <col min="9989" max="9989" width="23.42578125" style="40" customWidth="1"/>
    <col min="9990" max="9990" width="23" style="40" customWidth="1"/>
    <col min="9991" max="9991" width="0" style="40" hidden="1" customWidth="1"/>
    <col min="9992" max="9992" width="25.28515625" style="40" customWidth="1"/>
    <col min="9993" max="10240" width="9.140625" style="40"/>
    <col min="10241" max="10241" width="2.42578125" style="40" customWidth="1"/>
    <col min="10242" max="10242" width="22.42578125" style="40" customWidth="1"/>
    <col min="10243" max="10243" width="31.28515625" style="40" customWidth="1"/>
    <col min="10244" max="10244" width="19.140625" style="40" customWidth="1"/>
    <col min="10245" max="10245" width="23.42578125" style="40" customWidth="1"/>
    <col min="10246" max="10246" width="23" style="40" customWidth="1"/>
    <col min="10247" max="10247" width="0" style="40" hidden="1" customWidth="1"/>
    <col min="10248" max="10248" width="25.28515625" style="40" customWidth="1"/>
    <col min="10249" max="10496" width="9.140625" style="40"/>
    <col min="10497" max="10497" width="2.42578125" style="40" customWidth="1"/>
    <col min="10498" max="10498" width="22.42578125" style="40" customWidth="1"/>
    <col min="10499" max="10499" width="31.28515625" style="40" customWidth="1"/>
    <col min="10500" max="10500" width="19.140625" style="40" customWidth="1"/>
    <col min="10501" max="10501" width="23.42578125" style="40" customWidth="1"/>
    <col min="10502" max="10502" width="23" style="40" customWidth="1"/>
    <col min="10503" max="10503" width="0" style="40" hidden="1" customWidth="1"/>
    <col min="10504" max="10504" width="25.28515625" style="40" customWidth="1"/>
    <col min="10505" max="10752" width="9.140625" style="40"/>
    <col min="10753" max="10753" width="2.42578125" style="40" customWidth="1"/>
    <col min="10754" max="10754" width="22.42578125" style="40" customWidth="1"/>
    <col min="10755" max="10755" width="31.28515625" style="40" customWidth="1"/>
    <col min="10756" max="10756" width="19.140625" style="40" customWidth="1"/>
    <col min="10757" max="10757" width="23.42578125" style="40" customWidth="1"/>
    <col min="10758" max="10758" width="23" style="40" customWidth="1"/>
    <col min="10759" max="10759" width="0" style="40" hidden="1" customWidth="1"/>
    <col min="10760" max="10760" width="25.28515625" style="40" customWidth="1"/>
    <col min="10761" max="11008" width="9.140625" style="40"/>
    <col min="11009" max="11009" width="2.42578125" style="40" customWidth="1"/>
    <col min="11010" max="11010" width="22.42578125" style="40" customWidth="1"/>
    <col min="11011" max="11011" width="31.28515625" style="40" customWidth="1"/>
    <col min="11012" max="11012" width="19.140625" style="40" customWidth="1"/>
    <col min="11013" max="11013" width="23.42578125" style="40" customWidth="1"/>
    <col min="11014" max="11014" width="23" style="40" customWidth="1"/>
    <col min="11015" max="11015" width="0" style="40" hidden="1" customWidth="1"/>
    <col min="11016" max="11016" width="25.28515625" style="40" customWidth="1"/>
    <col min="11017" max="11264" width="9.140625" style="40"/>
    <col min="11265" max="11265" width="2.42578125" style="40" customWidth="1"/>
    <col min="11266" max="11266" width="22.42578125" style="40" customWidth="1"/>
    <col min="11267" max="11267" width="31.28515625" style="40" customWidth="1"/>
    <col min="11268" max="11268" width="19.140625" style="40" customWidth="1"/>
    <col min="11269" max="11269" width="23.42578125" style="40" customWidth="1"/>
    <col min="11270" max="11270" width="23" style="40" customWidth="1"/>
    <col min="11271" max="11271" width="0" style="40" hidden="1" customWidth="1"/>
    <col min="11272" max="11272" width="25.28515625" style="40" customWidth="1"/>
    <col min="11273" max="11520" width="9.140625" style="40"/>
    <col min="11521" max="11521" width="2.42578125" style="40" customWidth="1"/>
    <col min="11522" max="11522" width="22.42578125" style="40" customWidth="1"/>
    <col min="11523" max="11523" width="31.28515625" style="40" customWidth="1"/>
    <col min="11524" max="11524" width="19.140625" style="40" customWidth="1"/>
    <col min="11525" max="11525" width="23.42578125" style="40" customWidth="1"/>
    <col min="11526" max="11526" width="23" style="40" customWidth="1"/>
    <col min="11527" max="11527" width="0" style="40" hidden="1" customWidth="1"/>
    <col min="11528" max="11528" width="25.28515625" style="40" customWidth="1"/>
    <col min="11529" max="11776" width="9.140625" style="40"/>
    <col min="11777" max="11777" width="2.42578125" style="40" customWidth="1"/>
    <col min="11778" max="11778" width="22.42578125" style="40" customWidth="1"/>
    <col min="11779" max="11779" width="31.28515625" style="40" customWidth="1"/>
    <col min="11780" max="11780" width="19.140625" style="40" customWidth="1"/>
    <col min="11781" max="11781" width="23.42578125" style="40" customWidth="1"/>
    <col min="11782" max="11782" width="23" style="40" customWidth="1"/>
    <col min="11783" max="11783" width="0" style="40" hidden="1" customWidth="1"/>
    <col min="11784" max="11784" width="25.28515625" style="40" customWidth="1"/>
    <col min="11785" max="12032" width="9.140625" style="40"/>
    <col min="12033" max="12033" width="2.42578125" style="40" customWidth="1"/>
    <col min="12034" max="12034" width="22.42578125" style="40" customWidth="1"/>
    <col min="12035" max="12035" width="31.28515625" style="40" customWidth="1"/>
    <col min="12036" max="12036" width="19.140625" style="40" customWidth="1"/>
    <col min="12037" max="12037" width="23.42578125" style="40" customWidth="1"/>
    <col min="12038" max="12038" width="23" style="40" customWidth="1"/>
    <col min="12039" max="12039" width="0" style="40" hidden="1" customWidth="1"/>
    <col min="12040" max="12040" width="25.28515625" style="40" customWidth="1"/>
    <col min="12041" max="12288" width="9.140625" style="40"/>
    <col min="12289" max="12289" width="2.42578125" style="40" customWidth="1"/>
    <col min="12290" max="12290" width="22.42578125" style="40" customWidth="1"/>
    <col min="12291" max="12291" width="31.28515625" style="40" customWidth="1"/>
    <col min="12292" max="12292" width="19.140625" style="40" customWidth="1"/>
    <col min="12293" max="12293" width="23.42578125" style="40" customWidth="1"/>
    <col min="12294" max="12294" width="23" style="40" customWidth="1"/>
    <col min="12295" max="12295" width="0" style="40" hidden="1" customWidth="1"/>
    <col min="12296" max="12296" width="25.28515625" style="40" customWidth="1"/>
    <col min="12297" max="12544" width="9.140625" style="40"/>
    <col min="12545" max="12545" width="2.42578125" style="40" customWidth="1"/>
    <col min="12546" max="12546" width="22.42578125" style="40" customWidth="1"/>
    <col min="12547" max="12547" width="31.28515625" style="40" customWidth="1"/>
    <col min="12548" max="12548" width="19.140625" style="40" customWidth="1"/>
    <col min="12549" max="12549" width="23.42578125" style="40" customWidth="1"/>
    <col min="12550" max="12550" width="23" style="40" customWidth="1"/>
    <col min="12551" max="12551" width="0" style="40" hidden="1" customWidth="1"/>
    <col min="12552" max="12552" width="25.28515625" style="40" customWidth="1"/>
    <col min="12553" max="12800" width="9.140625" style="40"/>
    <col min="12801" max="12801" width="2.42578125" style="40" customWidth="1"/>
    <col min="12802" max="12802" width="22.42578125" style="40" customWidth="1"/>
    <col min="12803" max="12803" width="31.28515625" style="40" customWidth="1"/>
    <col min="12804" max="12804" width="19.140625" style="40" customWidth="1"/>
    <col min="12805" max="12805" width="23.42578125" style="40" customWidth="1"/>
    <col min="12806" max="12806" width="23" style="40" customWidth="1"/>
    <col min="12807" max="12807" width="0" style="40" hidden="1" customWidth="1"/>
    <col min="12808" max="12808" width="25.28515625" style="40" customWidth="1"/>
    <col min="12809" max="13056" width="9.140625" style="40"/>
    <col min="13057" max="13057" width="2.42578125" style="40" customWidth="1"/>
    <col min="13058" max="13058" width="22.42578125" style="40" customWidth="1"/>
    <col min="13059" max="13059" width="31.28515625" style="40" customWidth="1"/>
    <col min="13060" max="13060" width="19.140625" style="40" customWidth="1"/>
    <col min="13061" max="13061" width="23.42578125" style="40" customWidth="1"/>
    <col min="13062" max="13062" width="23" style="40" customWidth="1"/>
    <col min="13063" max="13063" width="0" style="40" hidden="1" customWidth="1"/>
    <col min="13064" max="13064" width="25.28515625" style="40" customWidth="1"/>
    <col min="13065" max="13312" width="9.140625" style="40"/>
    <col min="13313" max="13313" width="2.42578125" style="40" customWidth="1"/>
    <col min="13314" max="13314" width="22.42578125" style="40" customWidth="1"/>
    <col min="13315" max="13315" width="31.28515625" style="40" customWidth="1"/>
    <col min="13316" max="13316" width="19.140625" style="40" customWidth="1"/>
    <col min="13317" max="13317" width="23.42578125" style="40" customWidth="1"/>
    <col min="13318" max="13318" width="23" style="40" customWidth="1"/>
    <col min="13319" max="13319" width="0" style="40" hidden="1" customWidth="1"/>
    <col min="13320" max="13320" width="25.28515625" style="40" customWidth="1"/>
    <col min="13321" max="13568" width="9.140625" style="40"/>
    <col min="13569" max="13569" width="2.42578125" style="40" customWidth="1"/>
    <col min="13570" max="13570" width="22.42578125" style="40" customWidth="1"/>
    <col min="13571" max="13571" width="31.28515625" style="40" customWidth="1"/>
    <col min="13572" max="13572" width="19.140625" style="40" customWidth="1"/>
    <col min="13573" max="13573" width="23.42578125" style="40" customWidth="1"/>
    <col min="13574" max="13574" width="23" style="40" customWidth="1"/>
    <col min="13575" max="13575" width="0" style="40" hidden="1" customWidth="1"/>
    <col min="13576" max="13576" width="25.28515625" style="40" customWidth="1"/>
    <col min="13577" max="13824" width="9.140625" style="40"/>
    <col min="13825" max="13825" width="2.42578125" style="40" customWidth="1"/>
    <col min="13826" max="13826" width="22.42578125" style="40" customWidth="1"/>
    <col min="13827" max="13827" width="31.28515625" style="40" customWidth="1"/>
    <col min="13828" max="13828" width="19.140625" style="40" customWidth="1"/>
    <col min="13829" max="13829" width="23.42578125" style="40" customWidth="1"/>
    <col min="13830" max="13830" width="23" style="40" customWidth="1"/>
    <col min="13831" max="13831" width="0" style="40" hidden="1" customWidth="1"/>
    <col min="13832" max="13832" width="25.28515625" style="40" customWidth="1"/>
    <col min="13833" max="14080" width="9.140625" style="40"/>
    <col min="14081" max="14081" width="2.42578125" style="40" customWidth="1"/>
    <col min="14082" max="14082" width="22.42578125" style="40" customWidth="1"/>
    <col min="14083" max="14083" width="31.28515625" style="40" customWidth="1"/>
    <col min="14084" max="14084" width="19.140625" style="40" customWidth="1"/>
    <col min="14085" max="14085" width="23.42578125" style="40" customWidth="1"/>
    <col min="14086" max="14086" width="23" style="40" customWidth="1"/>
    <col min="14087" max="14087" width="0" style="40" hidden="1" customWidth="1"/>
    <col min="14088" max="14088" width="25.28515625" style="40" customWidth="1"/>
    <col min="14089" max="14336" width="9.140625" style="40"/>
    <col min="14337" max="14337" width="2.42578125" style="40" customWidth="1"/>
    <col min="14338" max="14338" width="22.42578125" style="40" customWidth="1"/>
    <col min="14339" max="14339" width="31.28515625" style="40" customWidth="1"/>
    <col min="14340" max="14340" width="19.140625" style="40" customWidth="1"/>
    <col min="14341" max="14341" width="23.42578125" style="40" customWidth="1"/>
    <col min="14342" max="14342" width="23" style="40" customWidth="1"/>
    <col min="14343" max="14343" width="0" style="40" hidden="1" customWidth="1"/>
    <col min="14344" max="14344" width="25.28515625" style="40" customWidth="1"/>
    <col min="14345" max="14592" width="9.140625" style="40"/>
    <col min="14593" max="14593" width="2.42578125" style="40" customWidth="1"/>
    <col min="14594" max="14594" width="22.42578125" style="40" customWidth="1"/>
    <col min="14595" max="14595" width="31.28515625" style="40" customWidth="1"/>
    <col min="14596" max="14596" width="19.140625" style="40" customWidth="1"/>
    <col min="14597" max="14597" width="23.42578125" style="40" customWidth="1"/>
    <col min="14598" max="14598" width="23" style="40" customWidth="1"/>
    <col min="14599" max="14599" width="0" style="40" hidden="1" customWidth="1"/>
    <col min="14600" max="14600" width="25.28515625" style="40" customWidth="1"/>
    <col min="14601" max="14848" width="9.140625" style="40"/>
    <col min="14849" max="14849" width="2.42578125" style="40" customWidth="1"/>
    <col min="14850" max="14850" width="22.42578125" style="40" customWidth="1"/>
    <col min="14851" max="14851" width="31.28515625" style="40" customWidth="1"/>
    <col min="14852" max="14852" width="19.140625" style="40" customWidth="1"/>
    <col min="14853" max="14853" width="23.42578125" style="40" customWidth="1"/>
    <col min="14854" max="14854" width="23" style="40" customWidth="1"/>
    <col min="14855" max="14855" width="0" style="40" hidden="1" customWidth="1"/>
    <col min="14856" max="14856" width="25.28515625" style="40" customWidth="1"/>
    <col min="14857" max="15104" width="9.140625" style="40"/>
    <col min="15105" max="15105" width="2.42578125" style="40" customWidth="1"/>
    <col min="15106" max="15106" width="22.42578125" style="40" customWidth="1"/>
    <col min="15107" max="15107" width="31.28515625" style="40" customWidth="1"/>
    <col min="15108" max="15108" width="19.140625" style="40" customWidth="1"/>
    <col min="15109" max="15109" width="23.42578125" style="40" customWidth="1"/>
    <col min="15110" max="15110" width="23" style="40" customWidth="1"/>
    <col min="15111" max="15111" width="0" style="40" hidden="1" customWidth="1"/>
    <col min="15112" max="15112" width="25.28515625" style="40" customWidth="1"/>
    <col min="15113" max="15360" width="9.140625" style="40"/>
    <col min="15361" max="15361" width="2.42578125" style="40" customWidth="1"/>
    <col min="15362" max="15362" width="22.42578125" style="40" customWidth="1"/>
    <col min="15363" max="15363" width="31.28515625" style="40" customWidth="1"/>
    <col min="15364" max="15364" width="19.140625" style="40" customWidth="1"/>
    <col min="15365" max="15365" width="23.42578125" style="40" customWidth="1"/>
    <col min="15366" max="15366" width="23" style="40" customWidth="1"/>
    <col min="15367" max="15367" width="0" style="40" hidden="1" customWidth="1"/>
    <col min="15368" max="15368" width="25.28515625" style="40" customWidth="1"/>
    <col min="15369" max="15616" width="9.140625" style="40"/>
    <col min="15617" max="15617" width="2.42578125" style="40" customWidth="1"/>
    <col min="15618" max="15618" width="22.42578125" style="40" customWidth="1"/>
    <col min="15619" max="15619" width="31.28515625" style="40" customWidth="1"/>
    <col min="15620" max="15620" width="19.140625" style="40" customWidth="1"/>
    <col min="15621" max="15621" width="23.42578125" style="40" customWidth="1"/>
    <col min="15622" max="15622" width="23" style="40" customWidth="1"/>
    <col min="15623" max="15623" width="0" style="40" hidden="1" customWidth="1"/>
    <col min="15624" max="15624" width="25.28515625" style="40" customWidth="1"/>
    <col min="15625" max="15872" width="9.140625" style="40"/>
    <col min="15873" max="15873" width="2.42578125" style="40" customWidth="1"/>
    <col min="15874" max="15874" width="22.42578125" style="40" customWidth="1"/>
    <col min="15875" max="15875" width="31.28515625" style="40" customWidth="1"/>
    <col min="15876" max="15876" width="19.140625" style="40" customWidth="1"/>
    <col min="15877" max="15877" width="23.42578125" style="40" customWidth="1"/>
    <col min="15878" max="15878" width="23" style="40" customWidth="1"/>
    <col min="15879" max="15879" width="0" style="40" hidden="1" customWidth="1"/>
    <col min="15880" max="15880" width="25.28515625" style="40" customWidth="1"/>
    <col min="15881" max="16128" width="9.140625" style="40"/>
    <col min="16129" max="16129" width="2.42578125" style="40" customWidth="1"/>
    <col min="16130" max="16130" width="22.42578125" style="40" customWidth="1"/>
    <col min="16131" max="16131" width="31.28515625" style="40" customWidth="1"/>
    <col min="16132" max="16132" width="19.140625" style="40" customWidth="1"/>
    <col min="16133" max="16133" width="23.42578125" style="40" customWidth="1"/>
    <col min="16134" max="16134" width="23" style="40" customWidth="1"/>
    <col min="16135" max="16135" width="0" style="40" hidden="1" customWidth="1"/>
    <col min="16136" max="16136" width="25.28515625" style="40" customWidth="1"/>
    <col min="16137" max="16384" width="9.140625" style="40"/>
  </cols>
  <sheetData>
    <row r="1" spans="2:4" x14ac:dyDescent="0.25">
      <c r="B1" s="169"/>
      <c r="C1" s="169"/>
      <c r="D1" s="169"/>
    </row>
    <row r="2" spans="2:4" ht="33" customHeight="1" x14ac:dyDescent="0.25">
      <c r="B2" s="170" t="s">
        <v>255</v>
      </c>
      <c r="C2" s="170"/>
      <c r="D2" s="170"/>
    </row>
    <row r="3" spans="2:4" x14ac:dyDescent="0.25">
      <c r="B3" s="42"/>
      <c r="C3" s="41"/>
      <c r="D3" s="41"/>
    </row>
    <row r="4" spans="2:4" x14ac:dyDescent="0.25">
      <c r="B4" s="148" t="s">
        <v>59</v>
      </c>
      <c r="C4" s="148"/>
      <c r="D4" s="148"/>
    </row>
    <row r="5" spans="2:4" ht="15.75" x14ac:dyDescent="0.25">
      <c r="B5" s="19">
        <v>2019</v>
      </c>
      <c r="C5" s="14">
        <f>ROUNDDOWN('BE - Santa Lúcia'!J7,)</f>
        <v>452</v>
      </c>
      <c r="D5" s="19" t="s">
        <v>60</v>
      </c>
    </row>
    <row r="6" spans="2:4" ht="15.75" x14ac:dyDescent="0.25">
      <c r="B6" s="19">
        <v>2020</v>
      </c>
      <c r="C6" s="14">
        <f>ROUNDDOWN('BE - Santa Lúcia'!J8,)</f>
        <v>1728</v>
      </c>
      <c r="D6" s="19" t="s">
        <v>60</v>
      </c>
    </row>
    <row r="7" spans="2:4" ht="15.75" x14ac:dyDescent="0.25">
      <c r="B7" s="43" t="s">
        <v>16</v>
      </c>
      <c r="C7" s="44">
        <f>SUM(C5:C6)</f>
        <v>2180</v>
      </c>
      <c r="D7" s="43" t="s">
        <v>61</v>
      </c>
    </row>
    <row r="8" spans="2:4" x14ac:dyDescent="0.25">
      <c r="B8" s="41"/>
      <c r="C8" s="41"/>
      <c r="D8" s="41"/>
    </row>
    <row r="9" spans="2:4" x14ac:dyDescent="0.25">
      <c r="B9" s="170" t="s">
        <v>62</v>
      </c>
      <c r="C9" s="170"/>
      <c r="D9" s="170"/>
    </row>
    <row r="10" spans="2:4" ht="15.75" x14ac:dyDescent="0.25">
      <c r="B10" s="19">
        <v>2019</v>
      </c>
      <c r="C10" s="45">
        <f>ROUNDUP('PE - Santa Lúcia'!H7,)</f>
        <v>416</v>
      </c>
      <c r="D10" s="19" t="s">
        <v>60</v>
      </c>
    </row>
    <row r="11" spans="2:4" ht="15.75" x14ac:dyDescent="0.25">
      <c r="B11" s="19">
        <v>2020</v>
      </c>
      <c r="C11" s="45">
        <f>ROUNDUP('PE - Santa Lúcia'!H8,)</f>
        <v>479</v>
      </c>
      <c r="D11" s="19" t="s">
        <v>60</v>
      </c>
    </row>
    <row r="12" spans="2:4" ht="15.75" x14ac:dyDescent="0.25">
      <c r="B12" s="43" t="s">
        <v>16</v>
      </c>
      <c r="C12" s="44">
        <f>SUM(C10:C11)</f>
        <v>895</v>
      </c>
      <c r="D12" s="43" t="s">
        <v>61</v>
      </c>
    </row>
    <row r="13" spans="2:4" x14ac:dyDescent="0.25">
      <c r="B13" s="41"/>
      <c r="C13" s="41"/>
      <c r="D13" s="41"/>
    </row>
    <row r="14" spans="2:4" x14ac:dyDescent="0.25">
      <c r="B14" s="148" t="s">
        <v>63</v>
      </c>
      <c r="C14" s="148"/>
      <c r="D14" s="148"/>
    </row>
    <row r="15" spans="2:4" ht="15.75" x14ac:dyDescent="0.25">
      <c r="B15" s="19">
        <v>2019</v>
      </c>
      <c r="C15" s="14">
        <f>C5-C10</f>
        <v>36</v>
      </c>
      <c r="D15" s="19" t="s">
        <v>60</v>
      </c>
    </row>
    <row r="16" spans="2:4" ht="15.75" x14ac:dyDescent="0.25">
      <c r="B16" s="19">
        <v>2020</v>
      </c>
      <c r="C16" s="14">
        <f>C6-C11</f>
        <v>1249</v>
      </c>
      <c r="D16" s="19" t="s">
        <v>60</v>
      </c>
    </row>
    <row r="17" spans="2:4" ht="15.75" x14ac:dyDescent="0.25">
      <c r="B17" s="43" t="s">
        <v>16</v>
      </c>
      <c r="C17" s="44">
        <f>SUM(C15:C16)</f>
        <v>1285</v>
      </c>
      <c r="D17" s="43" t="s">
        <v>61</v>
      </c>
    </row>
  </sheetData>
  <mergeCells count="5">
    <mergeCell ref="B1:D1"/>
    <mergeCell ref="B2:D2"/>
    <mergeCell ref="B4:D4"/>
    <mergeCell ref="B9:D9"/>
    <mergeCell ref="B14:D1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26</vt:i4>
      </vt:variant>
    </vt:vector>
  </HeadingPairs>
  <TitlesOfParts>
    <vt:vector size="26" baseType="lpstr">
      <vt:lpstr>Emission reductions</vt:lpstr>
      <vt:lpstr>Monitored Parameters</vt:lpstr>
      <vt:lpstr>ER - Altenor </vt:lpstr>
      <vt:lpstr>BE - Altenor</vt:lpstr>
      <vt:lpstr>Animal Data - Altenor</vt:lpstr>
      <vt:lpstr>PE - Altenor</vt:lpstr>
      <vt:lpstr>OT pump_UMAC - Altenor</vt:lpstr>
      <vt:lpstr>EF - Altenor</vt:lpstr>
      <vt:lpstr>ER - Santa Lúcia</vt:lpstr>
      <vt:lpstr>BE - Santa Lúcia</vt:lpstr>
      <vt:lpstr>Animal Data - Santa Lúcia</vt:lpstr>
      <vt:lpstr>PE - Santa Lúcia</vt:lpstr>
      <vt:lpstr>OT pump_UMAC - Santa Lúcia</vt:lpstr>
      <vt:lpstr>EF - Santa Lúcia</vt:lpstr>
      <vt:lpstr>ER - Granja Silva</vt:lpstr>
      <vt:lpstr>BE - Granja Silva</vt:lpstr>
      <vt:lpstr>Animal Data - Granja Silva</vt:lpstr>
      <vt:lpstr>PE - Granja Silva</vt:lpstr>
      <vt:lpstr>OT pump_UMAC - Granja Silva</vt:lpstr>
      <vt:lpstr>EF - Granja Silva</vt:lpstr>
      <vt:lpstr>ER - Ramella</vt:lpstr>
      <vt:lpstr>BE - Ramella</vt:lpstr>
      <vt:lpstr>Animal Data - Ramella</vt:lpstr>
      <vt:lpstr>PE - Ramella</vt:lpstr>
      <vt:lpstr>OT pump_UMAC - Ramella</vt:lpstr>
      <vt:lpstr>EF - Ramella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dc:creator>
  <cp:lastModifiedBy>Mariana Costa</cp:lastModifiedBy>
  <dcterms:created xsi:type="dcterms:W3CDTF">2008-06-06T16:11:59Z</dcterms:created>
  <dcterms:modified xsi:type="dcterms:W3CDTF">2024-12-10T13:22:55Z</dcterms:modified>
</cp:coreProperties>
</file>