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burn-my.sharepoint.com/personal/vinit_garg_burnmfg_com/Documents/Desktop/New folder/New Folder/"/>
    </mc:Choice>
  </mc:AlternateContent>
  <xr:revisionPtr revIDLastSave="15" documentId="8_{F07EE32D-D6B3-43E2-8614-B6121CB6168A}" xr6:coauthVersionLast="47" xr6:coauthVersionMax="47" xr10:uidLastSave="{86B41677-B4F4-4E72-9058-A7F180FB75B1}"/>
  <bookViews>
    <workbookView xWindow="-120" yWindow="-120" windowWidth="20730" windowHeight="11040" tabRatio="692" xr2:uid="{00000000-000D-0000-FFFF-FFFF00000000}"/>
  </bookViews>
  <sheets>
    <sheet name="ER ICS TPDDTEC" sheetId="6" r:id="rId1"/>
    <sheet name="Baseline and Project emissions" sheetId="12" r:id="rId2"/>
    <sheet name="Th. Energy savings unit level" sheetId="11" r:id="rId3"/>
    <sheet name="SDG calculation" sheetId="13" r:id="rId4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6" l="1"/>
  <c r="D24" i="6" l="1"/>
  <c r="E24" i="6" s="1"/>
  <c r="E62" i="13"/>
  <c r="D62" i="13"/>
  <c r="E10" i="13"/>
  <c r="D10" i="13"/>
  <c r="E21" i="13"/>
  <c r="D21" i="13"/>
  <c r="D25" i="6" l="1"/>
  <c r="D26" i="6" l="1"/>
  <c r="D27" i="6" s="1"/>
  <c r="D28" i="6" s="1"/>
  <c r="E25" i="6"/>
  <c r="D42" i="13" l="1"/>
  <c r="D32" i="13" l="1"/>
  <c r="C9" i="11" l="1"/>
  <c r="C11" i="11" s="1"/>
  <c r="C2" i="6"/>
  <c r="D68" i="13"/>
  <c r="E68" i="13" s="1"/>
  <c r="D67" i="13"/>
  <c r="E67" i="13" s="1"/>
  <c r="E26" i="13"/>
  <c r="E42" i="13"/>
  <c r="C42" i="13"/>
  <c r="E41" i="13"/>
  <c r="E40" i="13"/>
  <c r="E39" i="13"/>
  <c r="E38" i="13"/>
  <c r="E37" i="13"/>
  <c r="E31" i="13"/>
  <c r="C31" i="13"/>
  <c r="C32" i="13" s="1"/>
  <c r="E30" i="13"/>
  <c r="E29" i="13"/>
  <c r="E28" i="13"/>
  <c r="E27" i="13"/>
  <c r="E32" i="13" l="1"/>
  <c r="E8" i="12"/>
  <c r="E13" i="12" s="1"/>
  <c r="C5" i="11" l="1"/>
  <c r="C8" i="11" s="1"/>
  <c r="C12" i="11" s="1"/>
  <c r="C14" i="11" s="1"/>
  <c r="E21" i="12"/>
  <c r="E26" i="12" s="1"/>
  <c r="E28" i="12" s="1"/>
  <c r="D18" i="6" l="1"/>
  <c r="D47" i="13"/>
  <c r="E34" i="12" l="1"/>
  <c r="D20" i="6"/>
  <c r="E30" i="12"/>
  <c r="C29" i="6"/>
  <c r="D34" i="12" l="1"/>
  <c r="D35" i="12"/>
  <c r="E35" i="12"/>
  <c r="F34" i="12" l="1"/>
  <c r="G34" i="12" s="1"/>
  <c r="F35" i="12"/>
  <c r="G35" i="12" s="1"/>
  <c r="C61" i="13"/>
  <c r="C62" i="13" s="1"/>
  <c r="C51" i="13"/>
  <c r="C52" i="13" s="1"/>
  <c r="C21" i="13"/>
  <c r="D46" i="13" l="1"/>
  <c r="E46" i="13" s="1"/>
  <c r="D69" i="13" l="1"/>
  <c r="E36" i="12" l="1"/>
  <c r="D36" i="12"/>
  <c r="E26" i="6"/>
  <c r="D48" i="13" s="1"/>
  <c r="D71" i="13"/>
  <c r="D70" i="13"/>
  <c r="F36" i="12" l="1"/>
  <c r="G36" i="12" s="1"/>
  <c r="D37" i="12"/>
  <c r="E37" i="12"/>
  <c r="E38" i="12"/>
  <c r="D38" i="12"/>
  <c r="E70" i="13"/>
  <c r="E71" i="13"/>
  <c r="E48" i="13"/>
  <c r="D29" i="6"/>
  <c r="C19" i="11" s="1"/>
  <c r="E69" i="13"/>
  <c r="E28" i="6"/>
  <c r="D50" i="13" s="1"/>
  <c r="E27" i="6"/>
  <c r="D49" i="13" l="1"/>
  <c r="E49" i="13" s="1"/>
  <c r="F38" i="12"/>
  <c r="G38" i="12" s="1"/>
  <c r="F37" i="12"/>
  <c r="E29" i="6"/>
  <c r="D72" i="13"/>
  <c r="E72" i="13" s="1"/>
  <c r="D39" i="12"/>
  <c r="D73" i="13"/>
  <c r="E73" i="13" s="1"/>
  <c r="D51" i="13"/>
  <c r="E51" i="13" s="1"/>
  <c r="E50" i="13"/>
  <c r="F39" i="12" l="1"/>
  <c r="F41" i="12" s="1"/>
  <c r="G37" i="12"/>
  <c r="G39" i="12" s="1"/>
  <c r="G41" i="12" s="1"/>
  <c r="E47" i="13"/>
  <c r="E52" i="13" s="1"/>
  <c r="D52" i="13"/>
  <c r="C15" i="11" l="1"/>
  <c r="C17" i="11" s="1"/>
  <c r="E39" i="12" l="1"/>
  <c r="E41" i="12" s="1"/>
  <c r="D41" i="12" l="1"/>
</calcChain>
</file>

<file path=xl/sharedStrings.xml><?xml version="1.0" encoding="utf-8"?>
<sst xmlns="http://schemas.openxmlformats.org/spreadsheetml/2006/main" count="255" uniqueCount="112">
  <si>
    <t>TPDDTEC</t>
  </si>
  <si>
    <t xml:space="preserve">Emission reduction (equation (1) in TPDDTEC) </t>
  </si>
  <si>
    <r>
      <t>Emission reductions per stove per year (</t>
    </r>
    <r>
      <rPr>
        <b/>
        <sz val="12"/>
        <rFont val="Times New Roman"/>
        <family val="1"/>
      </rPr>
      <t>FUEL USE</t>
    </r>
    <r>
      <rPr>
        <sz val="12"/>
        <rFont val="Times New Roman"/>
        <family val="1"/>
      </rPr>
      <t>)</t>
    </r>
  </si>
  <si>
    <t>Item</t>
  </si>
  <si>
    <t>Unit</t>
  </si>
  <si>
    <t>Value</t>
  </si>
  <si>
    <t>Source</t>
  </si>
  <si>
    <t>Project Technology Days (N)</t>
  </si>
  <si>
    <t>days</t>
  </si>
  <si>
    <t>assumption</t>
  </si>
  <si>
    <t>Cumulative Usage Rate (U)</t>
  </si>
  <si>
    <t>fraction</t>
  </si>
  <si>
    <t>DRC 5 MP3 KPT</t>
  </si>
  <si>
    <t>Baseline fuel consumption (Pb,y)</t>
  </si>
  <si>
    <t xml:space="preserve">tons/household/year </t>
  </si>
  <si>
    <t>Project fuel consumption (Pp,y)</t>
  </si>
  <si>
    <t xml:space="preserve">Non-renewable biomass fraction (baseline) </t>
  </si>
  <si>
    <t>CDM tool 33 v.3.0 default values for common parameters</t>
  </si>
  <si>
    <t xml:space="preserve">EF,b,charcoal, CO2 </t>
  </si>
  <si>
    <t>tCO2e/TJ charcoal</t>
  </si>
  <si>
    <t>IPCC 2006 default</t>
  </si>
  <si>
    <t>EF,b,charcoal, nonCO2</t>
  </si>
  <si>
    <t>IPCC 2006 default (CH4 + N2O)</t>
  </si>
  <si>
    <t>Net Caloric Value</t>
  </si>
  <si>
    <t>TJ/t charcoal</t>
  </si>
  <si>
    <t>Leakage LE</t>
  </si>
  <si>
    <t>tCO2e/t year</t>
  </si>
  <si>
    <t>ER(tCO2e/yr-stove)</t>
  </si>
  <si>
    <t xml:space="preserve">IMPLEMENTATION SCHEDULE </t>
  </si>
  <si>
    <t>N° of stoves distributed</t>
  </si>
  <si>
    <t>Aggregated N° of ICS (Np,y)</t>
  </si>
  <si>
    <t>Aggregated N° of ICS in use</t>
  </si>
  <si>
    <t xml:space="preserve">CDM tool 33 v.3 </t>
  </si>
  <si>
    <t>YEAR 1</t>
  </si>
  <si>
    <t>YEAR 2</t>
  </si>
  <si>
    <t>YEAR 3</t>
  </si>
  <si>
    <t>YEAR 4</t>
  </si>
  <si>
    <t>YEAR 5</t>
  </si>
  <si>
    <t xml:space="preserve">NB: Since cookstove sales are progressive, it is assumed that cookstoves are in operation for 180 days in average in the year when they are sold. </t>
  </si>
  <si>
    <t>NB: Average lifetime is assumed to be 7-10 years</t>
  </si>
  <si>
    <t>Baseline emissions</t>
  </si>
  <si>
    <r>
      <t>Baseline Emissions per stove per year (</t>
    </r>
    <r>
      <rPr>
        <b/>
        <sz val="12"/>
        <rFont val="Times New Roman"/>
        <family val="1"/>
      </rPr>
      <t>FUEL USE</t>
    </r>
    <r>
      <rPr>
        <sz val="12"/>
        <rFont val="Times New Roman"/>
        <family val="1"/>
      </rPr>
      <t>)</t>
    </r>
  </si>
  <si>
    <t>tCO2e/t charcoal</t>
  </si>
  <si>
    <t>Project emissions</t>
  </si>
  <si>
    <r>
      <t>Project Emissions per stove per year (</t>
    </r>
    <r>
      <rPr>
        <b/>
        <sz val="12"/>
        <rFont val="Times New Roman"/>
        <family val="1"/>
      </rPr>
      <t>FUEL USE</t>
    </r>
    <r>
      <rPr>
        <sz val="12"/>
        <rFont val="Times New Roman"/>
        <family val="1"/>
      </rPr>
      <t>)</t>
    </r>
  </si>
  <si>
    <t>Project fuel consumption (Pb,y)</t>
  </si>
  <si>
    <t>DRC 5 MP III KPT Survey</t>
  </si>
  <si>
    <t xml:space="preserve"> </t>
  </si>
  <si>
    <t>Leakage</t>
  </si>
  <si>
    <t>Emission Reduction per stove per year</t>
  </si>
  <si>
    <t>Year</t>
  </si>
  <si>
    <t>Emission reductions</t>
  </si>
  <si>
    <r>
      <t>(t CO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e)</t>
    </r>
  </si>
  <si>
    <t>Total</t>
  </si>
  <si>
    <t>Total number of crediting years</t>
  </si>
  <si>
    <t>Annual average over the crediting period</t>
  </si>
  <si>
    <t>NCVcharcoal</t>
  </si>
  <si>
    <t>TJ/t</t>
  </si>
  <si>
    <t>IPCC default 2006, volume 2, chapter 1 (Table 1.2)</t>
  </si>
  <si>
    <t xml:space="preserve">Conversion factor </t>
  </si>
  <si>
    <t xml:space="preserve">TJ/kWh </t>
  </si>
  <si>
    <t xml:space="preserve">1 kWh = 0,0000036 TJ (Conversion Factor) </t>
  </si>
  <si>
    <t>NCV Biomass (kWh/t)</t>
  </si>
  <si>
    <t>kWh/t</t>
  </si>
  <si>
    <t xml:space="preserve">Calculated </t>
  </si>
  <si>
    <t xml:space="preserve">Project fuel savings per HH </t>
  </si>
  <si>
    <t>t/HH/y</t>
  </si>
  <si>
    <t>Project KPT</t>
  </si>
  <si>
    <t xml:space="preserve">No of stoves </t>
  </si>
  <si>
    <t xml:space="preserve">N° </t>
  </si>
  <si>
    <t>Assumption</t>
  </si>
  <si>
    <t xml:space="preserve">Fuel savings per stove </t>
  </si>
  <si>
    <t>t/stove/y</t>
  </si>
  <si>
    <t>Calculated</t>
  </si>
  <si>
    <t xml:space="preserve">Energy savings per stove (kWh/stove/year) </t>
  </si>
  <si>
    <t>kWh/stove/year</t>
  </si>
  <si>
    <t>GWh/kWh</t>
  </si>
  <si>
    <t xml:space="preserve">Energy savings per stove (GWh/stove/year) </t>
  </si>
  <si>
    <t>GWh/stove/year</t>
  </si>
  <si>
    <t xml:space="preserve">Energy savings per stove (MWh/stove/year) </t>
  </si>
  <si>
    <t>MWh/stove/year</t>
  </si>
  <si>
    <t>small-scale unit threshold</t>
  </si>
  <si>
    <t xml:space="preserve">Community Services Activity Requirements  </t>
  </si>
  <si>
    <t>PASS/FAIL test</t>
  </si>
  <si>
    <t>Small-scale threashhold</t>
  </si>
  <si>
    <t>GW</t>
  </si>
  <si>
    <t xml:space="preserve">SDG 1: Percentage users confirming net monetary saving </t>
  </si>
  <si>
    <t>Project year</t>
  </si>
  <si>
    <r>
      <t>Baseline estimate</t>
    </r>
    <r>
      <rPr>
        <b/>
        <sz val="8"/>
        <color theme="1"/>
        <rFont val="Calibri"/>
        <family val="2"/>
        <scheme val="minor"/>
      </rPr>
      <t>1</t>
    </r>
  </si>
  <si>
    <t>Project estimate</t>
  </si>
  <si>
    <t>Net benefit</t>
  </si>
  <si>
    <t>Year-1</t>
  </si>
  <si>
    <t>Year-2</t>
  </si>
  <si>
    <t>Year-3</t>
  </si>
  <si>
    <t>Year-4</t>
  </si>
  <si>
    <t>Year-5</t>
  </si>
  <si>
    <t>NA</t>
  </si>
  <si>
    <t>Annual Average</t>
  </si>
  <si>
    <t>Money spent on Charcoal  from Usage survey conducted for MP 3</t>
  </si>
  <si>
    <t>SDG 3: Percentage users confirming less smoke/PM</t>
  </si>
  <si>
    <t>Baseline estimate</t>
  </si>
  <si>
    <t>Household perception reported in Usage survey conducted for MP 3</t>
  </si>
  <si>
    <t>SDG 4: Number of of people trained</t>
  </si>
  <si>
    <t>SDG 5: Time savings</t>
  </si>
  <si>
    <t>SDG 7: Afordable and clean energy</t>
  </si>
  <si>
    <t>SDG 8: Number of jobs created</t>
  </si>
  <si>
    <t>SDG 15</t>
  </si>
  <si>
    <t>Average</t>
  </si>
  <si>
    <r>
      <t>ERy = ∑b,p (Np,y* Up,y* SFSp,b,y* NCVb, fuel * (</t>
    </r>
    <r>
      <rPr>
        <i/>
        <sz val="12"/>
        <color theme="1"/>
        <rFont val="Times New Roman"/>
        <family val="1"/>
      </rPr>
      <t xml:space="preserve">f </t>
    </r>
    <r>
      <rPr>
        <sz val="12"/>
        <color theme="1"/>
        <rFont val="Times New Roman"/>
        <family val="1"/>
      </rPr>
      <t xml:space="preserve">NRB,b, y * EFfuel, CO2 + EFfuel, nonCO2))– ∑ LEp,y </t>
    </r>
  </si>
  <si>
    <t>Specific fuel savings (SFSp,b,y)</t>
  </si>
  <si>
    <t>Baseline KPT analysis CP1</t>
  </si>
  <si>
    <t>KPT DRC Conducted by BURN in CP1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</si>
</sst>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0.0000"/>
    <numFmt numFmtId="167" formatCode="0.000"/>
    <numFmt numFmtId="168" formatCode="_-* #,##0_-;\-* #,##0_-;_-* &quot;-&quot;??_-;_-@_-"/>
    <numFmt numFmtId="170" formatCode="#,##0.0000"/>
    <numFmt numFmtId="171" formatCode="#,##0.000000"/>
    <numFmt numFmtId="172" formatCode="#,##0.00000"/>
    <numFmt numFmtId="173" formatCode="_ * #,##0_ ;_ * \-#,##0_ ;_ * &quot;-&quot;??_ ;_ @_ "/>
  </numFmts>
  <fonts count="2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sz val="10"/>
      <color theme="1"/>
      <name val="HelveticaNeueLT Com 45 Lt"/>
      <family val="2"/>
    </font>
    <font>
      <sz val="11"/>
      <color theme="1"/>
      <name val="Calibri"/>
      <family val="2"/>
      <scheme val="minor"/>
    </font>
    <font>
      <sz val="10"/>
      <color rgb="FF9C0006"/>
      <name val="HelveticaNeueLT Com 45 Lt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venir-Book"/>
      <family val="2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4" fillId="0" borderId="0"/>
    <xf numFmtId="0" fontId="6" fillId="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7" fillId="0" borderId="0"/>
    <xf numFmtId="165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7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  <xf numFmtId="0" fontId="1" fillId="0" borderId="0"/>
  </cellStyleXfs>
  <cellXfs count="150">
    <xf numFmtId="0" fontId="0" fillId="0" borderId="0" xfId="0"/>
    <xf numFmtId="0" fontId="0" fillId="0" borderId="1" xfId="0" applyBorder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8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2" fontId="11" fillId="8" borderId="1" xfId="0" applyNumberFormat="1" applyFont="1" applyFill="1" applyBorder="1" applyAlignment="1">
      <alignment vertical="center"/>
    </xf>
    <xf numFmtId="0" fontId="11" fillId="0" borderId="1" xfId="0" applyFont="1" applyBorder="1"/>
    <xf numFmtId="170" fontId="11" fillId="8" borderId="1" xfId="0" applyNumberFormat="1" applyFont="1" applyFill="1" applyBorder="1" applyAlignment="1">
      <alignment vertical="center"/>
    </xf>
    <xf numFmtId="171" fontId="11" fillId="8" borderId="1" xfId="0" applyNumberFormat="1" applyFont="1" applyFill="1" applyBorder="1" applyAlignment="1">
      <alignment vertical="center"/>
    </xf>
    <xf numFmtId="172" fontId="11" fillId="8" borderId="1" xfId="0" applyNumberFormat="1" applyFont="1" applyFill="1" applyBorder="1" applyAlignment="1">
      <alignment vertical="center"/>
    </xf>
    <xf numFmtId="2" fontId="11" fillId="7" borderId="1" xfId="48" applyNumberFormat="1" applyFont="1" applyBorder="1"/>
    <xf numFmtId="3" fontId="11" fillId="7" borderId="1" xfId="48" applyNumberFormat="1" applyFont="1" applyBorder="1"/>
    <xf numFmtId="0" fontId="11" fillId="7" borderId="1" xfId="48" applyFont="1" applyBorder="1" applyAlignment="1">
      <alignment horizontal="right"/>
    </xf>
    <xf numFmtId="0" fontId="12" fillId="0" borderId="0" xfId="0" applyFont="1"/>
    <xf numFmtId="0" fontId="12" fillId="0" borderId="1" xfId="0" applyFont="1" applyBorder="1"/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0" xfId="0" applyAlignment="1">
      <alignment horizontal="left" vertical="center"/>
    </xf>
    <xf numFmtId="9" fontId="0" fillId="0" borderId="0" xfId="0" applyNumberFormat="1"/>
    <xf numFmtId="9" fontId="0" fillId="0" borderId="0" xfId="49" applyFont="1" applyBorder="1"/>
    <xf numFmtId="9" fontId="0" fillId="0" borderId="0" xfId="49" applyFont="1" applyFill="1" applyBorder="1"/>
    <xf numFmtId="10" fontId="0" fillId="0" borderId="1" xfId="49" applyNumberFormat="1" applyFont="1" applyFill="1" applyBorder="1"/>
    <xf numFmtId="10" fontId="0" fillId="0" borderId="1" xfId="0" applyNumberFormat="1" applyBorder="1"/>
    <xf numFmtId="10" fontId="0" fillId="0" borderId="1" xfId="49" applyNumberFormat="1" applyFont="1" applyBorder="1"/>
    <xf numFmtId="0" fontId="0" fillId="0" borderId="17" xfId="0" applyBorder="1" applyAlignment="1">
      <alignment horizontal="left" vertical="center"/>
    </xf>
    <xf numFmtId="0" fontId="14" fillId="0" borderId="0" xfId="0" applyFont="1"/>
    <xf numFmtId="9" fontId="14" fillId="0" borderId="0" xfId="49" applyFont="1"/>
    <xf numFmtId="168" fontId="14" fillId="0" borderId="0" xfId="0" applyNumberFormat="1" applyFont="1"/>
    <xf numFmtId="164" fontId="14" fillId="0" borderId="0" xfId="0" applyNumberFormat="1" applyFont="1"/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5" fillId="6" borderId="1" xfId="0" applyFont="1" applyFill="1" applyBorder="1"/>
    <xf numFmtId="0" fontId="15" fillId="6" borderId="1" xfId="0" applyFont="1" applyFill="1" applyBorder="1" applyAlignment="1">
      <alignment horizontal="right"/>
    </xf>
    <xf numFmtId="166" fontId="15" fillId="6" borderId="1" xfId="0" applyNumberFormat="1" applyFont="1" applyFill="1" applyBorder="1"/>
    <xf numFmtId="0" fontId="15" fillId="6" borderId="1" xfId="0" applyFont="1" applyFill="1" applyBorder="1" applyAlignment="1">
      <alignment wrapText="1"/>
    </xf>
    <xf numFmtId="0" fontId="14" fillId="6" borderId="1" xfId="0" applyFont="1" applyFill="1" applyBorder="1"/>
    <xf numFmtId="0" fontId="15" fillId="6" borderId="1" xfId="51" applyFont="1" applyFill="1" applyBorder="1" applyAlignment="1">
      <alignment horizontal="right"/>
    </xf>
    <xf numFmtId="2" fontId="15" fillId="6" borderId="1" xfId="51" applyNumberFormat="1" applyFont="1" applyFill="1" applyBorder="1" applyAlignment="1">
      <alignment horizontal="right"/>
    </xf>
    <xf numFmtId="167" fontId="14" fillId="6" borderId="1" xfId="51" applyNumberFormat="1" applyFont="1" applyFill="1" applyBorder="1" applyAlignment="1">
      <alignment horizontal="right"/>
    </xf>
    <xf numFmtId="0" fontId="15" fillId="6" borderId="0" xfId="0" applyFont="1" applyFill="1"/>
    <xf numFmtId="167" fontId="16" fillId="6" borderId="6" xfId="0" applyNumberFormat="1" applyFont="1" applyFill="1" applyBorder="1"/>
    <xf numFmtId="167" fontId="16" fillId="6" borderId="5" xfId="0" applyNumberFormat="1" applyFont="1" applyFill="1" applyBorder="1"/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 vertical="center" wrapText="1" indent="1"/>
    </xf>
    <xf numFmtId="168" fontId="14" fillId="0" borderId="1" xfId="8" applyNumberFormat="1" applyFont="1" applyBorder="1" applyAlignment="1">
      <alignment horizontal="justify" vertical="center" wrapText="1"/>
    </xf>
    <xf numFmtId="3" fontId="14" fillId="0" borderId="13" xfId="0" applyNumberFormat="1" applyFont="1" applyBorder="1" applyAlignment="1">
      <alignment horizontal="right" vertical="center" wrapText="1"/>
    </xf>
    <xf numFmtId="0" fontId="17" fillId="5" borderId="12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right" vertical="top" wrapText="1" inden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top" wrapText="1"/>
    </xf>
    <xf numFmtId="0" fontId="14" fillId="0" borderId="13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3" fontId="14" fillId="0" borderId="15" xfId="0" applyNumberFormat="1" applyFont="1" applyBorder="1" applyAlignment="1">
      <alignment horizontal="right" vertical="center" wrapText="1" indent="1"/>
    </xf>
    <xf numFmtId="168" fontId="14" fillId="0" borderId="15" xfId="8" applyNumberFormat="1" applyFont="1" applyBorder="1" applyAlignment="1">
      <alignment horizontal="justify" vertical="center" wrapText="1"/>
    </xf>
    <xf numFmtId="0" fontId="14" fillId="0" borderId="15" xfId="0" applyFont="1" applyBorder="1" applyAlignment="1">
      <alignment horizontal="right" vertical="center" wrapText="1"/>
    </xf>
    <xf numFmtId="168" fontId="14" fillId="0" borderId="16" xfId="8" applyNumberFormat="1" applyFont="1" applyBorder="1" applyAlignment="1">
      <alignment horizontal="left" vertical="top" wrapText="1"/>
    </xf>
    <xf numFmtId="0" fontId="17" fillId="0" borderId="0" xfId="0" applyFont="1"/>
    <xf numFmtId="0" fontId="17" fillId="0" borderId="9" xfId="0" applyFont="1" applyBorder="1"/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3" fontId="14" fillId="0" borderId="0" xfId="0" applyNumberFormat="1" applyFont="1"/>
    <xf numFmtId="3" fontId="14" fillId="0" borderId="1" xfId="0" applyNumberFormat="1" applyFont="1" applyBorder="1" applyAlignment="1">
      <alignment horizontal="center"/>
    </xf>
    <xf numFmtId="168" fontId="14" fillId="0" borderId="1" xfId="8" applyNumberFormat="1" applyFont="1" applyBorder="1" applyAlignment="1"/>
    <xf numFmtId="168" fontId="14" fillId="0" borderId="13" xfId="0" applyNumberFormat="1" applyFont="1" applyBorder="1"/>
    <xf numFmtId="0" fontId="14" fillId="0" borderId="14" xfId="0" applyFont="1" applyBorder="1" applyAlignment="1">
      <alignment horizontal="left"/>
    </xf>
    <xf numFmtId="168" fontId="14" fillId="0" borderId="15" xfId="8" applyNumberFormat="1" applyFont="1" applyBorder="1" applyAlignment="1">
      <alignment horizontal="right"/>
    </xf>
    <xf numFmtId="168" fontId="17" fillId="0" borderId="16" xfId="0" applyNumberFormat="1" applyFont="1" applyBorder="1"/>
    <xf numFmtId="173" fontId="17" fillId="0" borderId="0" xfId="0" applyNumberFormat="1" applyFont="1"/>
    <xf numFmtId="3" fontId="14" fillId="0" borderId="0" xfId="0" applyNumberFormat="1" applyFont="1" applyAlignment="1">
      <alignment vertical="center"/>
    </xf>
    <xf numFmtId="168" fontId="14" fillId="0" borderId="0" xfId="8" applyNumberFormat="1" applyFont="1" applyFill="1" applyAlignment="1">
      <alignment vertical="center"/>
    </xf>
    <xf numFmtId="0" fontId="14" fillId="0" borderId="0" xfId="0" applyFont="1" applyAlignment="1">
      <alignment horizontal="left"/>
    </xf>
    <xf numFmtId="166" fontId="14" fillId="0" borderId="0" xfId="0" applyNumberFormat="1" applyFont="1"/>
    <xf numFmtId="3" fontId="14" fillId="0" borderId="15" xfId="0" applyNumberFormat="1" applyFont="1" applyBorder="1" applyAlignment="1">
      <alignment horizontal="center" vertical="center"/>
    </xf>
    <xf numFmtId="0" fontId="20" fillId="0" borderId="0" xfId="0" applyFont="1"/>
    <xf numFmtId="9" fontId="21" fillId="0" borderId="0" xfId="0" applyNumberFormat="1" applyFont="1"/>
    <xf numFmtId="9" fontId="21" fillId="0" borderId="0" xfId="49" applyFont="1" applyBorder="1"/>
    <xf numFmtId="9" fontId="21" fillId="0" borderId="0" xfId="49" applyFont="1" applyFill="1" applyBorder="1"/>
    <xf numFmtId="0" fontId="20" fillId="0" borderId="1" xfId="0" applyFont="1" applyBorder="1"/>
    <xf numFmtId="0" fontId="21" fillId="0" borderId="1" xfId="0" applyFont="1" applyBorder="1" applyAlignment="1">
      <alignment horizontal="left" vertical="center"/>
    </xf>
    <xf numFmtId="0" fontId="21" fillId="0" borderId="1" xfId="0" applyFont="1" applyBorder="1"/>
    <xf numFmtId="1" fontId="21" fillId="0" borderId="1" xfId="49" applyNumberFormat="1" applyFont="1" applyBorder="1"/>
    <xf numFmtId="43" fontId="0" fillId="0" borderId="3" xfId="0" applyNumberFormat="1" applyBorder="1"/>
    <xf numFmtId="43" fontId="0" fillId="0" borderId="1" xfId="0" applyNumberFormat="1" applyBorder="1"/>
    <xf numFmtId="166" fontId="14" fillId="6" borderId="1" xfId="51" applyNumberFormat="1" applyFont="1" applyFill="1" applyBorder="1" applyAlignment="1">
      <alignment horizontal="right"/>
    </xf>
    <xf numFmtId="0" fontId="14" fillId="6" borderId="5" xfId="0" applyFont="1" applyFill="1" applyBorder="1"/>
    <xf numFmtId="0" fontId="16" fillId="6" borderId="6" xfId="0" applyFont="1" applyFill="1" applyBorder="1"/>
    <xf numFmtId="166" fontId="16" fillId="6" borderId="4" xfId="0" applyNumberFormat="1" applyFont="1" applyFill="1" applyBorder="1"/>
    <xf numFmtId="166" fontId="17" fillId="6" borderId="4" xfId="0" applyNumberFormat="1" applyFont="1" applyFill="1" applyBorder="1"/>
    <xf numFmtId="0" fontId="17" fillId="6" borderId="6" xfId="0" applyFont="1" applyFill="1" applyBorder="1"/>
    <xf numFmtId="10" fontId="15" fillId="6" borderId="1" xfId="0" applyNumberFormat="1" applyFont="1" applyFill="1" applyBorder="1" applyAlignment="1">
      <alignment horizontal="right"/>
    </xf>
    <xf numFmtId="2" fontId="14" fillId="6" borderId="0" xfId="0" applyNumberFormat="1" applyFont="1" applyFill="1"/>
    <xf numFmtId="2" fontId="15" fillId="6" borderId="1" xfId="0" applyNumberFormat="1" applyFont="1" applyFill="1" applyBorder="1"/>
    <xf numFmtId="166" fontId="15" fillId="6" borderId="1" xfId="0" applyNumberFormat="1" applyFont="1" applyFill="1" applyBorder="1" applyAlignment="1">
      <alignment horizontal="right"/>
    </xf>
    <xf numFmtId="9" fontId="12" fillId="0" borderId="0" xfId="0" applyNumberFormat="1" applyFont="1"/>
    <xf numFmtId="10" fontId="0" fillId="0" borderId="0" xfId="49" applyNumberFormat="1" applyFont="1" applyFill="1" applyBorder="1"/>
    <xf numFmtId="0" fontId="0" fillId="0" borderId="18" xfId="0" applyBorder="1"/>
    <xf numFmtId="43" fontId="0" fillId="0" borderId="18" xfId="0" applyNumberFormat="1" applyBorder="1"/>
    <xf numFmtId="0" fontId="5" fillId="0" borderId="19" xfId="0" applyFont="1" applyBorder="1"/>
    <xf numFmtId="43" fontId="5" fillId="0" borderId="21" xfId="0" applyNumberFormat="1" applyFont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/>
    <xf numFmtId="0" fontId="12" fillId="0" borderId="19" xfId="0" applyFont="1" applyBorder="1"/>
    <xf numFmtId="0" fontId="1" fillId="0" borderId="20" xfId="0" applyFont="1" applyBorder="1"/>
    <xf numFmtId="0" fontId="0" fillId="0" borderId="20" xfId="0" applyBorder="1"/>
    <xf numFmtId="0" fontId="5" fillId="0" borderId="21" xfId="0" applyFont="1" applyBorder="1"/>
    <xf numFmtId="0" fontId="21" fillId="0" borderId="18" xfId="0" applyFont="1" applyBorder="1" applyAlignment="1">
      <alignment horizontal="left" vertical="center"/>
    </xf>
    <xf numFmtId="0" fontId="21" fillId="0" borderId="18" xfId="0" applyFont="1" applyBorder="1"/>
    <xf numFmtId="0" fontId="20" fillId="0" borderId="19" xfId="0" applyFont="1" applyBorder="1"/>
    <xf numFmtId="0" fontId="20" fillId="0" borderId="21" xfId="0" applyFont="1" applyBorder="1"/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/>
    <xf numFmtId="1" fontId="21" fillId="0" borderId="18" xfId="49" applyNumberFormat="1" applyFont="1" applyBorder="1"/>
    <xf numFmtId="1" fontId="21" fillId="0" borderId="20" xfId="49" applyNumberFormat="1" applyFont="1" applyBorder="1"/>
    <xf numFmtId="0" fontId="21" fillId="0" borderId="20" xfId="0" applyFont="1" applyBorder="1"/>
    <xf numFmtId="1" fontId="20" fillId="0" borderId="21" xfId="49" applyNumberFormat="1" applyFont="1" applyBorder="1"/>
    <xf numFmtId="9" fontId="12" fillId="0" borderId="18" xfId="0" applyNumberFormat="1" applyFont="1" applyBorder="1"/>
    <xf numFmtId="10" fontId="5" fillId="0" borderId="21" xfId="49" applyNumberFormat="1" applyFont="1" applyFill="1" applyBorder="1"/>
    <xf numFmtId="10" fontId="0" fillId="0" borderId="18" xfId="0" applyNumberFormat="1" applyBorder="1"/>
    <xf numFmtId="10" fontId="0" fillId="0" borderId="20" xfId="0" applyNumberFormat="1" applyBorder="1"/>
    <xf numFmtId="10" fontId="2" fillId="0" borderId="20" xfId="49" applyNumberFormat="1" applyFont="1" applyBorder="1"/>
    <xf numFmtId="10" fontId="5" fillId="0" borderId="21" xfId="49" applyNumberFormat="1" applyFont="1" applyBorder="1"/>
    <xf numFmtId="9" fontId="1" fillId="0" borderId="20" xfId="0" applyNumberFormat="1" applyFont="1" applyBorder="1"/>
    <xf numFmtId="10" fontId="2" fillId="0" borderId="20" xfId="49" applyNumberFormat="1" applyFont="1" applyFill="1" applyBorder="1"/>
    <xf numFmtId="43" fontId="0" fillId="0" borderId="20" xfId="0" applyNumberFormat="1" applyBorder="1"/>
    <xf numFmtId="165" fontId="14" fillId="0" borderId="1" xfId="0" applyNumberFormat="1" applyFont="1" applyBorder="1" applyAlignment="1">
      <alignment horizontal="right" vertical="center" wrapText="1"/>
    </xf>
    <xf numFmtId="4" fontId="0" fillId="0" borderId="1" xfId="49" applyNumberFormat="1" applyFont="1" applyBorder="1"/>
    <xf numFmtId="4" fontId="0" fillId="0" borderId="18" xfId="49" applyNumberFormat="1" applyFont="1" applyBorder="1"/>
    <xf numFmtId="4" fontId="2" fillId="0" borderId="20" xfId="49" applyNumberFormat="1" applyFont="1" applyBorder="1"/>
    <xf numFmtId="4" fontId="5" fillId="0" borderId="21" xfId="49" applyNumberFormat="1" applyFont="1" applyBorder="1"/>
    <xf numFmtId="0" fontId="23" fillId="0" borderId="1" xfId="0" applyFont="1" applyBorder="1" applyAlignment="1">
      <alignment horizontal="left" vertical="center"/>
    </xf>
    <xf numFmtId="0" fontId="0" fillId="8" borderId="1" xfId="0" applyFill="1" applyBorder="1"/>
    <xf numFmtId="0" fontId="15" fillId="6" borderId="2" xfId="0" applyFont="1" applyFill="1" applyBorder="1"/>
    <xf numFmtId="0" fontId="14" fillId="6" borderId="2" xfId="0" applyFont="1" applyFill="1" applyBorder="1"/>
    <xf numFmtId="0" fontId="15" fillId="6" borderId="2" xfId="51" applyFont="1" applyFill="1" applyBorder="1"/>
    <xf numFmtId="0" fontId="15" fillId="4" borderId="3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5" borderId="9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8" borderId="1" xfId="0" applyFont="1" applyFill="1" applyBorder="1" applyAlignment="1">
      <alignment vertical="center"/>
    </xf>
  </cellXfs>
  <cellStyles count="57">
    <cellStyle name="20 % - Akzent1 2" xfId="2" xr:uid="{00000000-0005-0000-0000-000000000000}"/>
    <cellStyle name="20% - Accent2" xfId="48" builtinId="34"/>
    <cellStyle name="Comma" xfId="8" builtinId="3"/>
    <cellStyle name="Comma 2" xfId="3" xr:uid="{00000000-0005-0000-0000-000002000000}"/>
    <cellStyle name="Comma 2 2" xfId="4" xr:uid="{00000000-0005-0000-0000-000003000000}"/>
    <cellStyle name="Followed Hyperlink" xfId="47" builtinId="9" hidden="1"/>
    <cellStyle name="Followed Hyperlink" xfId="46" builtinId="9" hidden="1"/>
    <cellStyle name="Followed Hyperlink" xfId="42" builtinId="9" hidden="1"/>
    <cellStyle name="Followed Hyperlink" xfId="15" builtinId="9" hidden="1"/>
    <cellStyle name="Followed Hyperlink" xfId="14" builtinId="9" hidden="1"/>
    <cellStyle name="Followed Hyperlink" xfId="11" builtinId="9" hidden="1"/>
    <cellStyle name="Followed Hyperlink" xfId="40" builtinId="9" hidden="1"/>
    <cellStyle name="Followed Hyperlink" xfId="20" builtinId="9" hidden="1"/>
    <cellStyle name="Followed Hyperlink" xfId="25" builtinId="9" hidden="1"/>
    <cellStyle name="Followed Hyperlink" xfId="22" builtinId="9" hidden="1"/>
    <cellStyle name="Followed Hyperlink" xfId="29" builtinId="9" hidden="1"/>
    <cellStyle name="Followed Hyperlink" xfId="34" builtinId="9" hidden="1"/>
    <cellStyle name="Followed Hyperlink" xfId="21" builtinId="9" hidden="1"/>
    <cellStyle name="Followed Hyperlink" xfId="28" builtinId="9" hidden="1"/>
    <cellStyle name="Followed Hyperlink" xfId="27" builtinId="9" hidden="1"/>
    <cellStyle name="Followed Hyperlink" xfId="45" builtinId="9" hidden="1"/>
    <cellStyle name="Followed Hyperlink" xfId="23" builtinId="9" hidden="1"/>
    <cellStyle name="Followed Hyperlink" xfId="17" builtinId="9" hidden="1"/>
    <cellStyle name="Followed Hyperlink" xfId="32" builtinId="9" hidden="1"/>
    <cellStyle name="Followed Hyperlink" xfId="24" builtinId="9" hidden="1"/>
    <cellStyle name="Followed Hyperlink" xfId="39" builtinId="9" hidden="1"/>
    <cellStyle name="Followed Hyperlink" xfId="35" builtinId="9" hidden="1"/>
    <cellStyle name="Followed Hyperlink" xfId="44" builtinId="9" hidden="1"/>
    <cellStyle name="Followed Hyperlink" xfId="12" builtinId="9" hidden="1"/>
    <cellStyle name="Followed Hyperlink" xfId="30" builtinId="9" hidden="1"/>
    <cellStyle name="Followed Hyperlink" xfId="33" builtinId="9" hidden="1"/>
    <cellStyle name="Followed Hyperlink" xfId="43" builtinId="9" hidden="1"/>
    <cellStyle name="Followed Hyperlink" xfId="26" builtinId="9" hidden="1"/>
    <cellStyle name="Followed Hyperlink" xfId="41" builtinId="9" hidden="1"/>
    <cellStyle name="Followed Hyperlink" xfId="13" builtinId="9" hidden="1"/>
    <cellStyle name="Followed Hyperlink" xfId="36" builtinId="9" hidden="1"/>
    <cellStyle name="Followed Hyperlink" xfId="16" builtinId="9" hidden="1"/>
    <cellStyle name="Followed Hyperlink" xfId="31" builtinId="9" hidden="1"/>
    <cellStyle name="Followed Hyperlink" xfId="38" builtinId="9" hidden="1"/>
    <cellStyle name="Followed Hyperlink" xfId="37" builtinId="9" hidden="1"/>
    <cellStyle name="Followed Hyperlink" xfId="10" builtinId="9" hidden="1"/>
    <cellStyle name="Followed Hyperlink" xfId="9" builtinId="9" hidden="1"/>
    <cellStyle name="Normal" xfId="0" builtinId="0"/>
    <cellStyle name="Normal 2" xfId="1" xr:uid="{00000000-0005-0000-0000-00002B000000}"/>
    <cellStyle name="Normal 2 13" xfId="52" xr:uid="{6FB463C0-8A80-4428-9BEA-80CB6B44CAC5}"/>
    <cellStyle name="Normal 2 2" xfId="50" xr:uid="{175960D3-16FA-47A7-ADA0-CE43B22ED649}"/>
    <cellStyle name="Normal 2 2 3" xfId="51" xr:uid="{C3DC0837-5AF6-41B9-993B-94F5787F5127}"/>
    <cellStyle name="Normal 3" xfId="18" xr:uid="{00000000-0005-0000-0000-00002C000000}"/>
    <cellStyle name="Normal 3 4" xfId="53" xr:uid="{00BE066C-66E3-488D-A8A4-DEE9C84719BE}"/>
    <cellStyle name="Normal 7" xfId="56" xr:uid="{13FDD7EF-336F-4672-99BD-FE0D6FAD4E98}"/>
    <cellStyle name="Normal 9" xfId="55" xr:uid="{A9B5B371-E29C-47C0-8BCB-85D6C2541BB4}"/>
    <cellStyle name="Percent" xfId="49" builtinId="5"/>
    <cellStyle name="Percent 2" xfId="19" xr:uid="{00000000-0005-0000-0000-00002E000000}"/>
    <cellStyle name="Percent 2 2" xfId="54" xr:uid="{AFA6EC84-FB93-4CC7-9CA5-3EAAEAAE6582}"/>
    <cellStyle name="Prozent 2" xfId="5" xr:uid="{00000000-0005-0000-0000-00002F000000}"/>
    <cellStyle name="Schlecht 2" xfId="6" xr:uid="{00000000-0005-0000-0000-000030000000}"/>
    <cellStyle name="Standard 2" xfId="7" xr:uid="{00000000-0005-0000-0000-00003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9"/>
  <sheetViews>
    <sheetView tabSelected="1" zoomScale="87" zoomScaleNormal="70" workbookViewId="0">
      <selection activeCell="G15" sqref="G15"/>
    </sheetView>
  </sheetViews>
  <sheetFormatPr defaultColWidth="11.25" defaultRowHeight="15.75"/>
  <cols>
    <col min="1" max="1" width="11.25" style="26"/>
    <col min="2" max="2" width="42.25" style="26" customWidth="1"/>
    <col min="3" max="3" width="17" style="26" customWidth="1"/>
    <col min="4" max="4" width="21" style="26" customWidth="1"/>
    <col min="5" max="5" width="60.125" style="26" customWidth="1"/>
    <col min="6" max="6" width="11.75" style="26" customWidth="1"/>
    <col min="7" max="7" width="16" style="26" customWidth="1"/>
    <col min="8" max="10" width="11.25" style="26"/>
    <col min="11" max="11" width="30.25" style="26" customWidth="1"/>
    <col min="12" max="12" width="11.25" style="26"/>
    <col min="13" max="13" width="12.75" style="26" customWidth="1"/>
    <col min="14" max="14" width="26.25" style="26" customWidth="1"/>
    <col min="15" max="15" width="26" style="26" customWidth="1"/>
    <col min="16" max="16384" width="11.25" style="26"/>
  </cols>
  <sheetData>
    <row r="1" spans="2:5">
      <c r="B1" s="62" t="s">
        <v>0</v>
      </c>
    </row>
    <row r="2" spans="2:5">
      <c r="C2" s="78">
        <f>D11-D12</f>
        <v>0.79394670052456084</v>
      </c>
    </row>
    <row r="3" spans="2:5">
      <c r="B3" s="26" t="s">
        <v>1</v>
      </c>
    </row>
    <row r="5" spans="2:5" ht="24" customHeight="1">
      <c r="B5" s="26" t="s">
        <v>108</v>
      </c>
    </row>
    <row r="7" spans="2:5">
      <c r="B7" s="141" t="s">
        <v>2</v>
      </c>
      <c r="C7" s="142"/>
      <c r="D7" s="142"/>
      <c r="E7" s="143"/>
    </row>
    <row r="8" spans="2:5">
      <c r="B8" s="30" t="s">
        <v>3</v>
      </c>
      <c r="C8" s="30" t="s">
        <v>4</v>
      </c>
      <c r="D8" s="31" t="s">
        <v>5</v>
      </c>
      <c r="E8" s="30" t="s">
        <v>6</v>
      </c>
    </row>
    <row r="9" spans="2:5">
      <c r="B9" s="32" t="s">
        <v>7</v>
      </c>
      <c r="C9" s="138" t="s">
        <v>8</v>
      </c>
      <c r="D9" s="33">
        <v>365</v>
      </c>
      <c r="E9" s="32" t="s">
        <v>9</v>
      </c>
    </row>
    <row r="10" spans="2:5">
      <c r="B10" s="32" t="s">
        <v>10</v>
      </c>
      <c r="C10" s="138" t="s">
        <v>11</v>
      </c>
      <c r="D10" s="96">
        <v>0.73728400000000005</v>
      </c>
      <c r="E10" s="35" t="s">
        <v>12</v>
      </c>
    </row>
    <row r="11" spans="2:5" ht="15.75" customHeight="1">
      <c r="B11" s="32" t="s">
        <v>13</v>
      </c>
      <c r="C11" s="138" t="s">
        <v>14</v>
      </c>
      <c r="D11" s="34">
        <v>1.3574864227467829</v>
      </c>
      <c r="E11" s="35" t="s">
        <v>110</v>
      </c>
    </row>
    <row r="12" spans="2:5" ht="17.25" customHeight="1">
      <c r="B12" s="32" t="s">
        <v>15</v>
      </c>
      <c r="C12" s="138" t="s">
        <v>14</v>
      </c>
      <c r="D12" s="34">
        <v>0.56353972222222204</v>
      </c>
      <c r="E12" s="35" t="s">
        <v>12</v>
      </c>
    </row>
    <row r="13" spans="2:5" ht="17.25" customHeight="1">
      <c r="B13" s="32" t="s">
        <v>109</v>
      </c>
      <c r="C13" s="138" t="s">
        <v>14</v>
      </c>
      <c r="D13" s="34">
        <f>D11-D12</f>
        <v>0.79394670052456084</v>
      </c>
      <c r="E13" s="35"/>
    </row>
    <row r="14" spans="2:5">
      <c r="B14" s="36" t="s">
        <v>16</v>
      </c>
      <c r="C14" s="139" t="s">
        <v>11</v>
      </c>
      <c r="D14" s="98">
        <v>0.42</v>
      </c>
      <c r="E14" s="36" t="s">
        <v>17</v>
      </c>
    </row>
    <row r="15" spans="2:5">
      <c r="B15" s="32" t="s">
        <v>18</v>
      </c>
      <c r="C15" s="140" t="s">
        <v>19</v>
      </c>
      <c r="D15" s="37">
        <v>197.15</v>
      </c>
      <c r="E15" s="32" t="s">
        <v>20</v>
      </c>
    </row>
    <row r="16" spans="2:5">
      <c r="B16" s="32" t="s">
        <v>21</v>
      </c>
      <c r="C16" s="140" t="s">
        <v>19</v>
      </c>
      <c r="D16" s="38">
        <v>92.29</v>
      </c>
      <c r="E16" s="32" t="s">
        <v>22</v>
      </c>
    </row>
    <row r="17" spans="2:11">
      <c r="B17" s="32" t="s">
        <v>23</v>
      </c>
      <c r="C17" s="138" t="s">
        <v>24</v>
      </c>
      <c r="D17" s="90">
        <v>2.9499999999999998E-2</v>
      </c>
      <c r="E17" s="32" t="s">
        <v>20</v>
      </c>
    </row>
    <row r="18" spans="2:11">
      <c r="B18" s="32" t="s">
        <v>25</v>
      </c>
      <c r="C18" s="138" t="s">
        <v>26</v>
      </c>
      <c r="D18" s="99">
        <f>'Baseline and Project emissions'!E28</f>
        <v>0.15117743123949601</v>
      </c>
      <c r="E18" s="32" t="s">
        <v>9</v>
      </c>
    </row>
    <row r="19" spans="2:11" ht="16.5" thickBot="1">
      <c r="B19" s="40"/>
      <c r="C19" s="40"/>
      <c r="D19" s="40"/>
      <c r="E19" s="40"/>
    </row>
    <row r="20" spans="2:11" ht="16.5" thickBot="1">
      <c r="B20" s="41" t="s">
        <v>27</v>
      </c>
      <c r="C20" s="42"/>
      <c r="D20" s="93">
        <f>D9/365*D10*D17*D13*((D14*D15)+D16)-D18</f>
        <v>2.8723711935504248</v>
      </c>
      <c r="E20" s="40"/>
    </row>
    <row r="22" spans="2:11" ht="16.5" thickBot="1"/>
    <row r="23" spans="2:11" ht="31.5">
      <c r="B23" s="63" t="s">
        <v>28</v>
      </c>
      <c r="C23" s="64" t="s">
        <v>29</v>
      </c>
      <c r="D23" s="64" t="s">
        <v>30</v>
      </c>
      <c r="E23" s="65" t="s">
        <v>31</v>
      </c>
      <c r="F23" s="66"/>
      <c r="G23" s="66"/>
      <c r="H23" s="66"/>
      <c r="J23" s="67"/>
      <c r="K23" s="26" t="s">
        <v>32</v>
      </c>
    </row>
    <row r="24" spans="2:11">
      <c r="B24" s="48" t="s">
        <v>33</v>
      </c>
      <c r="C24" s="68">
        <v>19998</v>
      </c>
      <c r="D24" s="69">
        <f>C24</f>
        <v>19998</v>
      </c>
      <c r="E24" s="70">
        <f>D24*$D$10</f>
        <v>14744.205432000001</v>
      </c>
      <c r="F24" s="67"/>
      <c r="G24" s="67"/>
      <c r="H24" s="67"/>
      <c r="I24" s="67"/>
      <c r="J24" s="29"/>
    </row>
    <row r="25" spans="2:11">
      <c r="B25" s="48" t="s">
        <v>34</v>
      </c>
      <c r="C25" s="68">
        <v>0</v>
      </c>
      <c r="D25" s="69">
        <f>C25+D24</f>
        <v>19998</v>
      </c>
      <c r="E25" s="70">
        <f>D25*$D$10</f>
        <v>14744.205432000001</v>
      </c>
      <c r="F25" s="67"/>
      <c r="G25" s="67"/>
      <c r="H25" s="67"/>
      <c r="I25" s="67"/>
    </row>
    <row r="26" spans="2:11">
      <c r="B26" s="48" t="s">
        <v>35</v>
      </c>
      <c r="C26" s="68">
        <v>0</v>
      </c>
      <c r="D26" s="69">
        <f t="shared" ref="D26:D28" si="0">C26+D25</f>
        <v>19998</v>
      </c>
      <c r="E26" s="70">
        <f t="shared" ref="E26:E28" si="1">D26*$D$10</f>
        <v>14744.205432000001</v>
      </c>
      <c r="F26" s="67"/>
      <c r="G26" s="67"/>
      <c r="H26" s="67"/>
    </row>
    <row r="27" spans="2:11">
      <c r="B27" s="48" t="s">
        <v>36</v>
      </c>
      <c r="C27" s="68">
        <v>0</v>
      </c>
      <c r="D27" s="69">
        <f t="shared" si="0"/>
        <v>19998</v>
      </c>
      <c r="E27" s="70">
        <f t="shared" si="1"/>
        <v>14744.205432000001</v>
      </c>
      <c r="F27" s="67"/>
      <c r="G27" s="67"/>
      <c r="H27" s="67"/>
    </row>
    <row r="28" spans="2:11">
      <c r="B28" s="48" t="s">
        <v>37</v>
      </c>
      <c r="C28" s="68">
        <v>0</v>
      </c>
      <c r="D28" s="69">
        <f t="shared" si="0"/>
        <v>19998</v>
      </c>
      <c r="E28" s="70">
        <f t="shared" si="1"/>
        <v>14744.205432000001</v>
      </c>
      <c r="F28" s="67"/>
      <c r="G28" s="67"/>
      <c r="H28" s="67"/>
    </row>
    <row r="29" spans="2:11" ht="16.5" thickBot="1">
      <c r="B29" s="71"/>
      <c r="C29" s="79">
        <f>SUM(C24:C28)</f>
        <v>19998</v>
      </c>
      <c r="D29" s="72">
        <f>AVERAGE(D24:D28)</f>
        <v>19998</v>
      </c>
      <c r="E29" s="73">
        <f>AVERAGE(E24:E28)</f>
        <v>14744.205431999999</v>
      </c>
      <c r="F29" s="74"/>
      <c r="G29" s="74"/>
      <c r="H29" s="74"/>
    </row>
    <row r="30" spans="2:11">
      <c r="C30" s="75"/>
      <c r="F30" s="67"/>
      <c r="G30" s="67"/>
      <c r="H30" s="67"/>
    </row>
    <row r="31" spans="2:11" hidden="1">
      <c r="B31" s="26" t="s">
        <v>38</v>
      </c>
      <c r="C31" s="76"/>
    </row>
    <row r="32" spans="2:11">
      <c r="B32" s="77" t="s">
        <v>39</v>
      </c>
    </row>
    <row r="59" spans="2:5">
      <c r="B59" s="144"/>
      <c r="C59" s="144"/>
      <c r="D59" s="144"/>
      <c r="E59" s="144"/>
    </row>
  </sheetData>
  <mergeCells count="2">
    <mergeCell ref="B7:E7"/>
    <mergeCell ref="B59:E59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56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83FF-CBB6-44CC-9D47-DFB1CC66884D}">
  <dimension ref="B2:N41"/>
  <sheetViews>
    <sheetView zoomScale="67" zoomScaleNormal="100" workbookViewId="0">
      <selection activeCell="F7" sqref="F7"/>
    </sheetView>
  </sheetViews>
  <sheetFormatPr defaultColWidth="8.75" defaultRowHeight="15.75"/>
  <cols>
    <col min="1" max="2" width="8.75" style="26"/>
    <col min="3" max="3" width="34" style="26" bestFit="1" customWidth="1"/>
    <col min="4" max="4" width="17" style="26" bestFit="1" customWidth="1"/>
    <col min="5" max="5" width="14.125" style="26" customWidth="1"/>
    <col min="6" max="6" width="45" style="26" customWidth="1"/>
    <col min="7" max="7" width="18.875" style="26" customWidth="1"/>
    <col min="8" max="8" width="11.75" style="26" bestFit="1" customWidth="1"/>
    <col min="9" max="9" width="9.5" style="26" bestFit="1" customWidth="1"/>
    <col min="10" max="16384" width="8.75" style="26"/>
  </cols>
  <sheetData>
    <row r="2" spans="2:6">
      <c r="B2" s="26" t="s">
        <v>40</v>
      </c>
    </row>
    <row r="3" spans="2:6">
      <c r="C3" s="141" t="s">
        <v>41</v>
      </c>
      <c r="D3" s="142"/>
      <c r="E3" s="142"/>
      <c r="F3" s="143"/>
    </row>
    <row r="4" spans="2:6">
      <c r="C4" s="30" t="s">
        <v>3</v>
      </c>
      <c r="D4" s="30" t="s">
        <v>4</v>
      </c>
      <c r="E4" s="31" t="s">
        <v>5</v>
      </c>
      <c r="F4" s="30" t="s">
        <v>6</v>
      </c>
    </row>
    <row r="5" spans="2:6" ht="16.5" thickBot="1">
      <c r="C5" s="32" t="s">
        <v>7</v>
      </c>
      <c r="D5" s="32" t="s">
        <v>8</v>
      </c>
      <c r="E5" s="33">
        <v>365</v>
      </c>
      <c r="F5" s="32" t="s">
        <v>9</v>
      </c>
    </row>
    <row r="6" spans="2:6">
      <c r="C6" s="32" t="s">
        <v>10</v>
      </c>
      <c r="D6" s="32" t="s">
        <v>11</v>
      </c>
      <c r="E6" s="96">
        <v>0.73728400000000005</v>
      </c>
      <c r="F6" s="32" t="s">
        <v>9</v>
      </c>
    </row>
    <row r="7" spans="2:6" ht="16.5" thickBot="1">
      <c r="C7" s="32" t="s">
        <v>13</v>
      </c>
      <c r="D7" s="32" t="s">
        <v>14</v>
      </c>
      <c r="E7" s="34">
        <v>1.3574864227467829</v>
      </c>
      <c r="F7" s="35" t="s">
        <v>111</v>
      </c>
    </row>
    <row r="8" spans="2:6">
      <c r="C8" s="36" t="s">
        <v>16</v>
      </c>
      <c r="D8" s="36" t="s">
        <v>11</v>
      </c>
      <c r="E8" s="98">
        <f>'ER ICS TPDDTEC'!D14</f>
        <v>0.42</v>
      </c>
      <c r="F8" s="36" t="s">
        <v>17</v>
      </c>
    </row>
    <row r="9" spans="2:6">
      <c r="C9" s="32" t="s">
        <v>18</v>
      </c>
      <c r="D9" s="32" t="s">
        <v>42</v>
      </c>
      <c r="E9" s="37">
        <v>197.15</v>
      </c>
      <c r="F9" s="32" t="s">
        <v>20</v>
      </c>
    </row>
    <row r="10" spans="2:6" ht="16.5" thickBot="1">
      <c r="C10" s="32" t="s">
        <v>21</v>
      </c>
      <c r="D10" s="32" t="s">
        <v>42</v>
      </c>
      <c r="E10" s="38">
        <v>92.29</v>
      </c>
      <c r="F10" s="32" t="s">
        <v>22</v>
      </c>
    </row>
    <row r="11" spans="2:6">
      <c r="C11" s="32" t="s">
        <v>23</v>
      </c>
      <c r="D11" s="32" t="s">
        <v>24</v>
      </c>
      <c r="E11" s="39">
        <v>2.9499999999999998E-2</v>
      </c>
      <c r="F11" s="32" t="s">
        <v>20</v>
      </c>
    </row>
    <row r="12" spans="2:6" ht="16.5" thickBot="1">
      <c r="C12" s="40"/>
      <c r="D12" s="40"/>
      <c r="E12" s="40"/>
      <c r="F12" s="40"/>
    </row>
    <row r="13" spans="2:6" ht="16.5" thickBot="1">
      <c r="C13" s="41" t="s">
        <v>27</v>
      </c>
      <c r="D13" s="42"/>
      <c r="E13" s="93">
        <f>E5/365*E6*E7*E11*((E8*E9)+E10)</f>
        <v>5.169649554504387</v>
      </c>
      <c r="F13" s="40"/>
    </row>
    <row r="15" spans="2:6">
      <c r="B15" s="26" t="s">
        <v>43</v>
      </c>
    </row>
    <row r="16" spans="2:6">
      <c r="C16" s="141" t="s">
        <v>44</v>
      </c>
      <c r="D16" s="142"/>
      <c r="E16" s="142"/>
      <c r="F16" s="143"/>
    </row>
    <row r="17" spans="3:10">
      <c r="C17" s="30" t="s">
        <v>3</v>
      </c>
      <c r="D17" s="30" t="s">
        <v>4</v>
      </c>
      <c r="E17" s="31" t="s">
        <v>5</v>
      </c>
      <c r="F17" s="30" t="s">
        <v>6</v>
      </c>
    </row>
    <row r="18" spans="3:10">
      <c r="C18" s="32" t="s">
        <v>7</v>
      </c>
      <c r="D18" s="32" t="s">
        <v>8</v>
      </c>
      <c r="E18" s="33">
        <v>365</v>
      </c>
      <c r="F18" s="32" t="s">
        <v>9</v>
      </c>
    </row>
    <row r="19" spans="3:10">
      <c r="C19" s="32" t="s">
        <v>10</v>
      </c>
      <c r="D19" s="32" t="s">
        <v>11</v>
      </c>
      <c r="E19" s="96">
        <v>0.73728400000000005</v>
      </c>
      <c r="F19" s="32" t="s">
        <v>9</v>
      </c>
    </row>
    <row r="20" spans="3:10">
      <c r="C20" s="32" t="s">
        <v>45</v>
      </c>
      <c r="D20" s="32" t="s">
        <v>14</v>
      </c>
      <c r="E20" s="34">
        <v>0.56353972222222204</v>
      </c>
      <c r="F20" s="35" t="s">
        <v>46</v>
      </c>
    </row>
    <row r="21" spans="3:10">
      <c r="C21" s="36" t="s">
        <v>16</v>
      </c>
      <c r="D21" s="36" t="s">
        <v>11</v>
      </c>
      <c r="E21" s="97">
        <f>'ER ICS TPDDTEC'!D14</f>
        <v>0.42</v>
      </c>
      <c r="F21" s="36" t="s">
        <v>17</v>
      </c>
      <c r="J21" s="27"/>
    </row>
    <row r="22" spans="3:10">
      <c r="C22" s="32" t="s">
        <v>18</v>
      </c>
      <c r="D22" s="32" t="s">
        <v>42</v>
      </c>
      <c r="E22" s="37">
        <v>197.15</v>
      </c>
      <c r="F22" s="32" t="s">
        <v>20</v>
      </c>
    </row>
    <row r="23" spans="3:10">
      <c r="C23" s="32" t="s">
        <v>21</v>
      </c>
      <c r="D23" s="32" t="s">
        <v>42</v>
      </c>
      <c r="E23" s="38">
        <v>92.29</v>
      </c>
      <c r="F23" s="32" t="s">
        <v>22</v>
      </c>
    </row>
    <row r="24" spans="3:10">
      <c r="C24" s="32" t="s">
        <v>23</v>
      </c>
      <c r="D24" s="32" t="s">
        <v>24</v>
      </c>
      <c r="E24" s="90">
        <v>2.9499999999999998E-2</v>
      </c>
      <c r="F24" s="32" t="s">
        <v>20</v>
      </c>
    </row>
    <row r="25" spans="3:10" ht="16.5" thickBot="1">
      <c r="C25" s="40"/>
      <c r="D25" s="40"/>
      <c r="E25" s="40"/>
      <c r="F25" s="40"/>
    </row>
    <row r="26" spans="3:10" ht="16.5" thickBot="1">
      <c r="C26" s="41" t="s">
        <v>27</v>
      </c>
      <c r="D26" s="42"/>
      <c r="E26" s="93">
        <f>E18/365*E19*E24*E20*((E21*E22)+E23)</f>
        <v>2.1461009297144669</v>
      </c>
      <c r="F26" s="40"/>
      <c r="I26" s="78" t="s">
        <v>47</v>
      </c>
    </row>
    <row r="27" spans="3:10" ht="16.5" thickBot="1"/>
    <row r="28" spans="3:10" ht="16.5" thickBot="1">
      <c r="C28" s="95" t="s">
        <v>48</v>
      </c>
      <c r="D28" s="91"/>
      <c r="E28" s="94">
        <f>(E13-E26)*5%</f>
        <v>0.15117743123949601</v>
      </c>
    </row>
    <row r="29" spans="3:10" ht="16.5" thickBot="1"/>
    <row r="30" spans="3:10" ht="16.5" thickBot="1">
      <c r="C30" s="92" t="s">
        <v>49</v>
      </c>
      <c r="D30" s="91"/>
      <c r="E30" s="93">
        <f>E13-E26-E28</f>
        <v>2.8723711935504239</v>
      </c>
      <c r="J30" s="26" t="s">
        <v>47</v>
      </c>
    </row>
    <row r="31" spans="3:10" ht="16.5" thickBot="1"/>
    <row r="32" spans="3:10" ht="31.5">
      <c r="C32" s="145" t="s">
        <v>50</v>
      </c>
      <c r="D32" s="43" t="s">
        <v>40</v>
      </c>
      <c r="E32" s="43" t="s">
        <v>43</v>
      </c>
      <c r="F32" s="43" t="s">
        <v>48</v>
      </c>
      <c r="G32" s="44" t="s">
        <v>51</v>
      </c>
    </row>
    <row r="33" spans="3:14" ht="17.25">
      <c r="C33" s="146"/>
      <c r="D33" s="45" t="s">
        <v>52</v>
      </c>
      <c r="E33" s="45" t="s">
        <v>52</v>
      </c>
      <c r="F33" s="45" t="s">
        <v>52</v>
      </c>
      <c r="G33" s="46" t="s">
        <v>52</v>
      </c>
      <c r="H33" s="47"/>
    </row>
    <row r="34" spans="3:14">
      <c r="C34" s="48" t="s">
        <v>33</v>
      </c>
      <c r="D34" s="49">
        <f>('ER ICS TPDDTEC'!D24*'ER ICS TPDDTEC'!$D$10*'ER ICS TPDDTEC'!$D$11*'ER ICS TPDDTEC'!D17* (('ER ICS TPDDTEC'!$D$14*'ER ICS TPDDTEC'!$D$15)+'ER ICS TPDDTEC'!$D$16)-'ER ICS TPDDTEC'!$D$18)</f>
        <v>103382.5006135475</v>
      </c>
      <c r="E34" s="50">
        <f>('ER ICS TPDDTEC'!D24*'ER ICS TPDDTEC'!$D$10*'ER ICS TPDDTEC'!$D$12*'ER ICS TPDDTEC'!$D$17*(('ER ICS TPDDTEC'!$D$14*'ER ICS TPDDTEC'!$D$15)+'ER ICS TPDDTEC'!$D$16)-'ER ICS TPDDTEC'!$D$18)</f>
        <v>42917.575214998666</v>
      </c>
      <c r="F34" s="131">
        <f>(D34-E34)*0.05</f>
        <v>3023.246269927442</v>
      </c>
      <c r="G34" s="51">
        <f>D34-E34-F34</f>
        <v>57441.679128621392</v>
      </c>
      <c r="H34" s="28"/>
      <c r="I34" s="28"/>
      <c r="N34" s="26" t="s">
        <v>47</v>
      </c>
    </row>
    <row r="35" spans="3:14">
      <c r="C35" s="48" t="s">
        <v>34</v>
      </c>
      <c r="D35" s="49">
        <f>('ER ICS TPDDTEC'!D25*'ER ICS TPDDTEC'!$D$10*'ER ICS TPDDTEC'!$D$11*'ER ICS TPDDTEC'!D17*(('ER ICS TPDDTEC'!$D$14*'ER ICS TPDDTEC'!$D$15)+'ER ICS TPDDTEC'!$D$16)-'ER ICS TPDDTEC'!$D$18)</f>
        <v>103382.5006135475</v>
      </c>
      <c r="E35" s="50">
        <f>('ER ICS TPDDTEC'!D25*'ER ICS TPDDTEC'!$D$10*'ER ICS TPDDTEC'!$D$12*'ER ICS TPDDTEC'!$D$17*(('ER ICS TPDDTEC'!$D$14*'ER ICS TPDDTEC'!$D$15)+'ER ICS TPDDTEC'!$D$16)-'ER ICS TPDDTEC'!$D$18)</f>
        <v>42917.575214998666</v>
      </c>
      <c r="F35" s="131">
        <f>(D35-E35)*0.05</f>
        <v>3023.246269927442</v>
      </c>
      <c r="G35" s="51">
        <f>D35-E35-F35</f>
        <v>57441.679128621392</v>
      </c>
      <c r="H35" s="28"/>
      <c r="I35" s="29"/>
    </row>
    <row r="36" spans="3:14">
      <c r="C36" s="48" t="s">
        <v>35</v>
      </c>
      <c r="D36" s="49">
        <f>('ER ICS TPDDTEC'!D26*'ER ICS TPDDTEC'!$D$10*'ER ICS TPDDTEC'!$D$11*'ER ICS TPDDTEC'!D17*(('ER ICS TPDDTEC'!$D$14*'ER ICS TPDDTEC'!$D$15)+'ER ICS TPDDTEC'!$D$16)-'ER ICS TPDDTEC'!$D$18)</f>
        <v>103382.5006135475</v>
      </c>
      <c r="E36" s="50">
        <f>('ER ICS TPDDTEC'!D26*'ER ICS TPDDTEC'!$D$10*'ER ICS TPDDTEC'!$D$12*'ER ICS TPDDTEC'!$D$17*(('ER ICS TPDDTEC'!$D$14*'ER ICS TPDDTEC'!$D$15)+'ER ICS TPDDTEC'!$D$16)-'ER ICS TPDDTEC'!$D$18)</f>
        <v>42917.575214998666</v>
      </c>
      <c r="F36" s="131">
        <f t="shared" ref="F36:F38" si="0">(D36-E36)*0.05</f>
        <v>3023.246269927442</v>
      </c>
      <c r="G36" s="51">
        <f>D36-E36-F36</f>
        <v>57441.679128621392</v>
      </c>
      <c r="H36" s="28"/>
    </row>
    <row r="37" spans="3:14">
      <c r="C37" s="48" t="s">
        <v>36</v>
      </c>
      <c r="D37" s="49">
        <f>('ER ICS TPDDTEC'!D27*'ER ICS TPDDTEC'!$D$10*'ER ICS TPDDTEC'!$D$11*'ER ICS TPDDTEC'!D17*(('ER ICS TPDDTEC'!$D$14*'ER ICS TPDDTEC'!$D$15)+'ER ICS TPDDTEC'!$D$16)-'ER ICS TPDDTEC'!$D$18)</f>
        <v>103382.5006135475</v>
      </c>
      <c r="E37" s="50">
        <f>('ER ICS TPDDTEC'!D27*'ER ICS TPDDTEC'!$D$10*'ER ICS TPDDTEC'!$D$12*'ER ICS TPDDTEC'!$D$17*(('ER ICS TPDDTEC'!$D$14*'ER ICS TPDDTEC'!$D$15)+'ER ICS TPDDTEC'!$D$16)-'ER ICS TPDDTEC'!$D$18)</f>
        <v>42917.575214998666</v>
      </c>
      <c r="F37" s="131">
        <f t="shared" si="0"/>
        <v>3023.246269927442</v>
      </c>
      <c r="G37" s="51">
        <f>D37-E37-F37</f>
        <v>57441.679128621392</v>
      </c>
      <c r="H37" s="28"/>
    </row>
    <row r="38" spans="3:14">
      <c r="C38" s="48" t="s">
        <v>37</v>
      </c>
      <c r="D38" s="49">
        <f>('ER ICS TPDDTEC'!D28*'ER ICS TPDDTEC'!$D$10*'ER ICS TPDDTEC'!$D$11*'ER ICS TPDDTEC'!D17*(('ER ICS TPDDTEC'!$D$14*'ER ICS TPDDTEC'!$D$15)+'ER ICS TPDDTEC'!$D$16)-'ER ICS TPDDTEC'!$D$18)</f>
        <v>103382.5006135475</v>
      </c>
      <c r="E38" s="50">
        <f>('ER ICS TPDDTEC'!D28*'ER ICS TPDDTEC'!$D$10*'ER ICS TPDDTEC'!$D$12*'ER ICS TPDDTEC'!$D$17*(('ER ICS TPDDTEC'!$D$14*'ER ICS TPDDTEC'!$D$15)+'ER ICS TPDDTEC'!$D$16)-'ER ICS TPDDTEC'!$D$18)</f>
        <v>42917.575214998666</v>
      </c>
      <c r="F38" s="131">
        <f t="shared" si="0"/>
        <v>3023.246269927442</v>
      </c>
      <c r="G38" s="51">
        <f>D38-E38-F38</f>
        <v>57441.679128621392</v>
      </c>
      <c r="H38" s="28"/>
    </row>
    <row r="39" spans="3:14">
      <c r="C39" s="52" t="s">
        <v>53</v>
      </c>
      <c r="D39" s="49">
        <f>SUM(D34:D38)</f>
        <v>516912.5030677375</v>
      </c>
      <c r="E39" s="50">
        <f>SUM(E34:E38)</f>
        <v>214587.87607499334</v>
      </c>
      <c r="F39" s="50">
        <f>SUM(F34:F38)</f>
        <v>15116.23134963721</v>
      </c>
      <c r="G39" s="51">
        <f>SUM(G34:G38)</f>
        <v>287208.39564310695</v>
      </c>
      <c r="H39" s="28"/>
    </row>
    <row r="40" spans="3:14">
      <c r="C40" s="52" t="s">
        <v>54</v>
      </c>
      <c r="D40" s="53">
        <v>5</v>
      </c>
      <c r="E40" s="54"/>
      <c r="F40" s="55"/>
      <c r="G40" s="56"/>
    </row>
    <row r="41" spans="3:14" ht="32.25" thickBot="1">
      <c r="C41" s="57" t="s">
        <v>55</v>
      </c>
      <c r="D41" s="58">
        <f>D39/D40</f>
        <v>103382.5006135475</v>
      </c>
      <c r="E41" s="59">
        <f>E39/D40</f>
        <v>42917.575214998666</v>
      </c>
      <c r="F41" s="60">
        <f>F39/D40</f>
        <v>3023.246269927442</v>
      </c>
      <c r="G41" s="61">
        <f>G39/D40</f>
        <v>57441.679128621392</v>
      </c>
      <c r="H41" s="28"/>
    </row>
  </sheetData>
  <mergeCells count="3">
    <mergeCell ref="C3:F3"/>
    <mergeCell ref="C16:F16"/>
    <mergeCell ref="C32:C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0B2E-8F43-3D4E-9017-3B0611053913}">
  <dimension ref="A5:D19"/>
  <sheetViews>
    <sheetView zoomScale="78" zoomScaleNormal="125" workbookViewId="0">
      <selection activeCell="C9" sqref="C9"/>
    </sheetView>
  </sheetViews>
  <sheetFormatPr defaultColWidth="11" defaultRowHeight="15.75"/>
  <cols>
    <col min="1" max="1" width="38.25" customWidth="1"/>
    <col min="2" max="3" width="26.25" customWidth="1"/>
    <col min="4" max="4" width="35.75" customWidth="1"/>
  </cols>
  <sheetData>
    <row r="5" spans="1:4">
      <c r="A5" s="147" t="s">
        <v>56</v>
      </c>
      <c r="B5" s="148" t="s">
        <v>57</v>
      </c>
      <c r="C5" s="149">
        <f>'ER ICS TPDDTEC'!D17</f>
        <v>2.9499999999999998E-2</v>
      </c>
      <c r="D5" s="147" t="s">
        <v>58</v>
      </c>
    </row>
    <row r="6" spans="1:4">
      <c r="A6" s="147"/>
      <c r="B6" s="148"/>
      <c r="C6" s="149"/>
      <c r="D6" s="147"/>
    </row>
    <row r="7" spans="1:4">
      <c r="A7" s="2" t="s">
        <v>59</v>
      </c>
      <c r="B7" s="3" t="s">
        <v>60</v>
      </c>
      <c r="C7" s="4">
        <v>3.5999999999999998E-6</v>
      </c>
      <c r="D7" s="2" t="s">
        <v>61</v>
      </c>
    </row>
    <row r="8" spans="1:4">
      <c r="A8" s="2" t="s">
        <v>62</v>
      </c>
      <c r="B8" s="3" t="s">
        <v>63</v>
      </c>
      <c r="C8" s="4">
        <f>C5/C7</f>
        <v>8194.4444444444453</v>
      </c>
      <c r="D8" s="2" t="s">
        <v>64</v>
      </c>
    </row>
    <row r="9" spans="1:4">
      <c r="A9" s="5" t="s">
        <v>65</v>
      </c>
      <c r="B9" s="3" t="s">
        <v>66</v>
      </c>
      <c r="C9" s="6">
        <f>'ER ICS TPDDTEC'!D11-'ER ICS TPDDTEC'!D12</f>
        <v>0.79394670052456084</v>
      </c>
      <c r="D9" s="2" t="s">
        <v>67</v>
      </c>
    </row>
    <row r="10" spans="1:4">
      <c r="A10" s="5" t="s">
        <v>68</v>
      </c>
      <c r="B10" s="3" t="s">
        <v>69</v>
      </c>
      <c r="C10" s="7">
        <v>1</v>
      </c>
      <c r="D10" s="7" t="s">
        <v>70</v>
      </c>
    </row>
    <row r="11" spans="1:4">
      <c r="A11" s="5" t="s">
        <v>71</v>
      </c>
      <c r="B11" s="3" t="s">
        <v>72</v>
      </c>
      <c r="C11" s="6">
        <f>C9/C10</f>
        <v>0.79394670052456084</v>
      </c>
      <c r="D11" s="2" t="s">
        <v>73</v>
      </c>
    </row>
    <row r="12" spans="1:4">
      <c r="A12" s="5" t="s">
        <v>74</v>
      </c>
      <c r="B12" s="3" t="s">
        <v>75</v>
      </c>
      <c r="C12" s="8">
        <f>C11*C8</f>
        <v>6505.9521292984855</v>
      </c>
      <c r="D12" s="2" t="s">
        <v>73</v>
      </c>
    </row>
    <row r="13" spans="1:4">
      <c r="A13" s="5" t="s">
        <v>59</v>
      </c>
      <c r="B13" s="3" t="s">
        <v>76</v>
      </c>
      <c r="C13" s="9">
        <v>9.9999999999999995E-7</v>
      </c>
      <c r="D13" s="2" t="s">
        <v>59</v>
      </c>
    </row>
    <row r="14" spans="1:4">
      <c r="A14" s="5" t="s">
        <v>77</v>
      </c>
      <c r="B14" s="3" t="s">
        <v>78</v>
      </c>
      <c r="C14" s="10">
        <f>C12*C13</f>
        <v>6.5059521292984849E-3</v>
      </c>
      <c r="D14" s="2" t="s">
        <v>64</v>
      </c>
    </row>
    <row r="15" spans="1:4">
      <c r="A15" s="5" t="s">
        <v>79</v>
      </c>
      <c r="B15" s="3" t="s">
        <v>80</v>
      </c>
      <c r="C15" s="11">
        <f>C14*1000</f>
        <v>6.5059521292984845</v>
      </c>
      <c r="D15" s="2" t="s">
        <v>64</v>
      </c>
    </row>
    <row r="16" spans="1:4">
      <c r="A16" s="5" t="s">
        <v>81</v>
      </c>
      <c r="B16" s="3" t="s">
        <v>80</v>
      </c>
      <c r="C16" s="12">
        <v>600</v>
      </c>
      <c r="D16" s="2" t="s">
        <v>82</v>
      </c>
    </row>
    <row r="17" spans="1:4">
      <c r="A17" s="5" t="s">
        <v>83</v>
      </c>
      <c r="B17" s="7"/>
      <c r="C17" s="13" t="str">
        <f>IF(C15&lt;C16,"PASS","FAIL")</f>
        <v>PASS</v>
      </c>
      <c r="D17" s="7"/>
    </row>
    <row r="19" spans="1:4">
      <c r="A19" s="136" t="s">
        <v>84</v>
      </c>
      <c r="B19" s="136" t="s">
        <v>85</v>
      </c>
      <c r="C19" s="137">
        <f>C14*'ER ICS TPDDTEC'!D29</f>
        <v>130.1060306817111</v>
      </c>
    </row>
  </sheetData>
  <mergeCells count="4">
    <mergeCell ref="A5:A6"/>
    <mergeCell ref="B5:B6"/>
    <mergeCell ref="C5:C6"/>
    <mergeCell ref="D5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FCC19-3D8F-4873-927D-4EB4F11212BF}">
  <dimension ref="B2:E73"/>
  <sheetViews>
    <sheetView zoomScale="77" workbookViewId="0">
      <selection activeCell="E67" sqref="E67:E71"/>
    </sheetView>
  </sheetViews>
  <sheetFormatPr defaultColWidth="8.25" defaultRowHeight="15.75"/>
  <cols>
    <col min="2" max="2" width="27.25" customWidth="1"/>
    <col min="3" max="3" width="15.5" bestFit="1" customWidth="1"/>
    <col min="4" max="4" width="14.25" bestFit="1" customWidth="1"/>
    <col min="5" max="5" width="10.75" bestFit="1" customWidth="1"/>
  </cols>
  <sheetData>
    <row r="2" spans="2:5">
      <c r="B2" s="14" t="s">
        <v>86</v>
      </c>
      <c r="C2" s="14"/>
      <c r="D2" s="14"/>
      <c r="E2" s="14"/>
    </row>
    <row r="3" spans="2:5">
      <c r="B3" s="15" t="s">
        <v>87</v>
      </c>
      <c r="C3" s="15" t="s">
        <v>88</v>
      </c>
      <c r="D3" s="15" t="s">
        <v>89</v>
      </c>
      <c r="E3" s="15" t="s">
        <v>90</v>
      </c>
    </row>
    <row r="4" spans="2:5">
      <c r="B4" s="16" t="s">
        <v>91</v>
      </c>
      <c r="C4" s="23">
        <v>0</v>
      </c>
      <c r="D4" s="24">
        <v>0.46379999999999999</v>
      </c>
      <c r="E4" s="24">
        <v>0.46379999999999999</v>
      </c>
    </row>
    <row r="5" spans="2:5">
      <c r="B5" s="16" t="s">
        <v>92</v>
      </c>
      <c r="C5" s="23">
        <v>0</v>
      </c>
      <c r="D5" s="24">
        <v>0.46379999999999999</v>
      </c>
      <c r="E5" s="24">
        <v>0.46379999999999999</v>
      </c>
    </row>
    <row r="6" spans="2:5">
      <c r="B6" s="16" t="s">
        <v>93</v>
      </c>
      <c r="C6" s="23">
        <v>0</v>
      </c>
      <c r="D6" s="24">
        <v>0.46379999999999999</v>
      </c>
      <c r="E6" s="24">
        <v>0.46379999999999999</v>
      </c>
    </row>
    <row r="7" spans="2:5">
      <c r="B7" s="16" t="s">
        <v>94</v>
      </c>
      <c r="C7" s="23">
        <v>0</v>
      </c>
      <c r="D7" s="24">
        <v>0.46379999999999999</v>
      </c>
      <c r="E7" s="24">
        <v>0.46379999999999999</v>
      </c>
    </row>
    <row r="8" spans="2:5">
      <c r="B8" s="16" t="s">
        <v>95</v>
      </c>
      <c r="C8" s="23">
        <v>0</v>
      </c>
      <c r="D8" s="24">
        <v>0.46379999999999999</v>
      </c>
      <c r="E8" s="24">
        <v>0.46379999999999999</v>
      </c>
    </row>
    <row r="9" spans="2:5" ht="16.5" thickBot="1">
      <c r="B9" s="106" t="s">
        <v>53</v>
      </c>
      <c r="C9" s="124" t="s">
        <v>96</v>
      </c>
      <c r="D9" s="124" t="s">
        <v>96</v>
      </c>
      <c r="E9" s="124" t="s">
        <v>96</v>
      </c>
    </row>
    <row r="10" spans="2:5" ht="16.5" thickBot="1">
      <c r="B10" s="108" t="s">
        <v>97</v>
      </c>
      <c r="C10" s="125">
        <v>0</v>
      </c>
      <c r="D10" s="126">
        <f>AVERAGE(D4:D8)</f>
        <v>0.46379999999999999</v>
      </c>
      <c r="E10" s="127">
        <f>AVERAGE(E4:E8)</f>
        <v>0.46379999999999999</v>
      </c>
    </row>
    <row r="11" spans="2:5">
      <c r="B11" s="25" t="s">
        <v>98</v>
      </c>
    </row>
    <row r="12" spans="2:5">
      <c r="B12" s="18"/>
    </row>
    <row r="13" spans="2:5">
      <c r="B13" s="14" t="s">
        <v>99</v>
      </c>
      <c r="C13" s="14"/>
      <c r="D13" s="14"/>
      <c r="E13" s="14"/>
    </row>
    <row r="14" spans="2:5">
      <c r="B14" s="15" t="s">
        <v>87</v>
      </c>
      <c r="C14" s="15" t="s">
        <v>100</v>
      </c>
      <c r="D14" s="15" t="s">
        <v>89</v>
      </c>
      <c r="E14" s="15" t="s">
        <v>90</v>
      </c>
    </row>
    <row r="15" spans="2:5">
      <c r="B15" s="16" t="s">
        <v>91</v>
      </c>
      <c r="C15" s="17">
        <v>0</v>
      </c>
      <c r="D15" s="22">
        <v>1</v>
      </c>
      <c r="E15" s="22">
        <v>1</v>
      </c>
    </row>
    <row r="16" spans="2:5">
      <c r="B16" s="16" t="s">
        <v>92</v>
      </c>
      <c r="C16" s="17">
        <v>0</v>
      </c>
      <c r="D16" s="22">
        <v>1</v>
      </c>
      <c r="E16" s="22">
        <v>1</v>
      </c>
    </row>
    <row r="17" spans="2:5">
      <c r="B17" s="16" t="s">
        <v>93</v>
      </c>
      <c r="C17" s="17">
        <v>0</v>
      </c>
      <c r="D17" s="22">
        <v>1</v>
      </c>
      <c r="E17" s="22">
        <v>1</v>
      </c>
    </row>
    <row r="18" spans="2:5">
      <c r="B18" s="16" t="s">
        <v>94</v>
      </c>
      <c r="C18" s="17">
        <v>0</v>
      </c>
      <c r="D18" s="22">
        <v>1</v>
      </c>
      <c r="E18" s="22">
        <v>1</v>
      </c>
    </row>
    <row r="19" spans="2:5">
      <c r="B19" s="16" t="s">
        <v>95</v>
      </c>
      <c r="C19" s="17">
        <v>0</v>
      </c>
      <c r="D19" s="22">
        <v>1</v>
      </c>
      <c r="E19" s="22">
        <v>1</v>
      </c>
    </row>
    <row r="20" spans="2:5" ht="16.5" thickBot="1">
      <c r="B20" s="106" t="s">
        <v>53</v>
      </c>
      <c r="C20" s="122" t="s">
        <v>96</v>
      </c>
      <c r="D20" s="122" t="s">
        <v>96</v>
      </c>
      <c r="E20" s="122" t="s">
        <v>96</v>
      </c>
    </row>
    <row r="21" spans="2:5" ht="16.5" thickBot="1">
      <c r="B21" s="108" t="s">
        <v>97</v>
      </c>
      <c r="C21" s="128">
        <f>AVERAGE(C15:C19)</f>
        <v>0</v>
      </c>
      <c r="D21" s="129">
        <f>AVERAGE(D15:D19)</f>
        <v>1</v>
      </c>
      <c r="E21" s="123">
        <f>AVERAGE(E15:E19)</f>
        <v>1</v>
      </c>
    </row>
    <row r="22" spans="2:5">
      <c r="B22" s="25" t="s">
        <v>101</v>
      </c>
      <c r="C22" s="100"/>
      <c r="D22" s="101"/>
      <c r="E22" s="101"/>
    </row>
    <row r="24" spans="2:5">
      <c r="B24" s="80" t="s">
        <v>102</v>
      </c>
      <c r="C24" s="81"/>
      <c r="D24" s="82"/>
      <c r="E24" s="83"/>
    </row>
    <row r="25" spans="2:5">
      <c r="B25" s="84" t="s">
        <v>87</v>
      </c>
      <c r="C25" s="84" t="s">
        <v>100</v>
      </c>
      <c r="D25" s="84" t="s">
        <v>89</v>
      </c>
      <c r="E25" s="84" t="s">
        <v>90</v>
      </c>
    </row>
    <row r="26" spans="2:5">
      <c r="B26" s="85" t="s">
        <v>91</v>
      </c>
      <c r="C26" s="86">
        <v>0</v>
      </c>
      <c r="D26" s="87">
        <v>70</v>
      </c>
      <c r="E26" s="87">
        <f>D26</f>
        <v>70</v>
      </c>
    </row>
    <row r="27" spans="2:5">
      <c r="B27" s="85" t="s">
        <v>92</v>
      </c>
      <c r="C27" s="86">
        <v>0</v>
      </c>
      <c r="D27" s="87">
        <v>70</v>
      </c>
      <c r="E27" s="87">
        <f t="shared" ref="E27:E31" si="0">D27</f>
        <v>70</v>
      </c>
    </row>
    <row r="28" spans="2:5">
      <c r="B28" s="85" t="s">
        <v>93</v>
      </c>
      <c r="C28" s="86">
        <v>0</v>
      </c>
      <c r="D28" s="87">
        <v>70</v>
      </c>
      <c r="E28" s="87">
        <f t="shared" si="0"/>
        <v>70</v>
      </c>
    </row>
    <row r="29" spans="2:5">
      <c r="B29" s="85" t="s">
        <v>94</v>
      </c>
      <c r="C29" s="86">
        <v>0</v>
      </c>
      <c r="D29" s="87">
        <v>70</v>
      </c>
      <c r="E29" s="87">
        <f t="shared" si="0"/>
        <v>70</v>
      </c>
    </row>
    <row r="30" spans="2:5">
      <c r="B30" s="85" t="s">
        <v>95</v>
      </c>
      <c r="C30" s="86">
        <v>0</v>
      </c>
      <c r="D30" s="87">
        <v>70</v>
      </c>
      <c r="E30" s="87">
        <f t="shared" si="0"/>
        <v>70</v>
      </c>
    </row>
    <row r="31" spans="2:5" ht="16.5" thickBot="1">
      <c r="B31" s="116" t="s">
        <v>53</v>
      </c>
      <c r="C31" s="117">
        <f>C30</f>
        <v>0</v>
      </c>
      <c r="D31" s="118">
        <v>70</v>
      </c>
      <c r="E31" s="118">
        <f t="shared" si="0"/>
        <v>70</v>
      </c>
    </row>
    <row r="32" spans="2:5" ht="16.5" thickBot="1">
      <c r="B32" s="114" t="s">
        <v>97</v>
      </c>
      <c r="C32" s="120">
        <f>C31/5</f>
        <v>0</v>
      </c>
      <c r="D32" s="119">
        <f>AVERAGE(D26:D30)</f>
        <v>70</v>
      </c>
      <c r="E32" s="121">
        <f>AVERAGE(E26:E30)</f>
        <v>70</v>
      </c>
    </row>
    <row r="35" spans="2:5">
      <c r="B35" s="80" t="s">
        <v>103</v>
      </c>
      <c r="C35" s="80"/>
      <c r="D35" s="80"/>
      <c r="E35" s="80"/>
    </row>
    <row r="36" spans="2:5">
      <c r="B36" s="84" t="s">
        <v>87</v>
      </c>
      <c r="C36" s="84" t="s">
        <v>100</v>
      </c>
      <c r="D36" s="84" t="s">
        <v>89</v>
      </c>
      <c r="E36" s="84" t="s">
        <v>90</v>
      </c>
    </row>
    <row r="37" spans="2:5">
      <c r="B37" s="85" t="s">
        <v>91</v>
      </c>
      <c r="C37" s="86">
        <v>0</v>
      </c>
      <c r="D37" s="86">
        <v>67</v>
      </c>
      <c r="E37" s="86">
        <f>D37</f>
        <v>67</v>
      </c>
    </row>
    <row r="38" spans="2:5">
      <c r="B38" s="85" t="s">
        <v>92</v>
      </c>
      <c r="C38" s="86">
        <v>0</v>
      </c>
      <c r="D38" s="86">
        <v>67</v>
      </c>
      <c r="E38" s="86">
        <f t="shared" ref="E38:E42" si="1">D38</f>
        <v>67</v>
      </c>
    </row>
    <row r="39" spans="2:5">
      <c r="B39" s="85" t="s">
        <v>93</v>
      </c>
      <c r="C39" s="86">
        <v>0</v>
      </c>
      <c r="D39" s="86">
        <v>67</v>
      </c>
      <c r="E39" s="86">
        <f t="shared" si="1"/>
        <v>67</v>
      </c>
    </row>
    <row r="40" spans="2:5">
      <c r="B40" s="85" t="s">
        <v>94</v>
      </c>
      <c r="C40" s="86">
        <v>0</v>
      </c>
      <c r="D40" s="86">
        <v>67</v>
      </c>
      <c r="E40" s="86">
        <f t="shared" si="1"/>
        <v>67</v>
      </c>
    </row>
    <row r="41" spans="2:5" ht="16.5" thickBot="1">
      <c r="B41" s="112" t="s">
        <v>95</v>
      </c>
      <c r="C41" s="113">
        <v>0</v>
      </c>
      <c r="D41" s="113">
        <v>67</v>
      </c>
      <c r="E41" s="113">
        <f t="shared" si="1"/>
        <v>67</v>
      </c>
    </row>
    <row r="42" spans="2:5" ht="16.5" thickBot="1">
      <c r="B42" s="114" t="s">
        <v>97</v>
      </c>
      <c r="C42" s="120">
        <f>AVERAGE(C37:C41)</f>
        <v>0</v>
      </c>
      <c r="D42" s="120">
        <f>AVERAGE(D37:D41)</f>
        <v>67</v>
      </c>
      <c r="E42" s="115">
        <f t="shared" si="1"/>
        <v>67</v>
      </c>
    </row>
    <row r="43" spans="2:5">
      <c r="B43" s="18"/>
      <c r="C43" s="19"/>
      <c r="D43" s="20"/>
      <c r="E43" s="21"/>
    </row>
    <row r="44" spans="2:5">
      <c r="B44" s="14" t="s">
        <v>104</v>
      </c>
      <c r="C44" s="19"/>
      <c r="D44" s="20"/>
      <c r="E44" s="21"/>
    </row>
    <row r="45" spans="2:5">
      <c r="B45" s="15" t="s">
        <v>87</v>
      </c>
      <c r="C45" s="15" t="s">
        <v>100</v>
      </c>
      <c r="D45" s="15" t="s">
        <v>89</v>
      </c>
      <c r="E45" s="15" t="s">
        <v>90</v>
      </c>
    </row>
    <row r="46" spans="2:5">
      <c r="B46" s="16" t="s">
        <v>91</v>
      </c>
      <c r="C46" s="1">
        <v>0</v>
      </c>
      <c r="D46" s="132">
        <f>'ER ICS TPDDTEC'!E24</f>
        <v>14744.205432000001</v>
      </c>
      <c r="E46" s="132">
        <f>D46</f>
        <v>14744.205432000001</v>
      </c>
    </row>
    <row r="47" spans="2:5">
      <c r="B47" s="16" t="s">
        <v>92</v>
      </c>
      <c r="C47" s="1">
        <v>0</v>
      </c>
      <c r="D47" s="132">
        <f>'ER ICS TPDDTEC'!E25</f>
        <v>14744.205432000001</v>
      </c>
      <c r="E47" s="132">
        <f t="shared" ref="E47:E51" si="2">D47</f>
        <v>14744.205432000001</v>
      </c>
    </row>
    <row r="48" spans="2:5">
      <c r="B48" s="16" t="s">
        <v>93</v>
      </c>
      <c r="C48" s="1">
        <v>0</v>
      </c>
      <c r="D48" s="132">
        <f>'ER ICS TPDDTEC'!E26</f>
        <v>14744.205432000001</v>
      </c>
      <c r="E48" s="132">
        <f t="shared" si="2"/>
        <v>14744.205432000001</v>
      </c>
    </row>
    <row r="49" spans="2:5">
      <c r="B49" s="16" t="s">
        <v>94</v>
      </c>
      <c r="C49" s="1">
        <v>0</v>
      </c>
      <c r="D49" s="132">
        <f>'ER ICS TPDDTEC'!E27</f>
        <v>14744.205432000001</v>
      </c>
      <c r="E49" s="132">
        <f t="shared" si="2"/>
        <v>14744.205432000001</v>
      </c>
    </row>
    <row r="50" spans="2:5">
      <c r="B50" s="16" t="s">
        <v>95</v>
      </c>
      <c r="C50" s="1">
        <v>0</v>
      </c>
      <c r="D50" s="132">
        <f>'ER ICS TPDDTEC'!E28</f>
        <v>14744.205432000001</v>
      </c>
      <c r="E50" s="132">
        <f t="shared" si="2"/>
        <v>14744.205432000001</v>
      </c>
    </row>
    <row r="51" spans="2:5" ht="16.5" thickBot="1">
      <c r="B51" s="106" t="s">
        <v>53</v>
      </c>
      <c r="C51" s="107">
        <f>C50</f>
        <v>0</v>
      </c>
      <c r="D51" s="133">
        <f>D50</f>
        <v>14744.205432000001</v>
      </c>
      <c r="E51" s="133">
        <f t="shared" si="2"/>
        <v>14744.205432000001</v>
      </c>
    </row>
    <row r="52" spans="2:5" ht="16.5" thickBot="1">
      <c r="B52" s="108" t="s">
        <v>97</v>
      </c>
      <c r="C52" s="109">
        <f>C51/5</f>
        <v>0</v>
      </c>
      <c r="D52" s="134">
        <f>AVERAGE(D46:D50)</f>
        <v>14744.205431999999</v>
      </c>
      <c r="E52" s="135">
        <f>AVERAGE(E46:E50)</f>
        <v>14744.205431999999</v>
      </c>
    </row>
    <row r="53" spans="2:5">
      <c r="B53" s="18"/>
      <c r="C53" s="19"/>
      <c r="D53" s="20"/>
      <c r="E53" s="21"/>
    </row>
    <row r="54" spans="2:5">
      <c r="B54" s="14" t="s">
        <v>105</v>
      </c>
      <c r="C54" s="14"/>
      <c r="D54" s="14"/>
      <c r="E54" s="14"/>
    </row>
    <row r="55" spans="2:5">
      <c r="B55" s="15" t="s">
        <v>87</v>
      </c>
      <c r="C55" s="15" t="s">
        <v>100</v>
      </c>
      <c r="D55" s="15" t="s">
        <v>89</v>
      </c>
      <c r="E55" s="15" t="s">
        <v>90</v>
      </c>
    </row>
    <row r="56" spans="2:5">
      <c r="B56" s="16" t="s">
        <v>91</v>
      </c>
      <c r="C56" s="1">
        <v>0</v>
      </c>
      <c r="D56" s="1">
        <v>66</v>
      </c>
      <c r="E56" s="1">
        <v>66</v>
      </c>
    </row>
    <row r="57" spans="2:5">
      <c r="B57" s="16" t="s">
        <v>92</v>
      </c>
      <c r="C57" s="1">
        <v>0</v>
      </c>
      <c r="D57" s="1">
        <v>66</v>
      </c>
      <c r="E57" s="1">
        <v>66</v>
      </c>
    </row>
    <row r="58" spans="2:5">
      <c r="B58" s="16" t="s">
        <v>93</v>
      </c>
      <c r="C58" s="1">
        <v>0</v>
      </c>
      <c r="D58" s="1">
        <v>66</v>
      </c>
      <c r="E58" s="1">
        <v>66</v>
      </c>
    </row>
    <row r="59" spans="2:5">
      <c r="B59" s="16" t="s">
        <v>94</v>
      </c>
      <c r="C59" s="1">
        <v>0</v>
      </c>
      <c r="D59" s="1">
        <v>66</v>
      </c>
      <c r="E59" s="1">
        <v>66</v>
      </c>
    </row>
    <row r="60" spans="2:5">
      <c r="B60" s="16" t="s">
        <v>95</v>
      </c>
      <c r="C60" s="1">
        <v>0</v>
      </c>
      <c r="D60" s="1">
        <v>66</v>
      </c>
      <c r="E60" s="1">
        <v>66</v>
      </c>
    </row>
    <row r="61" spans="2:5" ht="16.5" thickBot="1">
      <c r="B61" s="106" t="s">
        <v>53</v>
      </c>
      <c r="C61" s="107">
        <f>C60</f>
        <v>0</v>
      </c>
      <c r="D61" s="102">
        <v>66</v>
      </c>
      <c r="E61" s="102">
        <v>66</v>
      </c>
    </row>
    <row r="62" spans="2:5" ht="16.5" thickBot="1">
      <c r="B62" s="108" t="s">
        <v>97</v>
      </c>
      <c r="C62" s="109">
        <f>AVERAGE(C56:C61)</f>
        <v>0</v>
      </c>
      <c r="D62" s="110">
        <f>AVERAGE(D56:D60)</f>
        <v>66</v>
      </c>
      <c r="E62" s="111">
        <f>AVERAGE(E56:E60)</f>
        <v>66</v>
      </c>
    </row>
    <row r="65" spans="2:5">
      <c r="B65" s="1" t="s">
        <v>106</v>
      </c>
      <c r="D65" s="1"/>
    </row>
    <row r="66" spans="2:5">
      <c r="B66" s="84" t="s">
        <v>87</v>
      </c>
      <c r="C66" s="84" t="s">
        <v>100</v>
      </c>
      <c r="D66" s="84" t="s">
        <v>89</v>
      </c>
      <c r="E66" s="84" t="s">
        <v>90</v>
      </c>
    </row>
    <row r="67" spans="2:5">
      <c r="B67" s="1" t="s">
        <v>33</v>
      </c>
      <c r="C67" s="1">
        <v>0</v>
      </c>
      <c r="D67" s="88">
        <f>'ER ICS TPDDTEC'!$D$10*('ER ICS TPDDTEC'!$D$11-'ER ICS TPDDTEC'!$D$12)*'ER ICS TPDDTEC'!$D$14*'ER ICS TPDDTEC'!D24*4</f>
        <v>19666.27026771575</v>
      </c>
      <c r="E67" s="89">
        <f>D67</f>
        <v>19666.27026771575</v>
      </c>
    </row>
    <row r="68" spans="2:5">
      <c r="B68" s="1" t="s">
        <v>34</v>
      </c>
      <c r="C68" s="1">
        <v>0</v>
      </c>
      <c r="D68" s="88">
        <f>'ER ICS TPDDTEC'!$D$10*('ER ICS TPDDTEC'!$D$11-'ER ICS TPDDTEC'!$D$12)*'ER ICS TPDDTEC'!$D$14*'ER ICS TPDDTEC'!D25*4</f>
        <v>19666.27026771575</v>
      </c>
      <c r="E68" s="89">
        <f t="shared" ref="E68:E72" si="3">D68</f>
        <v>19666.27026771575</v>
      </c>
    </row>
    <row r="69" spans="2:5">
      <c r="B69" s="1" t="s">
        <v>35</v>
      </c>
      <c r="C69" s="1">
        <v>0</v>
      </c>
      <c r="D69" s="88">
        <f>'ER ICS TPDDTEC'!$D$10*('ER ICS TPDDTEC'!$D$11-'ER ICS TPDDTEC'!$D$12)*'ER ICS TPDDTEC'!$D$14*'ER ICS TPDDTEC'!D26*4</f>
        <v>19666.27026771575</v>
      </c>
      <c r="E69" s="89">
        <f t="shared" si="3"/>
        <v>19666.27026771575</v>
      </c>
    </row>
    <row r="70" spans="2:5">
      <c r="B70" s="1" t="s">
        <v>36</v>
      </c>
      <c r="C70" s="1">
        <v>0</v>
      </c>
      <c r="D70" s="88">
        <f>'ER ICS TPDDTEC'!$D$10*('ER ICS TPDDTEC'!$D$11-'ER ICS TPDDTEC'!$D$12)*'ER ICS TPDDTEC'!$D$14*'ER ICS TPDDTEC'!D27*4</f>
        <v>19666.27026771575</v>
      </c>
      <c r="E70" s="89">
        <f t="shared" si="3"/>
        <v>19666.27026771575</v>
      </c>
    </row>
    <row r="71" spans="2:5" ht="17.45" customHeight="1">
      <c r="B71" s="1" t="s">
        <v>37</v>
      </c>
      <c r="C71" s="1">
        <v>0</v>
      </c>
      <c r="D71" s="88">
        <f>'ER ICS TPDDTEC'!$D$10*('ER ICS TPDDTEC'!$D$11-'ER ICS TPDDTEC'!$D$12)*'ER ICS TPDDTEC'!$D$14*'ER ICS TPDDTEC'!D28*4</f>
        <v>19666.27026771575</v>
      </c>
      <c r="E71" s="89">
        <f t="shared" si="3"/>
        <v>19666.27026771575</v>
      </c>
    </row>
    <row r="72" spans="2:5" ht="17.45" customHeight="1" thickBot="1">
      <c r="B72" s="102" t="s">
        <v>53</v>
      </c>
      <c r="C72" s="102">
        <v>0</v>
      </c>
      <c r="D72" s="103">
        <f>SUM(D67:D71)</f>
        <v>98331.351338578752</v>
      </c>
      <c r="E72" s="103">
        <f t="shared" si="3"/>
        <v>98331.351338578752</v>
      </c>
    </row>
    <row r="73" spans="2:5" ht="16.5" thickBot="1">
      <c r="B73" s="104" t="s">
        <v>107</v>
      </c>
      <c r="C73" s="110">
        <v>0</v>
      </c>
      <c r="D73" s="130">
        <f>AVERAGE(D67:D71)</f>
        <v>19666.27026771575</v>
      </c>
      <c r="E73" s="105">
        <f>D73-C73</f>
        <v>19666.27026771575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f8895d-0cde-4411-9763-efa1c11cf6f3" xsi:nil="true"/>
    <lcf76f155ced4ddcb4097134ff3c332f xmlns="d11a8474-885b-4e1b-a09c-10d71c0026be">
      <Terms xmlns="http://schemas.microsoft.com/office/infopath/2007/PartnerControls"/>
    </lcf76f155ced4ddcb4097134ff3c332f>
    <SharedWithUsers xmlns="b46e1364-ed93-429f-80a5-89f879b76665">
      <UserInfo>
        <DisplayName>Sriskandh Subramanian</DisplayName>
        <AccountId>21818</AccountId>
        <AccountType/>
      </UserInfo>
    </SharedWithUsers>
    <Photo_link xmlns="d11a8474-885b-4e1b-a09c-10d71c0026be">
      <Url xsi:nil="true"/>
      <Description xsi:nil="true"/>
    </Photo_lin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39716D86CE0419630026986165D6D" ma:contentTypeVersion="20" ma:contentTypeDescription="Create a new document." ma:contentTypeScope="" ma:versionID="873ac176bd0f5fcbbda33b0b80aeb2a9">
  <xsd:schema xmlns:xsd="http://www.w3.org/2001/XMLSchema" xmlns:xs="http://www.w3.org/2001/XMLSchema" xmlns:p="http://schemas.microsoft.com/office/2006/metadata/properties" xmlns:ns2="d11a8474-885b-4e1b-a09c-10d71c0026be" xmlns:ns3="b46e1364-ed93-429f-80a5-89f879b76665" xmlns:ns4="d9f8895d-0cde-4411-9763-efa1c11cf6f3" targetNamespace="http://schemas.microsoft.com/office/2006/metadata/properties" ma:root="true" ma:fieldsID="58c712a5eba9f519ca4805a1e60935d3" ns2:_="" ns3:_="" ns4:_="">
    <xsd:import namespace="d11a8474-885b-4e1b-a09c-10d71c0026be"/>
    <xsd:import namespace="b46e1364-ed93-429f-80a5-89f879b76665"/>
    <xsd:import namespace="d9f8895d-0cde-4411-9763-efa1c11cf6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Photo_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a8474-885b-4e1b-a09c-10d71c002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555a538-6054-436f-8393-e89247c494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Photo_link" ma:index="27" nillable="true" ma:displayName="Photo_link" ma:description="https://kc-eu.kobotoolbox.org/media/original?media_file=burn%2Fattachments%2F27953a733eee4b9ab0d8b668612d8de7%2F7a445204-be91-4d51-81cc-5bbb455c94c5%2F1740481182266.jpg" ma:format="Hyperlink" ma:internalName="Photo_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e1364-ed93-429f-80a5-89f879b7666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8895d-0cde-4411-9763-efa1c11cf6f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947f9de-90a7-41ff-9a04-7e0f30966d01}" ma:internalName="TaxCatchAll" ma:showField="CatchAllData" ma:web="d9f8895d-0cde-4411-9763-efa1c11cf6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08D2A3-6078-49BD-B71B-0939E26C87C3}">
  <ds:schemaRefs>
    <ds:schemaRef ds:uri="http://schemas.microsoft.com/office/2006/metadata/properties"/>
    <ds:schemaRef ds:uri="http://schemas.microsoft.com/office/infopath/2007/PartnerControls"/>
    <ds:schemaRef ds:uri="d9f8895d-0cde-4411-9763-efa1c11cf6f3"/>
    <ds:schemaRef ds:uri="d11a8474-885b-4e1b-a09c-10d71c0026be"/>
    <ds:schemaRef ds:uri="b46e1364-ed93-429f-80a5-89f879b76665"/>
  </ds:schemaRefs>
</ds:datastoreItem>
</file>

<file path=customXml/itemProps2.xml><?xml version="1.0" encoding="utf-8"?>
<ds:datastoreItem xmlns:ds="http://schemas.openxmlformats.org/officeDocument/2006/customXml" ds:itemID="{F073A1AB-AA7B-4395-B89B-14B057F29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1a8474-885b-4e1b-a09c-10d71c0026be"/>
    <ds:schemaRef ds:uri="b46e1364-ed93-429f-80a5-89f879b76665"/>
    <ds:schemaRef ds:uri="d9f8895d-0cde-4411-9763-efa1c11cf6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EB59B8-1BD3-4DAA-8F46-4A908FF33C2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b303516-f2b1-4ff6-96ad-5945b63736b1}" enabled="0" method="" siteId="{5b303516-f2b1-4ff6-96ad-5945b63736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ER ICS TPDDTEC</vt:lpstr>
      <vt:lpstr>Baseline and Project emissions</vt:lpstr>
      <vt:lpstr>Th. Energy savings unit level</vt:lpstr>
      <vt:lpstr>SDG 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REVIEWER</dc:creator>
  <cp:keywords/>
  <dc:description/>
  <cp:lastModifiedBy>Vinit Garg</cp:lastModifiedBy>
  <cp:revision/>
  <dcterms:created xsi:type="dcterms:W3CDTF">2016-09-06T18:55:41Z</dcterms:created>
  <dcterms:modified xsi:type="dcterms:W3CDTF">2025-12-29T14:48:48Z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0x01010076539716D86CE0419630026986165D6D</vt:lpwstr>
  </property>
  <property fmtid="{D5CDD505-2E9C-101B-9397-08002B2CF9AE}" pid="3" name="MediaServiceImageTags">
    <vt:lpwstr/>
  </property>
</Properties>
</file>