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ate1904="1" codeName="ThisWorkbook" defaultThemeVersion="124226"/>
  <mc:AlternateContent xmlns:mc="http://schemas.openxmlformats.org/markup-compatibility/2006">
    <mc:Choice Requires="x15">
      <x15ac:absPath xmlns:x15ac="http://schemas.microsoft.com/office/spreadsheetml/2010/11/ac" url="Z:\Arzu\0_Projects\VCS\Arzu\VCS-1758_Dereli-HEPP_3rd-Ver\RC ITR Round II\"/>
    </mc:Choice>
  </mc:AlternateContent>
  <xr:revisionPtr revIDLastSave="0" documentId="13_ncr:1_{70DA82BD-CC80-48E0-82C8-2BCB9DA0DE52}" xr6:coauthVersionLast="47" xr6:coauthVersionMax="47" xr10:uidLastSave="{00000000-0000-0000-0000-000000000000}"/>
  <bookViews>
    <workbookView xWindow="1950" yWindow="915" windowWidth="24135" windowHeight="15285" tabRatio="613" activeTab="1" xr2:uid="{00000000-000D-0000-FFFF-FFFF00000000}"/>
  </bookViews>
  <sheets>
    <sheet name="Detail" sheetId="1" r:id="rId1"/>
    <sheet name="SDG Contributions" sheetId="13" r:id="rId2"/>
    <sheet name="Power Density"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 l="1"/>
  <c r="C49" i="1"/>
  <c r="B49" i="1"/>
  <c r="F49" i="1"/>
  <c r="G28" i="1"/>
  <c r="G29" i="1" s="1"/>
  <c r="F28" i="1"/>
  <c r="F29" i="1" s="1"/>
  <c r="D28" i="1"/>
  <c r="C28" i="1"/>
  <c r="C29" i="1" s="1"/>
  <c r="I55" i="1"/>
  <c r="J55" i="1" s="1"/>
  <c r="I54" i="1"/>
  <c r="J54" i="1" s="1"/>
  <c r="I35" i="1"/>
  <c r="K35" i="1" s="1"/>
  <c r="J40" i="1"/>
  <c r="I56" i="1" s="1"/>
  <c r="J56" i="1" s="1"/>
  <c r="J39" i="1"/>
  <c r="L29" i="1" l="1"/>
  <c r="M29" i="1"/>
  <c r="N26" i="1"/>
  <c r="H24" i="1"/>
  <c r="K24" i="1" s="1"/>
  <c r="N24" i="1" s="1"/>
  <c r="H25" i="1"/>
  <c r="K25" i="1" s="1"/>
  <c r="N25" i="1" s="1"/>
  <c r="H26" i="1"/>
  <c r="K26" i="1" s="1"/>
  <c r="H27" i="1"/>
  <c r="K27" i="1" s="1"/>
  <c r="N27" i="1" s="1"/>
  <c r="H28" i="1"/>
  <c r="I28" i="1" s="1"/>
  <c r="E24" i="1"/>
  <c r="E25" i="1"/>
  <c r="E26" i="1"/>
  <c r="E27" i="1"/>
  <c r="E28" i="1"/>
  <c r="B40" i="1" l="1"/>
  <c r="K28" i="1"/>
  <c r="N28" i="1" s="1"/>
  <c r="D40" i="1" s="1"/>
  <c r="D50" i="1"/>
  <c r="E48" i="1"/>
  <c r="E50" i="1" s="1"/>
  <c r="E47" i="1"/>
  <c r="I34" i="1" l="1"/>
  <c r="I33" i="1"/>
  <c r="I36" i="1" s="1"/>
  <c r="D5" i="1" l="1"/>
  <c r="D4" i="1"/>
  <c r="D29" i="1" s="1"/>
  <c r="I53" i="1" l="1"/>
  <c r="J53" i="1"/>
  <c r="E7" i="1"/>
  <c r="E8" i="1"/>
  <c r="E9" i="1"/>
  <c r="E10" i="1"/>
  <c r="E11" i="1"/>
  <c r="E12" i="1"/>
  <c r="E13" i="1"/>
  <c r="E14" i="1"/>
  <c r="E15" i="1"/>
  <c r="H7" i="1"/>
  <c r="K7" i="1" s="1"/>
  <c r="N7" i="1" s="1"/>
  <c r="H8" i="1"/>
  <c r="K8" i="1" s="1"/>
  <c r="N8" i="1" s="1"/>
  <c r="H9" i="1"/>
  <c r="K9" i="1" s="1"/>
  <c r="N9" i="1" s="1"/>
  <c r="H10" i="1"/>
  <c r="K10" i="1" s="1"/>
  <c r="N10" i="1" s="1"/>
  <c r="H11" i="1"/>
  <c r="K11" i="1" s="1"/>
  <c r="N11" i="1" s="1"/>
  <c r="H12" i="1"/>
  <c r="K12" i="1" s="1"/>
  <c r="N12" i="1" s="1"/>
  <c r="H13" i="1"/>
  <c r="K13" i="1" s="1"/>
  <c r="N13" i="1" s="1"/>
  <c r="H14" i="1"/>
  <c r="K14" i="1" s="1"/>
  <c r="N14" i="1" s="1"/>
  <c r="H15" i="1"/>
  <c r="K15" i="1" s="1"/>
  <c r="N15" i="1" s="1"/>
  <c r="I52" i="1" l="1"/>
  <c r="J52" i="1" s="1"/>
  <c r="I51" i="1"/>
  <c r="J51" i="1" s="1"/>
  <c r="I50" i="1"/>
  <c r="J50" i="1" s="1"/>
  <c r="I49" i="1"/>
  <c r="J49" i="1" s="1"/>
  <c r="I48" i="1"/>
  <c r="J48" i="1" s="1"/>
  <c r="I47" i="1"/>
  <c r="J47" i="1" s="1"/>
  <c r="J45" i="1" s="1"/>
  <c r="I46" i="1"/>
  <c r="E19" i="1"/>
  <c r="K33" i="1"/>
  <c r="K32" i="1"/>
  <c r="E4" i="1"/>
  <c r="H4" i="1"/>
  <c r="E5" i="1"/>
  <c r="H5" i="1"/>
  <c r="K5" i="1" s="1"/>
  <c r="N5" i="1" s="1"/>
  <c r="E6" i="1"/>
  <c r="H6" i="1"/>
  <c r="K6" i="1" s="1"/>
  <c r="N6" i="1" s="1"/>
  <c r="H16" i="1"/>
  <c r="H17" i="1"/>
  <c r="K17" i="1" s="1"/>
  <c r="N17" i="1" s="1"/>
  <c r="E18" i="1"/>
  <c r="H18" i="1"/>
  <c r="K18" i="1" s="1"/>
  <c r="N18" i="1" s="1"/>
  <c r="H19" i="1"/>
  <c r="K19" i="1" s="1"/>
  <c r="N19" i="1" s="1"/>
  <c r="E20" i="1"/>
  <c r="H20" i="1"/>
  <c r="K20" i="1" s="1"/>
  <c r="N20" i="1" s="1"/>
  <c r="E21" i="1"/>
  <c r="H21" i="1"/>
  <c r="K21" i="1" s="1"/>
  <c r="N21" i="1" s="1"/>
  <c r="E22" i="1"/>
  <c r="H22" i="1"/>
  <c r="K22" i="1" s="1"/>
  <c r="N22" i="1" s="1"/>
  <c r="E23" i="1"/>
  <c r="H23" i="1"/>
  <c r="K23" i="1" s="1"/>
  <c r="N23" i="1" s="1"/>
  <c r="B31" i="1"/>
  <c r="K34" i="1"/>
  <c r="C3" i="12"/>
  <c r="K4" i="1" l="1"/>
  <c r="H29" i="1"/>
  <c r="B32" i="1" s="1"/>
  <c r="C32" i="1" s="1"/>
  <c r="K36" i="1"/>
  <c r="K16" i="1"/>
  <c r="N16" i="1" s="1"/>
  <c r="D39" i="1" s="1"/>
  <c r="I16" i="1"/>
  <c r="B48" i="1" s="1"/>
  <c r="N4" i="1"/>
  <c r="D38" i="1" s="1"/>
  <c r="D41" i="1" s="1"/>
  <c r="I57" i="1"/>
  <c r="I4" i="1"/>
  <c r="J46" i="1"/>
  <c r="J57" i="1" s="1"/>
  <c r="E17" i="1"/>
  <c r="E16" i="1"/>
  <c r="E29" i="1" s="1"/>
  <c r="C47" i="1" l="1"/>
  <c r="F47" i="1" s="1"/>
  <c r="B47" i="1"/>
  <c r="I29" i="1"/>
  <c r="N29" i="1"/>
  <c r="K29" i="1"/>
  <c r="B34" i="1" s="1"/>
  <c r="C34" i="1" s="1"/>
  <c r="B38" i="1"/>
  <c r="C3" i="13"/>
  <c r="G37" i="1" l="1"/>
  <c r="C48" i="1"/>
  <c r="B39" i="1"/>
  <c r="B41" i="1" s="1"/>
  <c r="F48" i="1" l="1"/>
  <c r="F50" i="1" s="1"/>
  <c r="F51" i="1" s="1"/>
  <c r="C50" i="1"/>
  <c r="G38" i="1"/>
  <c r="C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F37" authorId="0" shapeId="0" xr:uid="{00000000-0006-0000-0000-000001000000}">
      <text>
        <r>
          <rPr>
            <b/>
            <sz val="9"/>
            <color indexed="81"/>
            <rFont val="Tahoma"/>
            <family val="2"/>
            <charset val="162"/>
          </rPr>
          <t>Lenovo:</t>
        </r>
        <r>
          <rPr>
            <sz val="9"/>
            <color indexed="81"/>
            <rFont val="Tahoma"/>
            <family val="2"/>
            <charset val="162"/>
          </rPr>
          <t xml:space="preserve">
Between estimated ER value and actual ER value</t>
        </r>
      </text>
    </comment>
  </commentList>
</comments>
</file>

<file path=xl/sharedStrings.xml><?xml version="1.0" encoding="utf-8"?>
<sst xmlns="http://schemas.openxmlformats.org/spreadsheetml/2006/main" count="149" uniqueCount="98">
  <si>
    <t>Months</t>
  </si>
  <si>
    <t>February</t>
  </si>
  <si>
    <t>March</t>
  </si>
  <si>
    <t>April</t>
  </si>
  <si>
    <t>May</t>
  </si>
  <si>
    <t>July</t>
  </si>
  <si>
    <t>August</t>
  </si>
  <si>
    <t>September</t>
  </si>
  <si>
    <t>October</t>
  </si>
  <si>
    <t>November</t>
  </si>
  <si>
    <t>January</t>
  </si>
  <si>
    <t>Year</t>
  </si>
  <si>
    <t xml:space="preserve">Total Energy Provided to the Grid </t>
  </si>
  <si>
    <t>Internal Consumption</t>
  </si>
  <si>
    <t>Net Generation</t>
  </si>
  <si>
    <t>Gross Generation(MWh)</t>
  </si>
  <si>
    <t>Net Generation(MWh)</t>
  </si>
  <si>
    <t>Gross Generation</t>
  </si>
  <si>
    <t>METERING RECORDS (MWh)</t>
  </si>
  <si>
    <t>Net Emission Reduction* (tCO2e)</t>
  </si>
  <si>
    <t>*Since the power density (PD) of the project activities is greater than 10 W/m2, Project Emissions (PE) are considered 0</t>
  </si>
  <si>
    <t xml:space="preserve">June </t>
  </si>
  <si>
    <t>Total</t>
  </si>
  <si>
    <t>EPIAS RECORDS (MWh)</t>
  </si>
  <si>
    <t>Emission Factor (tCO2/MWh)</t>
  </si>
  <si>
    <t>Total Estimated ER in Monitoring Period (tCO2)</t>
  </si>
  <si>
    <t>Expected annual Generation (MWh)</t>
  </si>
  <si>
    <t>Annual ER in MP (tCO2e)</t>
  </si>
  <si>
    <t>Annual EG in MP (MWh)</t>
  </si>
  <si>
    <t>Annual Generation</t>
  </si>
  <si>
    <t>Parameter</t>
  </si>
  <si>
    <t>Description &amp; Unit</t>
  </si>
  <si>
    <t>Value</t>
  </si>
  <si>
    <t>PD=</t>
  </si>
  <si>
    <t>Power density of the project activity (W/m2)</t>
  </si>
  <si>
    <t>CapPJ=</t>
  </si>
  <si>
    <t xml:space="preserve">Installed capacity of the hydro power plant after the implementation of the project activity (W) </t>
  </si>
  <si>
    <t>CapBL=</t>
  </si>
  <si>
    <t>Installed capacity of the hydro power plant before the implementation of the project activity (W). For new hydro power plants, this value is zero</t>
  </si>
  <si>
    <t>APJ=</t>
  </si>
  <si>
    <t>Area of the reservoir measured in the surface of the water, after the implementation of the project activity, when the reservoir is full (m2)</t>
  </si>
  <si>
    <t>ABL=</t>
  </si>
  <si>
    <t xml:space="preserve">Area of the reservoir measured in the surface of the water, before the implementation of the project activity, when the reservoir is full (m2).  For new reservoirs, this value is zero. </t>
  </si>
  <si>
    <t>December</t>
  </si>
  <si>
    <t>in PD</t>
  </si>
  <si>
    <t>∞</t>
  </si>
  <si>
    <t>ER Percent difference %</t>
  </si>
  <si>
    <t>EG Percent difference %</t>
  </si>
  <si>
    <t>Expected generation in 2020 (MWh)</t>
  </si>
  <si>
    <t>Expected generation in 2021 (MWh)</t>
  </si>
  <si>
    <t>Total Estimated EG in Monitoring Period (MWh)</t>
  </si>
  <si>
    <t>Whole Project Lifetime</t>
  </si>
  <si>
    <t>Expected generation in 2014 (MWh)</t>
  </si>
  <si>
    <t>Expected generation in 2015 (MWh)</t>
  </si>
  <si>
    <t>Expected generation in 2016 (MWh)</t>
  </si>
  <si>
    <t>Expected generation in 2017 (MWh)</t>
  </si>
  <si>
    <t>Expected generation in 2018 (MWh)</t>
  </si>
  <si>
    <t>Expected generation in 2019 (MWh)</t>
  </si>
  <si>
    <t>Expected generation in 2022 (MWh)</t>
  </si>
  <si>
    <t>Net Electricity Generation in 2022 (MWh)</t>
  </si>
  <si>
    <t>Net Electricity Generation in 2023 (MWh)</t>
  </si>
  <si>
    <t>Net Emission Reduction in 2022 (tCO2)</t>
  </si>
  <si>
    <t>Net Emission Reduction in 2023 (tCO2)</t>
  </si>
  <si>
    <t>Expected generation in 2023 (MWh)</t>
  </si>
  <si>
    <t>Expected Emission Reduction in 2022 (tCO2)</t>
  </si>
  <si>
    <t>Expected Emission Reduction in 2023 (tCO2)</t>
  </si>
  <si>
    <t>Total Electricity Generation in this MP (MWh)</t>
  </si>
  <si>
    <t>Total Emission Reduction in this MP (tCO2)</t>
  </si>
  <si>
    <t>SDGs</t>
  </si>
  <si>
    <t>SDG Contribution</t>
  </si>
  <si>
    <t>CO2 emission reduction</t>
  </si>
  <si>
    <t>7.02.</t>
  </si>
  <si>
    <t>Electricity Generation</t>
  </si>
  <si>
    <t>8.5.</t>
  </si>
  <si>
    <t>Jobs created</t>
  </si>
  <si>
    <t>Baseline Emissons</t>
  </si>
  <si>
    <t>Project Emissons</t>
  </si>
  <si>
    <t>Leakage Emissions</t>
  </si>
  <si>
    <t>Emissions</t>
  </si>
  <si>
    <t>SUMMARY</t>
  </si>
  <si>
    <t>Net Electricity Generation</t>
  </si>
  <si>
    <t>Emission Reduction (tCO2)</t>
  </si>
  <si>
    <t>Diesel Emissions (tCO2)</t>
  </si>
  <si>
    <t>Emissions from Reservoir (tCO2)</t>
  </si>
  <si>
    <t>Net Emission Reduction (tCO2)</t>
  </si>
  <si>
    <t>TOTAL</t>
  </si>
  <si>
    <t>Annual Reduction</t>
  </si>
  <si>
    <t>Net Emission Reduction</t>
  </si>
  <si>
    <t>2024 (01/01/2024 - 09/01/2024)</t>
  </si>
  <si>
    <t>Expected generation in 2024 (MWh)</t>
  </si>
  <si>
    <t>Expected Emission Reduction in 2024 (tCO2)</t>
  </si>
  <si>
    <t>Date 1</t>
  </si>
  <si>
    <t>Date 2</t>
  </si>
  <si>
    <t>#of days</t>
  </si>
  <si>
    <t>Days in a year</t>
  </si>
  <si>
    <t>Net Electricity Generation in 2024 (MWh)</t>
  </si>
  <si>
    <t>Net Emission Reduction in 2024 (tCO2)</t>
  </si>
  <si>
    <t>Expected annual Generation (MWh) and emission reduction (tCO2)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</si>
</sst>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00"/>
    <numFmt numFmtId="167" formatCode="_-* #,##0.00\ _T_L_-;\-* #,##0.00\ _T_L_-;_-* &quot;-&quot;??\ _T_L_-;_-@_-"/>
    <numFmt numFmtId="168" formatCode="0.0000"/>
    <numFmt numFmtId="169" formatCode="_(* #,##0.0000_);_(* \(#,##0.0000\);_(* &quot;-&quot;??_);_(@_)"/>
  </numFmts>
  <fonts count="21" x14ac:knownFonts="1">
    <font>
      <sz val="10"/>
      <name val="Verdana"/>
    </font>
    <font>
      <sz val="10"/>
      <name val="Verdana"/>
      <family val="2"/>
      <charset val="162"/>
    </font>
    <font>
      <b/>
      <sz val="10"/>
      <name val="Verdana"/>
      <family val="2"/>
      <charset val="162"/>
    </font>
    <font>
      <b/>
      <sz val="10"/>
      <name val="Verdana"/>
      <family val="2"/>
    </font>
    <font>
      <b/>
      <sz val="10"/>
      <name val="Verdana"/>
      <family val="2"/>
      <charset val="162"/>
    </font>
    <font>
      <sz val="11"/>
      <color indexed="8"/>
      <name val="Calibri"/>
      <family val="2"/>
      <charset val="162"/>
    </font>
    <font>
      <sz val="10"/>
      <name val="Arial"/>
      <family val="2"/>
      <charset val="162"/>
    </font>
    <font>
      <b/>
      <sz val="12"/>
      <name val="Verdana"/>
      <family val="2"/>
      <charset val="162"/>
    </font>
    <font>
      <b/>
      <sz val="12"/>
      <name val="Verdana"/>
      <family val="2"/>
    </font>
    <font>
      <sz val="10"/>
      <name val="Arial"/>
      <family val="2"/>
      <charset val="162"/>
    </font>
    <font>
      <b/>
      <sz val="8"/>
      <name val="Verdana"/>
      <family val="2"/>
      <charset val="162"/>
    </font>
    <font>
      <b/>
      <sz val="14"/>
      <name val="Verdana"/>
      <family val="2"/>
      <charset val="162"/>
    </font>
    <font>
      <sz val="9"/>
      <color indexed="81"/>
      <name val="Tahoma"/>
      <family val="2"/>
      <charset val="162"/>
    </font>
    <font>
      <b/>
      <sz val="9"/>
      <color indexed="81"/>
      <name val="Tahoma"/>
      <family val="2"/>
      <charset val="162"/>
    </font>
    <font>
      <b/>
      <sz val="24"/>
      <name val="Calibri"/>
      <family val="2"/>
      <charset val="162"/>
    </font>
    <font>
      <sz val="11"/>
      <color theme="1"/>
      <name val="Calibri"/>
      <family val="2"/>
      <scheme val="minor"/>
    </font>
    <font>
      <sz val="11"/>
      <color theme="1"/>
      <name val="Calibri"/>
      <family val="2"/>
      <charset val="162"/>
      <scheme val="minor"/>
    </font>
    <font>
      <b/>
      <sz val="10"/>
      <color rgb="FFFF0000"/>
      <name val="Verdana"/>
      <family val="2"/>
      <charset val="162"/>
    </font>
    <font>
      <sz val="8"/>
      <name val="Verdana"/>
      <family val="2"/>
      <charset val="162"/>
    </font>
    <font>
      <b/>
      <sz val="10"/>
      <color theme="1"/>
      <name val="Verdana"/>
      <family val="2"/>
      <charset val="162"/>
    </font>
    <font>
      <b/>
      <u/>
      <sz val="18"/>
      <name val="Verdana"/>
      <family val="2"/>
      <charset val="162"/>
    </font>
  </fonts>
  <fills count="15">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theme="6"/>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3"/>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167" fontId="16" fillId="0" borderId="0" applyFont="0" applyFill="0" applyBorder="0" applyAlignment="0" applyProtection="0"/>
    <xf numFmtId="0" fontId="6" fillId="0" borderId="0"/>
    <xf numFmtId="0" fontId="16" fillId="0" borderId="0"/>
    <xf numFmtId="0" fontId="5" fillId="0" borderId="0"/>
    <xf numFmtId="0" fontId="9" fillId="0" borderId="0"/>
    <xf numFmtId="0" fontId="15" fillId="0" borderId="0"/>
    <xf numFmtId="0" fontId="6" fillId="0" borderId="0"/>
    <xf numFmtId="9" fontId="15" fillId="0" borderId="0" applyFont="0" applyFill="0" applyBorder="0" applyAlignment="0" applyProtection="0"/>
  </cellStyleXfs>
  <cellXfs count="142">
    <xf numFmtId="0" fontId="0" fillId="0" borderId="0" xfId="0"/>
    <xf numFmtId="0" fontId="0" fillId="0" borderId="0" xfId="0" applyAlignment="1">
      <alignment horizontal="center" vertical="center"/>
    </xf>
    <xf numFmtId="0" fontId="0" fillId="0" borderId="0" xfId="0" applyAlignment="1">
      <alignment vertical="center"/>
    </xf>
    <xf numFmtId="0" fontId="0" fillId="0" borderId="2" xfId="0" applyBorder="1" applyAlignment="1">
      <alignment vertical="center"/>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166" fontId="10" fillId="0" borderId="0" xfId="0" applyNumberFormat="1" applyFont="1" applyAlignment="1">
      <alignment horizontal="center" vertical="center"/>
    </xf>
    <xf numFmtId="0" fontId="4" fillId="0" borderId="4" xfId="0" applyFont="1" applyBorder="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0" fontId="1" fillId="0" borderId="1" xfId="0" applyFont="1" applyBorder="1" applyAlignment="1">
      <alignment vertical="center" wrapText="1"/>
    </xf>
    <xf numFmtId="0" fontId="11" fillId="4" borderId="1" xfId="0" applyFont="1" applyFill="1" applyBorder="1" applyAlignment="1">
      <alignment horizontal="center" vertical="center" wrapText="1"/>
    </xf>
    <xf numFmtId="0" fontId="11" fillId="4" borderId="5" xfId="0" applyFont="1" applyFill="1" applyBorder="1" applyAlignment="1">
      <alignment vertical="center"/>
    </xf>
    <xf numFmtId="43" fontId="0" fillId="0" borderId="0" xfId="1" applyFont="1" applyAlignment="1">
      <alignment vertical="center"/>
    </xf>
    <xf numFmtId="0" fontId="2" fillId="0" borderId="1" xfId="0" applyFont="1" applyBorder="1" applyAlignment="1">
      <alignment horizontal="center" vertical="center" wrapText="1"/>
    </xf>
    <xf numFmtId="0" fontId="8" fillId="0" borderId="6" xfId="0" applyFont="1" applyBorder="1" applyAlignment="1">
      <alignment horizontal="center" vertical="center"/>
    </xf>
    <xf numFmtId="4" fontId="11" fillId="4" borderId="5" xfId="0" applyNumberFormat="1" applyFont="1" applyFill="1" applyBorder="1" applyAlignment="1">
      <alignment horizontal="center" vertical="center"/>
    </xf>
    <xf numFmtId="0" fontId="0" fillId="0" borderId="0" xfId="0" applyAlignment="1">
      <alignment horizontal="left" vertical="center"/>
    </xf>
    <xf numFmtId="0" fontId="2" fillId="0" borderId="1" xfId="0" applyFont="1" applyBorder="1"/>
    <xf numFmtId="0" fontId="2" fillId="0" borderId="1" xfId="0" applyFont="1" applyBorder="1" applyAlignment="1">
      <alignment horizontal="center"/>
    </xf>
    <xf numFmtId="0" fontId="0" fillId="0" borderId="1" xfId="0" applyBorder="1" applyAlignment="1">
      <alignment vertical="center" wrapText="1"/>
    </xf>
    <xf numFmtId="2" fontId="2" fillId="5" borderId="1" xfId="0" applyNumberFormat="1" applyFont="1" applyFill="1" applyBorder="1" applyAlignment="1">
      <alignment horizontal="center" vertical="center" wrapText="1"/>
    </xf>
    <xf numFmtId="0" fontId="0" fillId="0" borderId="0" xfId="0" applyAlignment="1">
      <alignment vertical="center" wrapText="1"/>
    </xf>
    <xf numFmtId="3"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4" fontId="0" fillId="0" borderId="0" xfId="0" applyNumberFormat="1" applyAlignment="1">
      <alignment horizontal="center" vertical="center"/>
    </xf>
    <xf numFmtId="0" fontId="8" fillId="0" borderId="3" xfId="0" applyFont="1" applyBorder="1" applyAlignment="1">
      <alignment horizontal="center" vertical="center" wrapText="1"/>
    </xf>
    <xf numFmtId="0" fontId="1" fillId="0" borderId="0" xfId="0" applyFont="1" applyAlignment="1">
      <alignment vertical="center" wrapText="1"/>
    </xf>
    <xf numFmtId="0" fontId="14" fillId="0" borderId="0" xfId="0" applyFont="1" applyAlignment="1">
      <alignment horizontal="center" vertical="center" wrapText="1"/>
    </xf>
    <xf numFmtId="168" fontId="0" fillId="0" borderId="0" xfId="0" applyNumberFormat="1"/>
    <xf numFmtId="4" fontId="11" fillId="7" borderId="5" xfId="0" applyNumberFormat="1" applyFont="1" applyFill="1" applyBorder="1" applyAlignment="1">
      <alignment horizontal="center" vertical="center"/>
    </xf>
    <xf numFmtId="0" fontId="0" fillId="3" borderId="7" xfId="0"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0" fillId="3" borderId="9" xfId="0" applyFill="1" applyBorder="1" applyAlignment="1">
      <alignment vertical="center"/>
    </xf>
    <xf numFmtId="0" fontId="4" fillId="0" borderId="3" xfId="0" applyFont="1" applyBorder="1" applyAlignment="1">
      <alignment horizontal="center" vertical="center" wrapText="1"/>
    </xf>
    <xf numFmtId="0" fontId="1" fillId="0" borderId="0" xfId="0" applyFont="1" applyAlignment="1">
      <alignment vertical="center"/>
    </xf>
    <xf numFmtId="166" fontId="17" fillId="11" borderId="1" xfId="0" applyNumberFormat="1" applyFont="1" applyFill="1" applyBorder="1" applyAlignment="1">
      <alignment horizontal="center" vertical="center" wrapText="1"/>
    </xf>
    <xf numFmtId="166" fontId="17" fillId="12" borderId="1" xfId="0" applyNumberFormat="1" applyFont="1" applyFill="1" applyBorder="1" applyAlignment="1">
      <alignment horizontal="center" vertical="center" wrapText="1"/>
    </xf>
    <xf numFmtId="166" fontId="2" fillId="12" borderId="1" xfId="0" applyNumberFormat="1" applyFont="1" applyFill="1" applyBorder="1" applyAlignment="1">
      <alignment horizontal="center" vertical="center" wrapText="1"/>
    </xf>
    <xf numFmtId="166" fontId="17" fillId="6"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5" fontId="1" fillId="0" borderId="1" xfId="0" applyNumberFormat="1" applyFont="1" applyBorder="1" applyAlignment="1">
      <alignment vertical="center"/>
    </xf>
    <xf numFmtId="0" fontId="1" fillId="0" borderId="0" xfId="0" applyFont="1"/>
    <xf numFmtId="0" fontId="1" fillId="2" borderId="5" xfId="0" applyFont="1" applyFill="1" applyBorder="1" applyAlignment="1">
      <alignment horizontal="center" vertical="center" wrapText="1"/>
    </xf>
    <xf numFmtId="0" fontId="1" fillId="0" borderId="5" xfId="0" applyFont="1" applyBorder="1" applyAlignment="1">
      <alignment vertical="center"/>
    </xf>
    <xf numFmtId="0" fontId="1" fillId="2" borderId="1" xfId="0" applyFont="1" applyFill="1" applyBorder="1" applyAlignment="1">
      <alignment horizontal="center" vertical="center" wrapText="1"/>
    </xf>
    <xf numFmtId="169" fontId="1" fillId="8" borderId="1" xfId="0" applyNumberFormat="1" applyFont="1" applyFill="1" applyBorder="1" applyAlignment="1">
      <alignment vertical="center"/>
    </xf>
    <xf numFmtId="0" fontId="0" fillId="8" borderId="0" xfId="0" applyFill="1" applyAlignment="1">
      <alignment vertical="center"/>
    </xf>
    <xf numFmtId="43" fontId="1" fillId="8" borderId="1" xfId="0" applyNumberFormat="1" applyFont="1" applyFill="1" applyBorder="1" applyAlignment="1">
      <alignment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2" fillId="0" borderId="0" xfId="0" applyFont="1"/>
    <xf numFmtId="0" fontId="2" fillId="0" borderId="0" xfId="0" applyFont="1" applyAlignment="1">
      <alignment horizontal="left"/>
    </xf>
    <xf numFmtId="4" fontId="1" fillId="0" borderId="0" xfId="0" applyNumberFormat="1" applyFont="1"/>
    <xf numFmtId="16" fontId="2" fillId="0" borderId="0" xfId="0" applyNumberFormat="1" applyFont="1" applyAlignment="1">
      <alignment horizontal="left"/>
    </xf>
    <xf numFmtId="4" fontId="0" fillId="0" borderId="0" xfId="0" applyNumberFormat="1"/>
    <xf numFmtId="0" fontId="1" fillId="0" borderId="0" xfId="0" applyFont="1" applyAlignment="1">
      <alignment horizontal="right"/>
    </xf>
    <xf numFmtId="0" fontId="0" fillId="3" borderId="9" xfId="0" applyFill="1" applyBorder="1" applyAlignment="1">
      <alignment horizontal="center" vertical="center"/>
    </xf>
    <xf numFmtId="3" fontId="19" fillId="13" borderId="1" xfId="0" applyNumberFormat="1" applyFont="1" applyFill="1" applyBorder="1" applyAlignment="1">
      <alignment horizontal="center" vertical="center" wrapText="1"/>
    </xf>
    <xf numFmtId="164" fontId="19" fillId="13" borderId="1" xfId="0" applyNumberFormat="1" applyFont="1" applyFill="1" applyBorder="1" applyAlignment="1">
      <alignment horizontal="center" vertical="center" wrapText="1"/>
    </xf>
    <xf numFmtId="0" fontId="0" fillId="3" borderId="7" xfId="0"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20" fillId="0" borderId="21" xfId="0"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0" fillId="0" borderId="24" xfId="0" applyBorder="1" applyAlignment="1">
      <alignment horizontal="center" vertical="center"/>
    </xf>
    <xf numFmtId="0" fontId="2" fillId="7" borderId="25"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7" borderId="27" xfId="0" applyFont="1" applyFill="1" applyBorder="1" applyAlignment="1">
      <alignment horizontal="center" vertical="center" wrapText="1"/>
    </xf>
    <xf numFmtId="4" fontId="1" fillId="0" borderId="28" xfId="0" applyNumberFormat="1" applyFont="1" applyBorder="1" applyAlignment="1">
      <alignment horizontal="center" vertical="center" wrapText="1"/>
    </xf>
    <xf numFmtId="3" fontId="0" fillId="0" borderId="1" xfId="0" applyNumberFormat="1" applyBorder="1" applyAlignment="1">
      <alignment horizontal="center" vertical="center"/>
    </xf>
    <xf numFmtId="0" fontId="2" fillId="0" borderId="30" xfId="0" applyFont="1" applyBorder="1" applyAlignment="1">
      <alignment horizontal="center" vertical="center"/>
    </xf>
    <xf numFmtId="4" fontId="2" fillId="0" borderId="31" xfId="0" applyNumberFormat="1" applyFont="1" applyBorder="1" applyAlignment="1">
      <alignment horizontal="center" vertical="center"/>
    </xf>
    <xf numFmtId="3" fontId="2" fillId="0" borderId="31" xfId="0" applyNumberFormat="1" applyFont="1" applyBorder="1" applyAlignment="1">
      <alignment horizontal="center" vertical="center"/>
    </xf>
    <xf numFmtId="0" fontId="0" fillId="0" borderId="0" xfId="0" applyAlignment="1">
      <alignment horizontal="center"/>
    </xf>
    <xf numFmtId="0" fontId="2" fillId="0" borderId="5" xfId="0" applyFont="1" applyBorder="1" applyAlignment="1">
      <alignment horizontal="center" vertical="center" wrapText="1"/>
    </xf>
    <xf numFmtId="3" fontId="2" fillId="0" borderId="5" xfId="1" applyNumberFormat="1" applyFont="1" applyBorder="1" applyAlignment="1">
      <alignment horizontal="center" vertical="center"/>
    </xf>
    <xf numFmtId="0" fontId="2" fillId="2" borderId="15" xfId="0" applyFont="1" applyFill="1" applyBorder="1" applyAlignment="1">
      <alignment horizontal="center" vertical="center" wrapText="1"/>
    </xf>
    <xf numFmtId="43" fontId="1" fillId="8" borderId="15" xfId="0" applyNumberFormat="1" applyFont="1" applyFill="1" applyBorder="1" applyAlignment="1">
      <alignment vertical="center"/>
    </xf>
    <xf numFmtId="0" fontId="2" fillId="7" borderId="24" xfId="0" applyFont="1" applyFill="1" applyBorder="1" applyAlignment="1">
      <alignment horizontal="center" vertical="center" wrapText="1"/>
    </xf>
    <xf numFmtId="0" fontId="1" fillId="0" borderId="2" xfId="0" applyFont="1" applyBorder="1" applyAlignment="1">
      <alignment vertical="center"/>
    </xf>
    <xf numFmtId="0" fontId="1" fillId="0" borderId="32" xfId="0" applyFont="1" applyBorder="1"/>
    <xf numFmtId="0" fontId="2" fillId="2" borderId="3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19" fillId="4" borderId="1" xfId="0" applyNumberFormat="1" applyFont="1" applyFill="1" applyBorder="1" applyAlignment="1">
      <alignment horizontal="center" vertical="center" wrapText="1"/>
    </xf>
    <xf numFmtId="4" fontId="2" fillId="0" borderId="3" xfId="1" applyNumberFormat="1" applyFont="1" applyBorder="1" applyAlignment="1">
      <alignment horizontal="center" vertical="center"/>
    </xf>
    <xf numFmtId="0" fontId="1" fillId="3" borderId="36" xfId="0" applyFont="1" applyFill="1" applyBorder="1" applyAlignment="1">
      <alignment vertical="center"/>
    </xf>
    <xf numFmtId="166" fontId="17" fillId="11" borderId="5" xfId="0" applyNumberFormat="1" applyFont="1" applyFill="1" applyBorder="1" applyAlignment="1">
      <alignment horizontal="center" vertical="center" wrapText="1"/>
    </xf>
    <xf numFmtId="166" fontId="17" fillId="6" borderId="5" xfId="0" applyNumberFormat="1" applyFont="1" applyFill="1" applyBorder="1" applyAlignment="1">
      <alignment horizontal="center" vertical="center" wrapText="1"/>
    </xf>
    <xf numFmtId="0" fontId="1" fillId="3" borderId="11" xfId="0" applyFont="1" applyFill="1" applyBorder="1" applyAlignment="1">
      <alignment horizontal="center" vertical="center"/>
    </xf>
    <xf numFmtId="0" fontId="7" fillId="0" borderId="36" xfId="0" applyFont="1" applyBorder="1" applyAlignment="1">
      <alignment horizontal="center" vertical="center" wrapText="1"/>
    </xf>
    <xf numFmtId="0" fontId="2" fillId="14" borderId="10" xfId="0" applyFont="1" applyFill="1" applyBorder="1" applyAlignment="1">
      <alignment horizontal="center" vertical="center" wrapText="1"/>
    </xf>
    <xf numFmtId="43" fontId="1" fillId="14" borderId="11" xfId="0" applyNumberFormat="1" applyFont="1" applyFill="1" applyBorder="1" applyAlignment="1">
      <alignment vertical="center"/>
    </xf>
    <xf numFmtId="165" fontId="1" fillId="14" borderId="12" xfId="0" applyNumberFormat="1" applyFont="1" applyFill="1" applyBorder="1" applyAlignment="1">
      <alignment horizontal="center" vertical="center"/>
    </xf>
    <xf numFmtId="0" fontId="2" fillId="7" borderId="38" xfId="0" applyFont="1" applyFill="1" applyBorder="1" applyAlignment="1">
      <alignment horizontal="center" vertical="center" wrapText="1"/>
    </xf>
    <xf numFmtId="4" fontId="1" fillId="0" borderId="39" xfId="0" applyNumberFormat="1" applyFont="1" applyBorder="1" applyAlignment="1">
      <alignment horizontal="center" vertical="center" wrapText="1"/>
    </xf>
    <xf numFmtId="3" fontId="0" fillId="0" borderId="40" xfId="0" applyNumberForma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166" fontId="17" fillId="8" borderId="5" xfId="0" applyNumberFormat="1" applyFont="1" applyFill="1" applyBorder="1" applyAlignment="1">
      <alignment horizontal="center" vertical="center" wrapText="1"/>
    </xf>
    <xf numFmtId="166" fontId="17" fillId="8" borderId="1" xfId="0" applyNumberFormat="1" applyFont="1" applyFill="1" applyBorder="1" applyAlignment="1">
      <alignment horizontal="center" vertical="center" wrapText="1"/>
    </xf>
    <xf numFmtId="166" fontId="2" fillId="8" borderId="1" xfId="0" applyNumberFormat="1" applyFont="1" applyFill="1" applyBorder="1" applyAlignment="1">
      <alignment horizontal="center" vertical="center" wrapText="1"/>
    </xf>
    <xf numFmtId="3"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3" fontId="1" fillId="0" borderId="1" xfId="0" applyNumberFormat="1" applyFont="1" applyBorder="1" applyAlignment="1">
      <alignment vertical="center"/>
    </xf>
    <xf numFmtId="43" fontId="1" fillId="0" borderId="34" xfId="0" applyNumberFormat="1" applyFont="1" applyBorder="1" applyAlignment="1">
      <alignment vertical="center"/>
    </xf>
    <xf numFmtId="4" fontId="2" fillId="8" borderId="29" xfId="0" applyNumberFormat="1" applyFont="1" applyFill="1" applyBorder="1" applyAlignment="1">
      <alignment horizontal="center" vertical="center"/>
    </xf>
    <xf numFmtId="4" fontId="2" fillId="8" borderId="35" xfId="0" applyNumberFormat="1" applyFont="1" applyFill="1" applyBorder="1" applyAlignment="1">
      <alignment horizontal="center" vertical="center"/>
    </xf>
    <xf numFmtId="43" fontId="1" fillId="0" borderId="1" xfId="0" applyNumberFormat="1" applyFont="1" applyBorder="1" applyAlignment="1">
      <alignment horizontal="center" vertical="center"/>
    </xf>
    <xf numFmtId="43" fontId="2" fillId="2" borderId="1" xfId="0" applyNumberFormat="1" applyFont="1" applyFill="1" applyBorder="1" applyAlignment="1">
      <alignment horizontal="center" vertical="center" wrapText="1"/>
    </xf>
    <xf numFmtId="43" fontId="1" fillId="0" borderId="15" xfId="0" applyNumberFormat="1" applyFont="1" applyBorder="1" applyAlignment="1">
      <alignment horizontal="center" vertical="center"/>
    </xf>
    <xf numFmtId="43" fontId="0" fillId="0" borderId="0" xfId="0" applyNumberFormat="1" applyAlignment="1">
      <alignment vertical="center"/>
    </xf>
    <xf numFmtId="4" fontId="0" fillId="8" borderId="29" xfId="0" applyNumberFormat="1" applyFill="1" applyBorder="1" applyAlignment="1">
      <alignment horizontal="center" vertical="center"/>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0" xfId="0" applyFont="1" applyBorder="1" applyAlignment="1">
      <alignment horizontal="center" vertical="center" wrapText="1"/>
    </xf>
    <xf numFmtId="4" fontId="2" fillId="0" borderId="15" xfId="1" applyNumberFormat="1" applyFont="1" applyBorder="1" applyAlignment="1">
      <alignment horizontal="center" vertical="center"/>
    </xf>
    <xf numFmtId="4" fontId="2" fillId="0" borderId="3" xfId="1" applyNumberFormat="1" applyFont="1" applyBorder="1" applyAlignment="1">
      <alignment horizontal="center" vertical="center"/>
    </xf>
    <xf numFmtId="4" fontId="2" fillId="0" borderId="5" xfId="1" applyNumberFormat="1" applyFont="1" applyBorder="1" applyAlignment="1">
      <alignment horizontal="center" vertical="center"/>
    </xf>
    <xf numFmtId="0" fontId="2" fillId="9" borderId="1"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10" borderId="10" xfId="0" applyFont="1" applyFill="1" applyBorder="1" applyAlignment="1">
      <alignment horizontal="center" vertical="center"/>
    </xf>
    <xf numFmtId="0" fontId="3" fillId="10" borderId="11" xfId="0" applyFont="1" applyFill="1" applyBorder="1" applyAlignment="1">
      <alignment horizontal="center" vertical="center"/>
    </xf>
    <xf numFmtId="0" fontId="3" fillId="10" borderId="1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6" xfId="0" applyFont="1" applyBorder="1" applyAlignment="1">
      <alignment horizontal="center" vertical="center" wrapText="1"/>
    </xf>
    <xf numFmtId="4" fontId="2" fillId="0" borderId="37" xfId="1" applyNumberFormat="1" applyFont="1" applyBorder="1" applyAlignment="1">
      <alignment horizontal="center" vertical="center"/>
    </xf>
    <xf numFmtId="4" fontId="2" fillId="0" borderId="4" xfId="1" applyNumberFormat="1" applyFont="1" applyBorder="1" applyAlignment="1">
      <alignment horizontal="center" vertical="center"/>
    </xf>
    <xf numFmtId="0" fontId="2" fillId="0" borderId="0" xfId="0" applyFont="1" applyAlignment="1">
      <alignment horizontal="center"/>
    </xf>
  </cellXfs>
  <cellStyles count="10">
    <cellStyle name="Comma" xfId="1" builtinId="3"/>
    <cellStyle name="Comma 2" xfId="2" xr:uid="{00000000-0005-0000-0000-000000000000}"/>
    <cellStyle name="Normal" xfId="0" builtinId="0"/>
    <cellStyle name="Normal 2" xfId="3" xr:uid="{00000000-0005-0000-0000-000002000000}"/>
    <cellStyle name="Normal 20" xfId="4" xr:uid="{00000000-0005-0000-0000-000003000000}"/>
    <cellStyle name="Normal 3" xfId="5" xr:uid="{00000000-0005-0000-0000-000004000000}"/>
    <cellStyle name="Normal 4" xfId="6" xr:uid="{00000000-0005-0000-0000-000005000000}"/>
    <cellStyle name="Normal 5" xfId="7" xr:uid="{00000000-0005-0000-0000-000006000000}"/>
    <cellStyle name="Normal 7" xfId="8" xr:uid="{00000000-0005-0000-0000-000007000000}"/>
    <cellStyle name="Percent 2" xfId="9"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274320</xdr:colOff>
      <xdr:row>1</xdr:row>
      <xdr:rowOff>495300</xdr:rowOff>
    </xdr:from>
    <xdr:to>
      <xdr:col>9</xdr:col>
      <xdr:colOff>114300</xdr:colOff>
      <xdr:row>3</xdr:row>
      <xdr:rowOff>129540</xdr:rowOff>
    </xdr:to>
    <xdr:pic>
      <xdr:nvPicPr>
        <xdr:cNvPr id="4495" name="Picture 2">
          <a:extLst>
            <a:ext uri="{FF2B5EF4-FFF2-40B4-BE49-F238E27FC236}">
              <a16:creationId xmlns:a16="http://schemas.microsoft.com/office/drawing/2014/main" id="{2831339F-C3C8-4B1A-83D0-FB8C73437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2680" y="655320"/>
          <a:ext cx="331470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68"/>
  <sheetViews>
    <sheetView topLeftCell="A28" zoomScale="70" zoomScaleNormal="70" workbookViewId="0">
      <selection activeCell="B51" sqref="B51"/>
    </sheetView>
  </sheetViews>
  <sheetFormatPr defaultColWidth="11" defaultRowHeight="12.75" x14ac:dyDescent="0.2"/>
  <cols>
    <col min="1" max="1" width="23.125" style="2" customWidth="1"/>
    <col min="2" max="2" width="37.875" style="2" customWidth="1"/>
    <col min="3" max="3" width="27.125" style="2" customWidth="1"/>
    <col min="4" max="9" width="20.875" style="2" customWidth="1"/>
    <col min="10" max="11" width="23.125" style="2" customWidth="1"/>
    <col min="12" max="12" width="23.125" style="2" bestFit="1" customWidth="1"/>
    <col min="13" max="13" width="23.125" style="2" customWidth="1"/>
    <col min="14" max="14" width="23.125" style="17" customWidth="1"/>
    <col min="15" max="16384" width="11" style="2"/>
  </cols>
  <sheetData>
    <row r="1" spans="1:15" ht="27.6" customHeight="1" x14ac:dyDescent="0.2">
      <c r="A1" s="132" t="s">
        <v>12</v>
      </c>
      <c r="B1" s="133"/>
      <c r="C1" s="3"/>
      <c r="D1" s="3"/>
      <c r="E1" s="3"/>
      <c r="F1" s="3"/>
      <c r="G1" s="3"/>
      <c r="H1" s="3"/>
      <c r="I1" s="3"/>
      <c r="K1" s="17"/>
      <c r="L1" s="17"/>
      <c r="M1" s="17"/>
    </row>
    <row r="2" spans="1:15" ht="13.5" thickBot="1" x14ac:dyDescent="0.25">
      <c r="A2" s="134"/>
      <c r="B2" s="135"/>
      <c r="C2" s="126" t="s">
        <v>18</v>
      </c>
      <c r="D2" s="127"/>
      <c r="E2" s="131"/>
      <c r="F2" s="128" t="s">
        <v>23</v>
      </c>
      <c r="G2" s="129"/>
      <c r="H2" s="130"/>
      <c r="J2" s="126" t="s">
        <v>75</v>
      </c>
      <c r="K2" s="127"/>
      <c r="L2" s="50" t="s">
        <v>76</v>
      </c>
      <c r="M2" s="51" t="s">
        <v>77</v>
      </c>
      <c r="N2" s="51" t="s">
        <v>87</v>
      </c>
    </row>
    <row r="3" spans="1:15" s="1" customFormat="1" ht="57" customHeight="1" thickBot="1" x14ac:dyDescent="0.25">
      <c r="A3" s="15" t="s">
        <v>11</v>
      </c>
      <c r="B3" s="26" t="s">
        <v>0</v>
      </c>
      <c r="C3" s="4" t="s">
        <v>17</v>
      </c>
      <c r="D3" s="5" t="s">
        <v>13</v>
      </c>
      <c r="E3" s="35" t="s">
        <v>14</v>
      </c>
      <c r="F3" s="4" t="s">
        <v>17</v>
      </c>
      <c r="G3" s="5" t="s">
        <v>13</v>
      </c>
      <c r="H3" s="7" t="s">
        <v>14</v>
      </c>
      <c r="I3" s="14" t="s">
        <v>29</v>
      </c>
      <c r="J3" s="26" t="s">
        <v>0</v>
      </c>
      <c r="K3" s="26" t="s">
        <v>78</v>
      </c>
      <c r="L3" s="26" t="s">
        <v>78</v>
      </c>
      <c r="M3" s="26" t="s">
        <v>78</v>
      </c>
      <c r="N3" s="26" t="s">
        <v>78</v>
      </c>
      <c r="O3" s="2"/>
    </row>
    <row r="4" spans="1:15" ht="18.600000000000001" customHeight="1" x14ac:dyDescent="0.2">
      <c r="A4" s="119">
        <v>2022</v>
      </c>
      <c r="B4" s="34" t="s">
        <v>10</v>
      </c>
      <c r="C4" s="37">
        <v>2438</v>
      </c>
      <c r="D4" s="37">
        <f>44.25-13</f>
        <v>31.25</v>
      </c>
      <c r="E4" s="38">
        <f t="shared" ref="E4:E28" si="0">C4-D4</f>
        <v>2406.75</v>
      </c>
      <c r="F4" s="40">
        <v>2438.1010000000001</v>
      </c>
      <c r="G4" s="40">
        <v>32.256</v>
      </c>
      <c r="H4" s="39">
        <f t="shared" ref="H4:H28" si="1">F4-G4</f>
        <v>2405.8450000000003</v>
      </c>
      <c r="I4" s="122">
        <f>SUM(H4:H15)</f>
        <v>111297.621</v>
      </c>
      <c r="J4" s="58" t="s">
        <v>10</v>
      </c>
      <c r="K4" s="59">
        <f t="shared" ref="K4:K23" si="2">ROUNDDOWN(H4*$B$33,0)</f>
        <v>1282</v>
      </c>
      <c r="L4" s="60">
        <v>0</v>
      </c>
      <c r="M4" s="60">
        <v>0</v>
      </c>
      <c r="N4" s="60">
        <f>K4-L4-M4</f>
        <v>1282</v>
      </c>
    </row>
    <row r="5" spans="1:15" ht="18.600000000000001" customHeight="1" x14ac:dyDescent="0.2">
      <c r="A5" s="120"/>
      <c r="B5" s="31" t="s">
        <v>1</v>
      </c>
      <c r="C5" s="37">
        <v>4946</v>
      </c>
      <c r="D5" s="37">
        <f>39.66-21</f>
        <v>18.659999999999997</v>
      </c>
      <c r="E5" s="38">
        <f t="shared" si="0"/>
        <v>4927.34</v>
      </c>
      <c r="F5" s="40">
        <v>4946.0010000000002</v>
      </c>
      <c r="G5" s="40">
        <v>18.658999999999999</v>
      </c>
      <c r="H5" s="39">
        <f t="shared" si="1"/>
        <v>4927.3420000000006</v>
      </c>
      <c r="I5" s="123"/>
      <c r="J5" s="61" t="s">
        <v>1</v>
      </c>
      <c r="K5" s="59">
        <f t="shared" si="2"/>
        <v>2627</v>
      </c>
      <c r="L5" s="60">
        <v>0</v>
      </c>
      <c r="M5" s="60">
        <v>0</v>
      </c>
      <c r="N5" s="60">
        <f t="shared" ref="N5:N28" si="3">K5-L5-M5</f>
        <v>2627</v>
      </c>
    </row>
    <row r="6" spans="1:15" ht="18.600000000000001" customHeight="1" x14ac:dyDescent="0.2">
      <c r="A6" s="120"/>
      <c r="B6" s="32" t="s">
        <v>2</v>
      </c>
      <c r="C6" s="37">
        <v>7780</v>
      </c>
      <c r="D6" s="37">
        <v>14.16</v>
      </c>
      <c r="E6" s="38">
        <f t="shared" si="0"/>
        <v>7765.84</v>
      </c>
      <c r="F6" s="40">
        <v>7780.0720000000001</v>
      </c>
      <c r="G6" s="40">
        <v>14.157</v>
      </c>
      <c r="H6" s="39">
        <f t="shared" si="1"/>
        <v>7765.915</v>
      </c>
      <c r="I6" s="123"/>
      <c r="J6" s="62" t="s">
        <v>2</v>
      </c>
      <c r="K6" s="59">
        <f t="shared" si="2"/>
        <v>4141</v>
      </c>
      <c r="L6" s="60">
        <v>0</v>
      </c>
      <c r="M6" s="60">
        <v>0</v>
      </c>
      <c r="N6" s="60">
        <f t="shared" si="3"/>
        <v>4141</v>
      </c>
    </row>
    <row r="7" spans="1:15" ht="18.600000000000001" customHeight="1" x14ac:dyDescent="0.2">
      <c r="A7" s="120"/>
      <c r="B7" s="32" t="s">
        <v>3</v>
      </c>
      <c r="C7" s="37">
        <v>29852.92</v>
      </c>
      <c r="D7" s="37">
        <v>1.63</v>
      </c>
      <c r="E7" s="38">
        <f t="shared" si="0"/>
        <v>29851.289999999997</v>
      </c>
      <c r="F7" s="40">
        <v>29852.102999999999</v>
      </c>
      <c r="G7" s="40">
        <v>1.631</v>
      </c>
      <c r="H7" s="39">
        <f t="shared" si="1"/>
        <v>29850.471999999998</v>
      </c>
      <c r="I7" s="123"/>
      <c r="J7" s="62" t="s">
        <v>3</v>
      </c>
      <c r="K7" s="59">
        <f t="shared" si="2"/>
        <v>15917</v>
      </c>
      <c r="L7" s="60">
        <v>0</v>
      </c>
      <c r="M7" s="60">
        <v>0</v>
      </c>
      <c r="N7" s="60">
        <f t="shared" si="3"/>
        <v>15917</v>
      </c>
    </row>
    <row r="8" spans="1:15" ht="18.600000000000001" customHeight="1" x14ac:dyDescent="0.2">
      <c r="A8" s="120"/>
      <c r="B8" s="31" t="s">
        <v>4</v>
      </c>
      <c r="C8" s="37">
        <v>27784</v>
      </c>
      <c r="D8" s="37">
        <v>0.22</v>
      </c>
      <c r="E8" s="38">
        <f t="shared" si="0"/>
        <v>27783.78</v>
      </c>
      <c r="F8" s="40">
        <v>27784.2</v>
      </c>
      <c r="G8" s="40">
        <v>0.224</v>
      </c>
      <c r="H8" s="39">
        <f t="shared" si="1"/>
        <v>27783.976000000002</v>
      </c>
      <c r="I8" s="123"/>
      <c r="J8" s="61" t="s">
        <v>4</v>
      </c>
      <c r="K8" s="59">
        <f t="shared" si="2"/>
        <v>14815</v>
      </c>
      <c r="L8" s="60">
        <v>0</v>
      </c>
      <c r="M8" s="60">
        <v>0</v>
      </c>
      <c r="N8" s="60">
        <f t="shared" si="3"/>
        <v>14815</v>
      </c>
    </row>
    <row r="9" spans="1:15" ht="18.600000000000001" customHeight="1" x14ac:dyDescent="0.2">
      <c r="A9" s="120"/>
      <c r="B9" s="31" t="s">
        <v>21</v>
      </c>
      <c r="C9" s="37">
        <v>18784</v>
      </c>
      <c r="D9" s="37">
        <v>0.19</v>
      </c>
      <c r="E9" s="38">
        <f t="shared" si="0"/>
        <v>18783.810000000001</v>
      </c>
      <c r="F9" s="40">
        <v>18783.614000000001</v>
      </c>
      <c r="G9" s="40">
        <v>0.191</v>
      </c>
      <c r="H9" s="39">
        <f t="shared" si="1"/>
        <v>18783.423000000003</v>
      </c>
      <c r="I9" s="123"/>
      <c r="J9" s="61" t="s">
        <v>21</v>
      </c>
      <c r="K9" s="59">
        <f t="shared" si="2"/>
        <v>10015</v>
      </c>
      <c r="L9" s="60">
        <v>0</v>
      </c>
      <c r="M9" s="60">
        <v>0</v>
      </c>
      <c r="N9" s="60">
        <f t="shared" si="3"/>
        <v>10015</v>
      </c>
    </row>
    <row r="10" spans="1:15" ht="18.600000000000001" customHeight="1" x14ac:dyDescent="0.2">
      <c r="A10" s="120"/>
      <c r="B10" s="32" t="s">
        <v>5</v>
      </c>
      <c r="C10" s="37">
        <v>5404</v>
      </c>
      <c r="D10" s="37">
        <v>15.47</v>
      </c>
      <c r="E10" s="38">
        <f t="shared" si="0"/>
        <v>5388.53</v>
      </c>
      <c r="F10" s="40">
        <v>5404.2049999999999</v>
      </c>
      <c r="G10" s="40">
        <v>15.47</v>
      </c>
      <c r="H10" s="39">
        <f t="shared" si="1"/>
        <v>5388.7349999999997</v>
      </c>
      <c r="I10" s="123"/>
      <c r="J10" s="62" t="s">
        <v>5</v>
      </c>
      <c r="K10" s="59">
        <f t="shared" si="2"/>
        <v>2873</v>
      </c>
      <c r="L10" s="60">
        <v>0</v>
      </c>
      <c r="M10" s="60">
        <v>0</v>
      </c>
      <c r="N10" s="60">
        <f t="shared" si="3"/>
        <v>2873</v>
      </c>
    </row>
    <row r="11" spans="1:15" ht="18.600000000000001" customHeight="1" x14ac:dyDescent="0.2">
      <c r="A11" s="120"/>
      <c r="B11" s="32" t="s">
        <v>6</v>
      </c>
      <c r="C11" s="37">
        <v>1041</v>
      </c>
      <c r="D11" s="37">
        <v>31.62</v>
      </c>
      <c r="E11" s="38">
        <f t="shared" si="0"/>
        <v>1009.38</v>
      </c>
      <c r="F11" s="40">
        <v>1040.364</v>
      </c>
      <c r="G11" s="40">
        <v>31.614000000000001</v>
      </c>
      <c r="H11" s="39">
        <f t="shared" si="1"/>
        <v>1008.75</v>
      </c>
      <c r="I11" s="123"/>
      <c r="J11" s="62" t="s">
        <v>6</v>
      </c>
      <c r="K11" s="59">
        <f t="shared" si="2"/>
        <v>537</v>
      </c>
      <c r="L11" s="60">
        <v>0</v>
      </c>
      <c r="M11" s="60">
        <v>0</v>
      </c>
      <c r="N11" s="60">
        <f t="shared" si="3"/>
        <v>537</v>
      </c>
    </row>
    <row r="12" spans="1:15" ht="18.600000000000001" customHeight="1" x14ac:dyDescent="0.2">
      <c r="A12" s="120"/>
      <c r="B12" s="32" t="s">
        <v>7</v>
      </c>
      <c r="C12" s="37">
        <v>1627</v>
      </c>
      <c r="D12" s="37">
        <v>28.77</v>
      </c>
      <c r="E12" s="38">
        <f t="shared" si="0"/>
        <v>1598.23</v>
      </c>
      <c r="F12" s="40">
        <v>1627.2550000000001</v>
      </c>
      <c r="G12" s="40">
        <v>28.77</v>
      </c>
      <c r="H12" s="39">
        <f t="shared" si="1"/>
        <v>1598.4850000000001</v>
      </c>
      <c r="I12" s="123"/>
      <c r="J12" s="62" t="s">
        <v>7</v>
      </c>
      <c r="K12" s="59">
        <f t="shared" si="2"/>
        <v>852</v>
      </c>
      <c r="L12" s="60">
        <v>0</v>
      </c>
      <c r="M12" s="60">
        <v>0</v>
      </c>
      <c r="N12" s="60">
        <f t="shared" si="3"/>
        <v>852</v>
      </c>
    </row>
    <row r="13" spans="1:15" ht="18.600000000000001" customHeight="1" x14ac:dyDescent="0.2">
      <c r="A13" s="120"/>
      <c r="B13" s="32" t="s">
        <v>8</v>
      </c>
      <c r="C13" s="37">
        <v>4721</v>
      </c>
      <c r="D13" s="37">
        <v>16.89</v>
      </c>
      <c r="E13" s="38">
        <f t="shared" si="0"/>
        <v>4704.1099999999997</v>
      </c>
      <c r="F13" s="40">
        <v>4721.5309999999999</v>
      </c>
      <c r="G13" s="40">
        <v>16.888000000000002</v>
      </c>
      <c r="H13" s="39">
        <f t="shared" si="1"/>
        <v>4704.643</v>
      </c>
      <c r="I13" s="123"/>
      <c r="J13" s="62" t="s">
        <v>8</v>
      </c>
      <c r="K13" s="59">
        <f t="shared" si="2"/>
        <v>2508</v>
      </c>
      <c r="L13" s="60">
        <v>0</v>
      </c>
      <c r="M13" s="60">
        <v>0</v>
      </c>
      <c r="N13" s="60">
        <f t="shared" si="3"/>
        <v>2508</v>
      </c>
    </row>
    <row r="14" spans="1:15" ht="18.600000000000001" customHeight="1" x14ac:dyDescent="0.2">
      <c r="A14" s="120"/>
      <c r="B14" s="32" t="s">
        <v>9</v>
      </c>
      <c r="C14" s="37">
        <v>2908</v>
      </c>
      <c r="D14" s="37">
        <v>24.09</v>
      </c>
      <c r="E14" s="38">
        <f t="shared" si="0"/>
        <v>2883.91</v>
      </c>
      <c r="F14" s="40">
        <v>2908.4859999999999</v>
      </c>
      <c r="G14" s="40">
        <v>24.094000000000001</v>
      </c>
      <c r="H14" s="39">
        <f t="shared" si="1"/>
        <v>2884.3919999999998</v>
      </c>
      <c r="I14" s="123"/>
      <c r="J14" s="62" t="s">
        <v>9</v>
      </c>
      <c r="K14" s="59">
        <f t="shared" si="2"/>
        <v>1538</v>
      </c>
      <c r="L14" s="60">
        <v>0</v>
      </c>
      <c r="M14" s="60">
        <v>0</v>
      </c>
      <c r="N14" s="60">
        <f t="shared" si="3"/>
        <v>1538</v>
      </c>
    </row>
    <row r="15" spans="1:15" ht="18.600000000000001" customHeight="1" thickBot="1" x14ac:dyDescent="0.25">
      <c r="A15" s="121"/>
      <c r="B15" s="33" t="s">
        <v>43</v>
      </c>
      <c r="C15" s="37">
        <v>4217</v>
      </c>
      <c r="D15" s="37">
        <v>21.5</v>
      </c>
      <c r="E15" s="38">
        <f t="shared" si="0"/>
        <v>4195.5</v>
      </c>
      <c r="F15" s="40">
        <v>4217.0690000000004</v>
      </c>
      <c r="G15" s="40">
        <v>21.425999999999998</v>
      </c>
      <c r="H15" s="39">
        <f t="shared" si="1"/>
        <v>4195.643</v>
      </c>
      <c r="I15" s="124"/>
      <c r="J15" s="63" t="s">
        <v>43</v>
      </c>
      <c r="K15" s="59">
        <f t="shared" si="2"/>
        <v>2237</v>
      </c>
      <c r="L15" s="60">
        <v>0</v>
      </c>
      <c r="M15" s="60">
        <v>0</v>
      </c>
      <c r="N15" s="60">
        <f t="shared" si="3"/>
        <v>2237</v>
      </c>
    </row>
    <row r="16" spans="1:15" ht="18.600000000000001" customHeight="1" x14ac:dyDescent="0.2">
      <c r="A16" s="136">
        <v>2023</v>
      </c>
      <c r="B16" s="34" t="s">
        <v>10</v>
      </c>
      <c r="C16" s="37">
        <v>1628</v>
      </c>
      <c r="D16" s="37">
        <v>35.65</v>
      </c>
      <c r="E16" s="38">
        <f t="shared" si="0"/>
        <v>1592.35</v>
      </c>
      <c r="F16" s="40">
        <v>1628.2829999999999</v>
      </c>
      <c r="G16" s="40">
        <v>36.651000000000003</v>
      </c>
      <c r="H16" s="39">
        <f t="shared" si="1"/>
        <v>1591.6319999999998</v>
      </c>
      <c r="I16" s="139">
        <f>SUM(H16:H27)</f>
        <v>137564.05200000003</v>
      </c>
      <c r="J16" s="58" t="s">
        <v>10</v>
      </c>
      <c r="K16" s="59">
        <f t="shared" si="2"/>
        <v>848</v>
      </c>
      <c r="L16" s="60">
        <v>0</v>
      </c>
      <c r="M16" s="60">
        <v>0</v>
      </c>
      <c r="N16" s="60">
        <f t="shared" si="3"/>
        <v>848</v>
      </c>
    </row>
    <row r="17" spans="1:14" ht="18.600000000000001" customHeight="1" x14ac:dyDescent="0.2">
      <c r="A17" s="137"/>
      <c r="B17" s="31" t="s">
        <v>1</v>
      </c>
      <c r="C17" s="37">
        <v>1926</v>
      </c>
      <c r="D17" s="37">
        <v>30.08</v>
      </c>
      <c r="E17" s="38">
        <f t="shared" si="0"/>
        <v>1895.92</v>
      </c>
      <c r="F17" s="40">
        <v>1925.7919999999999</v>
      </c>
      <c r="G17" s="40">
        <v>30.344000000000001</v>
      </c>
      <c r="H17" s="39">
        <f t="shared" si="1"/>
        <v>1895.4479999999999</v>
      </c>
      <c r="I17" s="140"/>
      <c r="J17" s="61" t="s">
        <v>1</v>
      </c>
      <c r="K17" s="59">
        <f t="shared" si="2"/>
        <v>1010</v>
      </c>
      <c r="L17" s="60">
        <v>0</v>
      </c>
      <c r="M17" s="60">
        <v>0</v>
      </c>
      <c r="N17" s="60">
        <f t="shared" si="3"/>
        <v>1010</v>
      </c>
    </row>
    <row r="18" spans="1:14" s="36" customFormat="1" ht="18.600000000000001" customHeight="1" x14ac:dyDescent="0.2">
      <c r="A18" s="137"/>
      <c r="B18" s="32" t="s">
        <v>2</v>
      </c>
      <c r="C18" s="37">
        <v>23226</v>
      </c>
      <c r="D18" s="37"/>
      <c r="E18" s="38">
        <f t="shared" si="0"/>
        <v>23226</v>
      </c>
      <c r="F18" s="40">
        <v>23226.267</v>
      </c>
      <c r="G18" s="40">
        <v>1.4999999999999999E-2</v>
      </c>
      <c r="H18" s="39">
        <f t="shared" si="1"/>
        <v>23226.252</v>
      </c>
      <c r="I18" s="140"/>
      <c r="J18" s="62" t="s">
        <v>2</v>
      </c>
      <c r="K18" s="59">
        <f t="shared" si="2"/>
        <v>12384</v>
      </c>
      <c r="L18" s="60">
        <v>0</v>
      </c>
      <c r="M18" s="60">
        <v>0</v>
      </c>
      <c r="N18" s="60">
        <f t="shared" si="3"/>
        <v>12384</v>
      </c>
    </row>
    <row r="19" spans="1:14" s="36" customFormat="1" ht="18.600000000000001" customHeight="1" x14ac:dyDescent="0.2">
      <c r="A19" s="137"/>
      <c r="B19" s="32" t="s">
        <v>3</v>
      </c>
      <c r="C19" s="37">
        <v>33179</v>
      </c>
      <c r="D19" s="37">
        <v>0</v>
      </c>
      <c r="E19" s="38">
        <f t="shared" si="0"/>
        <v>33179</v>
      </c>
      <c r="F19" s="40">
        <v>33179.103999999999</v>
      </c>
      <c r="G19" s="40">
        <v>0</v>
      </c>
      <c r="H19" s="39">
        <f t="shared" si="1"/>
        <v>33179.103999999999</v>
      </c>
      <c r="I19" s="140"/>
      <c r="J19" s="62" t="s">
        <v>3</v>
      </c>
      <c r="K19" s="59">
        <f t="shared" si="2"/>
        <v>17692</v>
      </c>
      <c r="L19" s="60">
        <v>0</v>
      </c>
      <c r="M19" s="60">
        <v>0</v>
      </c>
      <c r="N19" s="60">
        <f t="shared" si="3"/>
        <v>17692</v>
      </c>
    </row>
    <row r="20" spans="1:14" ht="18.600000000000001" customHeight="1" x14ac:dyDescent="0.2">
      <c r="A20" s="137"/>
      <c r="B20" s="31" t="s">
        <v>4</v>
      </c>
      <c r="C20" s="37">
        <v>32279</v>
      </c>
      <c r="D20" s="37">
        <v>0</v>
      </c>
      <c r="E20" s="38">
        <f t="shared" si="0"/>
        <v>32279</v>
      </c>
      <c r="F20" s="40">
        <v>32279.359</v>
      </c>
      <c r="G20" s="40">
        <v>0</v>
      </c>
      <c r="H20" s="39">
        <f t="shared" si="1"/>
        <v>32279.359</v>
      </c>
      <c r="I20" s="140"/>
      <c r="J20" s="61" t="s">
        <v>4</v>
      </c>
      <c r="K20" s="59">
        <f t="shared" si="2"/>
        <v>17212</v>
      </c>
      <c r="L20" s="60">
        <v>0</v>
      </c>
      <c r="M20" s="60">
        <v>0</v>
      </c>
      <c r="N20" s="60">
        <f t="shared" si="3"/>
        <v>17212</v>
      </c>
    </row>
    <row r="21" spans="1:14" ht="18.600000000000001" customHeight="1" x14ac:dyDescent="0.2">
      <c r="A21" s="137"/>
      <c r="B21" s="31" t="s">
        <v>21</v>
      </c>
      <c r="C21" s="37">
        <v>27685</v>
      </c>
      <c r="D21" s="37">
        <v>0.27500000000000002</v>
      </c>
      <c r="E21" s="38">
        <f t="shared" si="0"/>
        <v>27684.724999999999</v>
      </c>
      <c r="F21" s="40">
        <v>27409.080999999998</v>
      </c>
      <c r="G21" s="40">
        <v>0.14599999999999999</v>
      </c>
      <c r="H21" s="39">
        <f t="shared" si="1"/>
        <v>27408.934999999998</v>
      </c>
      <c r="I21" s="140"/>
      <c r="J21" s="61" t="s">
        <v>21</v>
      </c>
      <c r="K21" s="59">
        <f t="shared" si="2"/>
        <v>14615</v>
      </c>
      <c r="L21" s="60">
        <v>0</v>
      </c>
      <c r="M21" s="60">
        <v>0</v>
      </c>
      <c r="N21" s="60">
        <f t="shared" si="3"/>
        <v>14615</v>
      </c>
    </row>
    <row r="22" spans="1:14" s="36" customFormat="1" ht="18.600000000000001" customHeight="1" x14ac:dyDescent="0.2">
      <c r="A22" s="137"/>
      <c r="B22" s="32" t="s">
        <v>5</v>
      </c>
      <c r="C22" s="37">
        <v>9590</v>
      </c>
      <c r="D22" s="37">
        <v>0.27</v>
      </c>
      <c r="E22" s="38">
        <f t="shared" si="0"/>
        <v>9589.73</v>
      </c>
      <c r="F22" s="40">
        <v>9537.0550000000003</v>
      </c>
      <c r="G22" s="40">
        <v>7.6150000000000002</v>
      </c>
      <c r="H22" s="39">
        <f t="shared" si="1"/>
        <v>9529.44</v>
      </c>
      <c r="I22" s="140"/>
      <c r="J22" s="62" t="s">
        <v>5</v>
      </c>
      <c r="K22" s="59">
        <f t="shared" si="2"/>
        <v>5081</v>
      </c>
      <c r="L22" s="60">
        <v>0</v>
      </c>
      <c r="M22" s="60">
        <v>0</v>
      </c>
      <c r="N22" s="60">
        <f t="shared" si="3"/>
        <v>5081</v>
      </c>
    </row>
    <row r="23" spans="1:14" ht="18.600000000000001" customHeight="1" x14ac:dyDescent="0.2">
      <c r="A23" s="137"/>
      <c r="B23" s="32" t="s">
        <v>6</v>
      </c>
      <c r="C23" s="37">
        <v>1623</v>
      </c>
      <c r="D23" s="37">
        <v>0.52</v>
      </c>
      <c r="E23" s="38">
        <f t="shared" si="0"/>
        <v>1622.48</v>
      </c>
      <c r="F23" s="40">
        <v>796.46699999999998</v>
      </c>
      <c r="G23" s="40">
        <v>22.571999999999999</v>
      </c>
      <c r="H23" s="39">
        <f t="shared" si="1"/>
        <v>773.89499999999998</v>
      </c>
      <c r="I23" s="140"/>
      <c r="J23" s="62" t="s">
        <v>6</v>
      </c>
      <c r="K23" s="59">
        <f t="shared" si="2"/>
        <v>412</v>
      </c>
      <c r="L23" s="60">
        <v>0</v>
      </c>
      <c r="M23" s="60">
        <v>0</v>
      </c>
      <c r="N23" s="60">
        <f t="shared" si="3"/>
        <v>412</v>
      </c>
    </row>
    <row r="24" spans="1:14" ht="18.600000000000001" customHeight="1" x14ac:dyDescent="0.2">
      <c r="A24" s="137"/>
      <c r="B24" s="32" t="s">
        <v>7</v>
      </c>
      <c r="C24" s="90">
        <v>290</v>
      </c>
      <c r="D24" s="90">
        <v>38.847999999999999</v>
      </c>
      <c r="E24" s="38">
        <f t="shared" si="0"/>
        <v>251.15199999999999</v>
      </c>
      <c r="F24" s="91">
        <v>287.96699999999998</v>
      </c>
      <c r="G24" s="91">
        <v>34.459000000000003</v>
      </c>
      <c r="H24" s="39">
        <f t="shared" si="1"/>
        <v>253.50799999999998</v>
      </c>
      <c r="I24" s="140"/>
      <c r="J24" s="62" t="s">
        <v>7</v>
      </c>
      <c r="K24" s="59">
        <f t="shared" ref="K24:K27" si="4">ROUNDDOWN(H24*$B$33,0)</f>
        <v>135</v>
      </c>
      <c r="L24" s="60">
        <v>0</v>
      </c>
      <c r="M24" s="60">
        <v>0</v>
      </c>
      <c r="N24" s="60">
        <f t="shared" si="3"/>
        <v>135</v>
      </c>
    </row>
    <row r="25" spans="1:14" ht="18.600000000000001" customHeight="1" x14ac:dyDescent="0.2">
      <c r="A25" s="137"/>
      <c r="B25" s="32" t="s">
        <v>8</v>
      </c>
      <c r="C25" s="90">
        <v>738</v>
      </c>
      <c r="D25" s="90">
        <v>35.9</v>
      </c>
      <c r="E25" s="38">
        <f t="shared" si="0"/>
        <v>702.1</v>
      </c>
      <c r="F25" s="91">
        <v>733.76499999999999</v>
      </c>
      <c r="G25" s="91">
        <v>38.271999999999998</v>
      </c>
      <c r="H25" s="39">
        <f t="shared" si="1"/>
        <v>695.49299999999994</v>
      </c>
      <c r="I25" s="140"/>
      <c r="J25" s="62" t="s">
        <v>8</v>
      </c>
      <c r="K25" s="59">
        <f t="shared" si="4"/>
        <v>370</v>
      </c>
      <c r="L25" s="60">
        <v>0</v>
      </c>
      <c r="M25" s="60">
        <v>0</v>
      </c>
      <c r="N25" s="60">
        <f t="shared" si="3"/>
        <v>370</v>
      </c>
    </row>
    <row r="26" spans="1:14" ht="18.600000000000001" customHeight="1" x14ac:dyDescent="0.2">
      <c r="A26" s="137"/>
      <c r="B26" s="32" t="s">
        <v>9</v>
      </c>
      <c r="C26" s="90">
        <v>3617</v>
      </c>
      <c r="D26" s="90">
        <v>28</v>
      </c>
      <c r="E26" s="38">
        <f t="shared" si="0"/>
        <v>3589</v>
      </c>
      <c r="F26" s="91">
        <v>3588.42</v>
      </c>
      <c r="G26" s="91">
        <v>28.591000000000001</v>
      </c>
      <c r="H26" s="39">
        <f t="shared" si="1"/>
        <v>3559.8290000000002</v>
      </c>
      <c r="I26" s="140"/>
      <c r="J26" s="62" t="s">
        <v>9</v>
      </c>
      <c r="K26" s="59">
        <f t="shared" si="4"/>
        <v>1898</v>
      </c>
      <c r="L26" s="60">
        <v>0</v>
      </c>
      <c r="M26" s="60">
        <v>0</v>
      </c>
      <c r="N26" s="60">
        <f t="shared" si="3"/>
        <v>1898</v>
      </c>
    </row>
    <row r="27" spans="1:14" ht="18.600000000000001" customHeight="1" thickBot="1" x14ac:dyDescent="0.25">
      <c r="A27" s="138"/>
      <c r="B27" s="33" t="s">
        <v>43</v>
      </c>
      <c r="C27" s="90">
        <v>3227</v>
      </c>
      <c r="D27" s="90">
        <v>22.67</v>
      </c>
      <c r="E27" s="38">
        <f t="shared" si="0"/>
        <v>3204.33</v>
      </c>
      <c r="F27" s="91">
        <v>3201.8150000000001</v>
      </c>
      <c r="G27" s="91">
        <v>30.658000000000001</v>
      </c>
      <c r="H27" s="39">
        <f t="shared" si="1"/>
        <v>3171.1570000000002</v>
      </c>
      <c r="I27" s="140"/>
      <c r="J27" s="63" t="s">
        <v>43</v>
      </c>
      <c r="K27" s="59">
        <f t="shared" si="4"/>
        <v>1690</v>
      </c>
      <c r="L27" s="60">
        <v>0</v>
      </c>
      <c r="M27" s="60">
        <v>0</v>
      </c>
      <c r="N27" s="60">
        <f t="shared" si="3"/>
        <v>1690</v>
      </c>
    </row>
    <row r="28" spans="1:14" ht="30" x14ac:dyDescent="0.2">
      <c r="A28" s="93" t="s">
        <v>88</v>
      </c>
      <c r="B28" s="89" t="s">
        <v>10</v>
      </c>
      <c r="C28" s="102">
        <f>1620*(J40/31)</f>
        <v>470.32258064516134</v>
      </c>
      <c r="D28" s="102">
        <f>34*J40/31</f>
        <v>9.870967741935484</v>
      </c>
      <c r="E28" s="103">
        <f t="shared" si="0"/>
        <v>460.45161290322585</v>
      </c>
      <c r="F28" s="102">
        <f>1618.743*J40/31</f>
        <v>469.95764516129032</v>
      </c>
      <c r="G28" s="102">
        <f>34.917*J40/31</f>
        <v>10.137193548387097</v>
      </c>
      <c r="H28" s="104">
        <f t="shared" si="1"/>
        <v>459.82045161290324</v>
      </c>
      <c r="I28" s="88">
        <f>SUM(H28)</f>
        <v>459.82045161290324</v>
      </c>
      <c r="J28" s="92" t="s">
        <v>10</v>
      </c>
      <c r="K28" s="105">
        <f>ROUNDDOWN(H28*$B$33,0)</f>
        <v>245</v>
      </c>
      <c r="L28" s="106">
        <v>0</v>
      </c>
      <c r="M28" s="106">
        <v>0</v>
      </c>
      <c r="N28" s="106">
        <f t="shared" si="3"/>
        <v>245</v>
      </c>
    </row>
    <row r="29" spans="1:14" ht="18" x14ac:dyDescent="0.2">
      <c r="A29" s="11" t="s">
        <v>22</v>
      </c>
      <c r="B29" s="12"/>
      <c r="C29" s="16">
        <f>SUM(C4:C28)</f>
        <v>250981.24258064514</v>
      </c>
      <c r="D29" s="16">
        <f t="shared" ref="D29:G29" si="5">SUM(D4:D28)</f>
        <v>406.53396774193544</v>
      </c>
      <c r="E29" s="16">
        <f t="shared" si="5"/>
        <v>250574.70861290323</v>
      </c>
      <c r="F29" s="16">
        <f t="shared" si="5"/>
        <v>249766.33364516133</v>
      </c>
      <c r="G29" s="16">
        <f t="shared" si="5"/>
        <v>444.84019354838711</v>
      </c>
      <c r="H29" s="30">
        <f>SUM(H4:H28)</f>
        <v>249321.49345161289</v>
      </c>
      <c r="I29" s="107">
        <f>SUM(I4:I28)</f>
        <v>249321.49345161291</v>
      </c>
      <c r="J29" s="11" t="s">
        <v>22</v>
      </c>
      <c r="K29" s="87">
        <f>SUM(K4:K28)</f>
        <v>132934</v>
      </c>
      <c r="L29" s="87">
        <f t="shared" ref="L29:N29" si="6">SUM(L4:L28)</f>
        <v>0</v>
      </c>
      <c r="M29" s="87">
        <f t="shared" si="6"/>
        <v>0</v>
      </c>
      <c r="N29" s="87">
        <f t="shared" si="6"/>
        <v>132934</v>
      </c>
    </row>
    <row r="30" spans="1:14" x14ac:dyDescent="0.2">
      <c r="J30"/>
      <c r="K30"/>
      <c r="M30" s="17"/>
      <c r="N30" s="2"/>
    </row>
    <row r="31" spans="1:14" ht="31.9" customHeight="1" x14ac:dyDescent="0.2">
      <c r="A31" s="41" t="s">
        <v>15</v>
      </c>
      <c r="B31" s="42">
        <f>F29</f>
        <v>249766.33364516133</v>
      </c>
      <c r="C31" s="41" t="s">
        <v>28</v>
      </c>
      <c r="D31" s="36"/>
      <c r="F31" s="6"/>
      <c r="G31" s="6"/>
      <c r="H31" s="125" t="s">
        <v>44</v>
      </c>
      <c r="I31" s="125"/>
      <c r="J31" s="125"/>
      <c r="K31" s="125"/>
      <c r="N31"/>
    </row>
    <row r="32" spans="1:14" ht="31.5" customHeight="1" x14ac:dyDescent="0.2">
      <c r="A32" s="41" t="s">
        <v>16</v>
      </c>
      <c r="B32" s="49">
        <f>H29</f>
        <v>249321.49345161289</v>
      </c>
      <c r="C32" s="112">
        <f>B32*12/25</f>
        <v>119674.31685677418</v>
      </c>
      <c r="D32" s="36"/>
      <c r="F32" s="6"/>
      <c r="G32" s="6"/>
      <c r="H32" s="44" t="s">
        <v>26</v>
      </c>
      <c r="I32" s="108">
        <v>157500</v>
      </c>
      <c r="J32" s="45"/>
      <c r="K32" s="108">
        <f>I32*$B$33</f>
        <v>83983.724999999991</v>
      </c>
      <c r="N32"/>
    </row>
    <row r="33" spans="1:14" ht="31.9" customHeight="1" x14ac:dyDescent="0.2">
      <c r="A33" s="41" t="s">
        <v>24</v>
      </c>
      <c r="B33" s="47">
        <v>0.53322999999999998</v>
      </c>
      <c r="C33" s="113" t="s">
        <v>27</v>
      </c>
      <c r="D33" s="36"/>
      <c r="F33" s="25"/>
      <c r="G33" s="1"/>
      <c r="H33" s="46" t="s">
        <v>58</v>
      </c>
      <c r="I33" s="108">
        <f>I32</f>
        <v>157500</v>
      </c>
      <c r="J33" s="46" t="s">
        <v>64</v>
      </c>
      <c r="K33" s="108">
        <f>I33*$B$33</f>
        <v>83983.724999999991</v>
      </c>
      <c r="N33" s="2"/>
    </row>
    <row r="34" spans="1:14" ht="31.9" customHeight="1" x14ac:dyDescent="0.2">
      <c r="A34" s="79" t="s">
        <v>19</v>
      </c>
      <c r="B34" s="80">
        <f>K29</f>
        <v>132934</v>
      </c>
      <c r="C34" s="114">
        <f>B34*12/25</f>
        <v>63808.32</v>
      </c>
      <c r="D34" s="36"/>
      <c r="H34" s="46" t="s">
        <v>63</v>
      </c>
      <c r="I34" s="108">
        <f>$I$32*8/12</f>
        <v>105000</v>
      </c>
      <c r="J34" s="46" t="s">
        <v>65</v>
      </c>
      <c r="K34" s="108">
        <f>I34*$B$33</f>
        <v>55989.15</v>
      </c>
      <c r="N34" s="2"/>
    </row>
    <row r="35" spans="1:14" ht="31.9" customHeight="1" x14ac:dyDescent="0.2">
      <c r="A35" s="94"/>
      <c r="B35" s="95"/>
      <c r="C35" s="96"/>
      <c r="D35" s="36"/>
      <c r="H35" s="46" t="s">
        <v>89</v>
      </c>
      <c r="I35" s="108">
        <f>$I$32*J40/J41</f>
        <v>3883.5616438356165</v>
      </c>
      <c r="J35" s="46" t="s">
        <v>90</v>
      </c>
      <c r="K35" s="108">
        <f>I35*$B$33</f>
        <v>2070.8315753424658</v>
      </c>
      <c r="N35" s="2"/>
    </row>
    <row r="36" spans="1:14" ht="31.9" customHeight="1" thickBot="1" x14ac:dyDescent="0.25">
      <c r="H36" s="41" t="s">
        <v>50</v>
      </c>
      <c r="I36" s="108">
        <f>SUM(I33:I35)</f>
        <v>266383.56164383562</v>
      </c>
      <c r="J36" s="41" t="s">
        <v>25</v>
      </c>
      <c r="K36" s="108">
        <f>SUM(K33:K35)</f>
        <v>142043.70657534245</v>
      </c>
      <c r="N36" s="2"/>
    </row>
    <row r="37" spans="1:14" ht="31.9" customHeight="1" x14ac:dyDescent="0.2">
      <c r="A37" s="81" t="s">
        <v>80</v>
      </c>
      <c r="B37" s="82"/>
      <c r="C37" s="68" t="s">
        <v>81</v>
      </c>
      <c r="D37" s="83"/>
      <c r="F37" s="8" t="s">
        <v>46</v>
      </c>
      <c r="G37" s="9">
        <f>(K36-D41)/K36*100</f>
        <v>6.4133123494003641</v>
      </c>
      <c r="N37" s="2"/>
    </row>
    <row r="38" spans="1:14" ht="31.9" customHeight="1" x14ac:dyDescent="0.2">
      <c r="A38" s="84" t="s">
        <v>59</v>
      </c>
      <c r="B38" s="108">
        <f>I4</f>
        <v>111297.621</v>
      </c>
      <c r="C38" s="41" t="s">
        <v>61</v>
      </c>
      <c r="D38" s="110">
        <f>SUM(N4:N15)</f>
        <v>59342</v>
      </c>
      <c r="F38" s="8" t="s">
        <v>47</v>
      </c>
      <c r="G38" s="9">
        <f>(I36-B41)/I36*100</f>
        <v>6.4050754809845607</v>
      </c>
      <c r="H38" s="100" t="s">
        <v>91</v>
      </c>
      <c r="I38" s="100" t="s">
        <v>92</v>
      </c>
      <c r="J38" s="100" t="s">
        <v>93</v>
      </c>
      <c r="N38" s="2"/>
    </row>
    <row r="39" spans="1:14" ht="31.9" customHeight="1" x14ac:dyDescent="0.2">
      <c r="A39" s="84" t="s">
        <v>60</v>
      </c>
      <c r="B39" s="108">
        <f>I16</f>
        <v>137564.05200000003</v>
      </c>
      <c r="C39" s="41" t="s">
        <v>62</v>
      </c>
      <c r="D39" s="110">
        <f>SUM(N16:N27)</f>
        <v>73347</v>
      </c>
      <c r="H39" s="101">
        <v>43100</v>
      </c>
      <c r="I39" s="101">
        <v>43464</v>
      </c>
      <c r="J39" s="100">
        <f>I39-H39+1</f>
        <v>365</v>
      </c>
      <c r="N39" s="2"/>
    </row>
    <row r="40" spans="1:14" ht="31.9" customHeight="1" x14ac:dyDescent="0.2">
      <c r="A40" s="84" t="s">
        <v>95</v>
      </c>
      <c r="B40" s="108">
        <f>I28</f>
        <v>459.82045161290324</v>
      </c>
      <c r="C40" s="41" t="s">
        <v>96</v>
      </c>
      <c r="D40" s="110">
        <f>N28</f>
        <v>245</v>
      </c>
      <c r="H40" s="101">
        <v>43830</v>
      </c>
      <c r="I40" s="101">
        <v>43838</v>
      </c>
      <c r="J40" s="100">
        <f>I40-H40+1</f>
        <v>9</v>
      </c>
      <c r="N40" s="2"/>
    </row>
    <row r="41" spans="1:14" ht="31.9" customHeight="1" thickBot="1" x14ac:dyDescent="0.25">
      <c r="A41" s="85" t="s">
        <v>66</v>
      </c>
      <c r="B41" s="109">
        <f>SUM(B38:B40)</f>
        <v>249321.49345161291</v>
      </c>
      <c r="C41" s="86" t="s">
        <v>67</v>
      </c>
      <c r="D41" s="111">
        <f>SUM(D38:D40)</f>
        <v>132934</v>
      </c>
      <c r="I41" s="100" t="s">
        <v>94</v>
      </c>
      <c r="J41" s="100">
        <v>365</v>
      </c>
      <c r="N41" s="2"/>
    </row>
    <row r="42" spans="1:14" ht="31.9" customHeight="1" x14ac:dyDescent="0.2">
      <c r="C42" s="117" t="s">
        <v>20</v>
      </c>
      <c r="D42" s="117"/>
      <c r="H42" s="48" t="s">
        <v>51</v>
      </c>
      <c r="N42" s="2"/>
    </row>
    <row r="43" spans="1:14" ht="31.9" customHeight="1" x14ac:dyDescent="0.2">
      <c r="C43" s="118"/>
      <c r="D43" s="118"/>
      <c r="N43" s="2"/>
    </row>
    <row r="44" spans="1:14" ht="31.9" customHeight="1" thickBot="1" x14ac:dyDescent="0.25"/>
    <row r="45" spans="1:14" ht="43.9" customHeight="1" thickBot="1" x14ac:dyDescent="0.25">
      <c r="A45" s="64" t="s">
        <v>79</v>
      </c>
      <c r="B45" s="65"/>
      <c r="C45" s="65"/>
      <c r="D45" s="65"/>
      <c r="E45" s="65"/>
      <c r="F45" s="66"/>
      <c r="H45" s="44" t="s">
        <v>97</v>
      </c>
      <c r="I45" s="108">
        <v>157500</v>
      </c>
      <c r="J45" s="108">
        <f>J47</f>
        <v>83983.724999999991</v>
      </c>
    </row>
    <row r="46" spans="1:14" ht="25.5" x14ac:dyDescent="0.2">
      <c r="A46" s="67"/>
      <c r="B46" s="68" t="s">
        <v>80</v>
      </c>
      <c r="C46" s="68" t="s">
        <v>81</v>
      </c>
      <c r="D46" s="68" t="s">
        <v>82</v>
      </c>
      <c r="E46" s="68" t="s">
        <v>83</v>
      </c>
      <c r="F46" s="69" t="s">
        <v>84</v>
      </c>
      <c r="H46" s="46" t="s">
        <v>52</v>
      </c>
      <c r="I46" s="108">
        <f>I45*3/12</f>
        <v>39375</v>
      </c>
      <c r="J46" s="108">
        <f>I46*$B$33</f>
        <v>20995.931249999998</v>
      </c>
    </row>
    <row r="47" spans="1:14" ht="25.5" x14ac:dyDescent="0.2">
      <c r="A47" s="70">
        <v>2022</v>
      </c>
      <c r="B47" s="71">
        <f>I4</f>
        <v>111297.621</v>
      </c>
      <c r="C47" s="72">
        <f>D38</f>
        <v>59342</v>
      </c>
      <c r="D47" s="72">
        <v>0</v>
      </c>
      <c r="E47" s="72">
        <f>0</f>
        <v>0</v>
      </c>
      <c r="F47" s="116">
        <f>C47-D47-E47</f>
        <v>59342</v>
      </c>
      <c r="H47" s="46" t="s">
        <v>53</v>
      </c>
      <c r="I47" s="108">
        <f t="shared" ref="I47:I55" si="7">$I$32</f>
        <v>157500</v>
      </c>
      <c r="J47" s="108">
        <f>I47*$B$33</f>
        <v>83983.724999999991</v>
      </c>
    </row>
    <row r="48" spans="1:14" ht="25.5" x14ac:dyDescent="0.2">
      <c r="A48" s="70">
        <v>2023</v>
      </c>
      <c r="B48" s="71">
        <f>I16</f>
        <v>137564.05200000003</v>
      </c>
      <c r="C48" s="72">
        <f>D39</f>
        <v>73347</v>
      </c>
      <c r="D48" s="72">
        <v>0</v>
      </c>
      <c r="E48" s="72">
        <f>0</f>
        <v>0</v>
      </c>
      <c r="F48" s="116">
        <f>C48-D48-E48</f>
        <v>73347</v>
      </c>
      <c r="H48" s="46" t="s">
        <v>54</v>
      </c>
      <c r="I48" s="108">
        <f t="shared" si="7"/>
        <v>157500</v>
      </c>
      <c r="J48" s="108">
        <f>I48*$B$33</f>
        <v>83983.724999999991</v>
      </c>
    </row>
    <row r="49" spans="1:10" ht="25.5" x14ac:dyDescent="0.2">
      <c r="A49" s="97">
        <v>2024</v>
      </c>
      <c r="B49" s="98">
        <f>B40</f>
        <v>459.82045161290324</v>
      </c>
      <c r="C49" s="99">
        <f>D40</f>
        <v>245</v>
      </c>
      <c r="D49" s="99">
        <v>0</v>
      </c>
      <c r="E49" s="99">
        <v>0</v>
      </c>
      <c r="F49" s="116">
        <f>D40</f>
        <v>245</v>
      </c>
      <c r="H49" s="46" t="s">
        <v>55</v>
      </c>
      <c r="I49" s="108">
        <f t="shared" si="7"/>
        <v>157500</v>
      </c>
      <c r="J49" s="108">
        <f>I49*$B$33</f>
        <v>83983.724999999991</v>
      </c>
    </row>
    <row r="50" spans="1:10" ht="26.25" thickBot="1" x14ac:dyDescent="0.25">
      <c r="A50" s="73" t="s">
        <v>85</v>
      </c>
      <c r="B50" s="74">
        <f>SUM(B47:B49)</f>
        <v>249321.49345161291</v>
      </c>
      <c r="C50" s="75">
        <f>SUM(C47:C48)</f>
        <v>132689</v>
      </c>
      <c r="D50" s="74">
        <f>SUM(D47:D48)</f>
        <v>0</v>
      </c>
      <c r="E50" s="74">
        <f>SUM(E47:E48)</f>
        <v>0</v>
      </c>
      <c r="F50" s="74">
        <f>SUM(F47:F49)</f>
        <v>132934</v>
      </c>
      <c r="H50" s="46" t="s">
        <v>56</v>
      </c>
      <c r="I50" s="108">
        <f t="shared" si="7"/>
        <v>157500</v>
      </c>
      <c r="J50" s="108">
        <f t="shared" ref="J50:J53" si="8">I50*$B$33</f>
        <v>83983.724999999991</v>
      </c>
    </row>
    <row r="51" spans="1:10" ht="25.5" x14ac:dyDescent="0.2">
      <c r="B51" s="76"/>
      <c r="D51" s="1"/>
      <c r="E51" s="77" t="s">
        <v>86</v>
      </c>
      <c r="F51" s="78">
        <f>F50*12/25</f>
        <v>63808.32</v>
      </c>
      <c r="H51" s="46" t="s">
        <v>57</v>
      </c>
      <c r="I51" s="108">
        <f t="shared" si="7"/>
        <v>157500</v>
      </c>
      <c r="J51" s="108">
        <f t="shared" si="8"/>
        <v>83983.724999999991</v>
      </c>
    </row>
    <row r="52" spans="1:10" ht="25.5" x14ac:dyDescent="0.2">
      <c r="H52" s="46" t="s">
        <v>48</v>
      </c>
      <c r="I52" s="108">
        <f t="shared" si="7"/>
        <v>157500</v>
      </c>
      <c r="J52" s="108">
        <f t="shared" si="8"/>
        <v>83983.724999999991</v>
      </c>
    </row>
    <row r="53" spans="1:10" ht="25.5" x14ac:dyDescent="0.2">
      <c r="H53" s="46" t="s">
        <v>49</v>
      </c>
      <c r="I53" s="108">
        <f t="shared" si="7"/>
        <v>157500</v>
      </c>
      <c r="J53" s="108">
        <f t="shared" si="8"/>
        <v>83983.724999999991</v>
      </c>
    </row>
    <row r="54" spans="1:10" ht="25.5" x14ac:dyDescent="0.2">
      <c r="H54" s="46" t="s">
        <v>58</v>
      </c>
      <c r="I54" s="108">
        <f t="shared" si="7"/>
        <v>157500</v>
      </c>
      <c r="J54" s="108">
        <f t="shared" ref="J54:J55" si="9">I54*$B$33</f>
        <v>83983.724999999991</v>
      </c>
    </row>
    <row r="55" spans="1:10" ht="25.5" x14ac:dyDescent="0.2">
      <c r="H55" s="46" t="s">
        <v>63</v>
      </c>
      <c r="I55" s="108">
        <f t="shared" si="7"/>
        <v>157500</v>
      </c>
      <c r="J55" s="108">
        <f t="shared" si="9"/>
        <v>83983.724999999991</v>
      </c>
    </row>
    <row r="56" spans="1:10" ht="25.5" x14ac:dyDescent="0.2">
      <c r="H56" s="46" t="s">
        <v>89</v>
      </c>
      <c r="I56" s="108">
        <f>$I$32*J40/J41</f>
        <v>3883.5616438356165</v>
      </c>
      <c r="J56" s="108">
        <f t="shared" ref="J56" si="10">I56*$B$33</f>
        <v>2070.8315753424658</v>
      </c>
    </row>
    <row r="57" spans="1:10" x14ac:dyDescent="0.2">
      <c r="I57" s="115">
        <f>SUM(I46:I54)</f>
        <v>1299375</v>
      </c>
      <c r="J57" s="115">
        <f>SUM(J46:J54)</f>
        <v>692865.73124999984</v>
      </c>
    </row>
    <row r="68" spans="3:3" x14ac:dyDescent="0.2">
      <c r="C68" s="13"/>
    </row>
  </sheetData>
  <mergeCells count="10">
    <mergeCell ref="C42:D43"/>
    <mergeCell ref="A4:A15"/>
    <mergeCell ref="I4:I15"/>
    <mergeCell ref="H31:K31"/>
    <mergeCell ref="J2:K2"/>
    <mergeCell ref="F2:H2"/>
    <mergeCell ref="C2:E2"/>
    <mergeCell ref="A1:B2"/>
    <mergeCell ref="A16:A27"/>
    <mergeCell ref="I16:I27"/>
  </mergeCells>
  <phoneticPr fontId="0" type="noConversion"/>
  <printOptions horizontalCentered="1" verticalCentered="1"/>
  <pageMargins left="0.55118110236220474" right="0.55118110236220474" top="0.78740157480314965" bottom="0.78740157480314965" header="0.51181102362204722" footer="0.51181102362204722"/>
  <pageSetup paperSize="9" scale="49" orientation="landscape" r:id="rId1"/>
  <headerFooter alignWithMargins="0">
    <oddHeader>&amp;C&amp;"Verdana,Kalın"&amp;22HAMZALI HEPP ELECTRICITY GENERATION AND EMISSIONS REDUCTION VALUES</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tabSelected="1" workbookViewId="0">
      <selection activeCell="C5" sqref="C5"/>
    </sheetView>
  </sheetViews>
  <sheetFormatPr defaultRowHeight="12.75" x14ac:dyDescent="0.2"/>
  <cols>
    <col min="2" max="2" width="19.625" bestFit="1" customWidth="1"/>
    <col min="3" max="3" width="16" bestFit="1" customWidth="1"/>
  </cols>
  <sheetData>
    <row r="1" spans="1:3" x14ac:dyDescent="0.2">
      <c r="A1" s="141" t="s">
        <v>68</v>
      </c>
      <c r="B1" s="141"/>
      <c r="C1" s="52" t="s">
        <v>69</v>
      </c>
    </row>
    <row r="2" spans="1:3" x14ac:dyDescent="0.2">
      <c r="A2" s="53">
        <v>13</v>
      </c>
      <c r="B2" t="s">
        <v>70</v>
      </c>
      <c r="C2" s="54">
        <f>Detail!F50</f>
        <v>132934</v>
      </c>
    </row>
    <row r="3" spans="1:3" x14ac:dyDescent="0.2">
      <c r="A3" s="55" t="s">
        <v>71</v>
      </c>
      <c r="B3" t="s">
        <v>72</v>
      </c>
      <c r="C3" s="56">
        <f>Detail!B50</f>
        <v>249321.49345161291</v>
      </c>
    </row>
    <row r="4" spans="1:3" x14ac:dyDescent="0.2">
      <c r="A4" s="52" t="s">
        <v>73</v>
      </c>
      <c r="B4" s="43" t="s">
        <v>74</v>
      </c>
      <c r="C4" s="57">
        <v>19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G43"/>
  <sheetViews>
    <sheetView workbookViewId="0">
      <selection activeCell="A13" sqref="A13"/>
    </sheetView>
  </sheetViews>
  <sheetFormatPr defaultRowHeight="12.75" x14ac:dyDescent="0.2"/>
  <cols>
    <col min="1" max="1" width="9.75" bestFit="1" customWidth="1"/>
    <col min="2" max="2" width="41.375" bestFit="1" customWidth="1"/>
    <col min="3" max="3" width="10.875" style="1" bestFit="1" customWidth="1"/>
    <col min="5" max="6" width="7.625" customWidth="1"/>
  </cols>
  <sheetData>
    <row r="2" spans="1:7" ht="46.9" customHeight="1" x14ac:dyDescent="0.2">
      <c r="A2" s="18" t="s">
        <v>30</v>
      </c>
      <c r="B2" s="18" t="s">
        <v>31</v>
      </c>
      <c r="C2" s="19" t="s">
        <v>32</v>
      </c>
    </row>
    <row r="3" spans="1:7" s="22" customFormat="1" ht="53.45" customHeight="1" x14ac:dyDescent="0.2">
      <c r="A3" s="20" t="s">
        <v>33</v>
      </c>
      <c r="B3" s="20" t="s">
        <v>34</v>
      </c>
      <c r="C3" s="21">
        <f>(C4-C5)/(C6-C7)</f>
        <v>12729.624838292368</v>
      </c>
      <c r="D3" s="28" t="s">
        <v>45</v>
      </c>
    </row>
    <row r="4" spans="1:7" s="22" customFormat="1" ht="53.45" customHeight="1" x14ac:dyDescent="0.2">
      <c r="A4" s="10" t="s">
        <v>35</v>
      </c>
      <c r="B4" s="20" t="s">
        <v>36</v>
      </c>
      <c r="C4" s="23">
        <v>49200000</v>
      </c>
      <c r="D4" s="27"/>
    </row>
    <row r="5" spans="1:7" s="22" customFormat="1" ht="53.45" customHeight="1" x14ac:dyDescent="0.2">
      <c r="A5" s="10" t="s">
        <v>37</v>
      </c>
      <c r="B5" s="20" t="s">
        <v>38</v>
      </c>
      <c r="C5" s="24">
        <v>0</v>
      </c>
      <c r="D5" s="27"/>
      <c r="E5"/>
      <c r="F5"/>
      <c r="G5"/>
    </row>
    <row r="6" spans="1:7" s="22" customFormat="1" ht="53.45" customHeight="1" x14ac:dyDescent="0.2">
      <c r="A6" s="10" t="s">
        <v>39</v>
      </c>
      <c r="B6" s="20" t="s">
        <v>40</v>
      </c>
      <c r="C6" s="23">
        <v>3865</v>
      </c>
      <c r="D6" s="27"/>
      <c r="E6"/>
      <c r="F6"/>
      <c r="G6"/>
    </row>
    <row r="7" spans="1:7" s="22" customFormat="1" ht="53.45" customHeight="1" x14ac:dyDescent="0.2">
      <c r="A7" s="10" t="s">
        <v>41</v>
      </c>
      <c r="B7" s="20" t="s">
        <v>42</v>
      </c>
      <c r="C7" s="23">
        <v>0</v>
      </c>
      <c r="D7" s="27"/>
    </row>
    <row r="43" spans="2:2" x14ac:dyDescent="0.2">
      <c r="B43" s="2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Detail</vt:lpstr>
      <vt:lpstr>SDG Contributions</vt:lpstr>
      <vt:lpstr>Power Density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Pioneer Carbon</dc:creator>
  <cp:lastModifiedBy>GTE CARBON</cp:lastModifiedBy>
  <cp:lastPrinted>2010-03-31T07:56:50Z</cp:lastPrinted>
  <dcterms:created xsi:type="dcterms:W3CDTF">2008-02-05T09:57:55Z</dcterms:created>
  <dcterms:modified xsi:type="dcterms:W3CDTF">2024-09-12T10:15:49Z</dcterms:modified>
</cp:coreProperties>
</file>