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rh/Desktop/"/>
    </mc:Choice>
  </mc:AlternateContent>
  <xr:revisionPtr revIDLastSave="0" documentId="8_{289BF548-05C2-164F-8999-B0E6F24D4579}" xr6:coauthVersionLast="47" xr6:coauthVersionMax="47" xr10:uidLastSave="{00000000-0000-0000-0000-000000000000}"/>
  <bookViews>
    <workbookView xWindow="2400" yWindow="500" windowWidth="28800" windowHeight="16700" tabRatio="525" firstSheet="1" activeTab="1" xr2:uid="{00000000-000D-0000-FFFF-FFFF00000000}"/>
  </bookViews>
  <sheets>
    <sheet name="ER_overview_Project 1" sheetId="33" r:id="rId1"/>
    <sheet name="ER_Antananarivo" sheetId="16" r:id="rId2"/>
    <sheet name="number_of_CFLs" sheetId="22" r:id="rId3"/>
    <sheet name="NES_all_CFLs" sheetId="34" r:id="rId4"/>
  </sheets>
  <definedNames>
    <definedName name="_xlnm.Print_Area" localSheetId="0">'ER_overview_Project 1'!$A$1:$P$26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96" i="16" l="1"/>
  <c r="N97" i="16"/>
  <c r="N98" i="16"/>
  <c r="N95" i="16"/>
  <c r="B19" i="22" l="1"/>
  <c r="K94" i="16"/>
  <c r="G94" i="16"/>
  <c r="I94" i="16"/>
  <c r="F61" i="34"/>
  <c r="E61" i="34"/>
  <c r="D61" i="34"/>
  <c r="C61" i="34"/>
  <c r="B61" i="34"/>
  <c r="D60" i="34"/>
  <c r="B60" i="34"/>
  <c r="F60" i="34"/>
  <c r="E60" i="34"/>
  <c r="C60" i="34"/>
  <c r="H57" i="34"/>
  <c r="B21" i="22"/>
  <c r="B23" i="22" s="1"/>
  <c r="E42" i="34"/>
  <c r="B36" i="34" s="1"/>
  <c r="B16" i="34"/>
  <c r="D51" i="34"/>
  <c r="E27" i="34"/>
  <c r="E28" i="34"/>
  <c r="E29" i="34"/>
  <c r="E30" i="34"/>
  <c r="E31" i="34"/>
  <c r="C51" i="34"/>
  <c r="J52" i="34"/>
  <c r="J53" i="34"/>
  <c r="J54" i="34"/>
  <c r="J55" i="34"/>
  <c r="J56" i="34"/>
  <c r="K53" i="34"/>
  <c r="K56" i="34"/>
  <c r="I10" i="34"/>
  <c r="I11" i="34" s="1"/>
  <c r="I12" i="34" s="1"/>
  <c r="I13" i="34" s="1"/>
  <c r="I14" i="34" s="1"/>
  <c r="I15" i="34" s="1"/>
  <c r="I16" i="34" s="1"/>
  <c r="I17" i="34" s="1"/>
  <c r="I18" i="34" s="1"/>
  <c r="I19" i="34" s="1"/>
  <c r="B19" i="34"/>
  <c r="H17" i="34" s="1"/>
  <c r="H16" i="34"/>
  <c r="H14" i="34"/>
  <c r="H11" i="34"/>
  <c r="H10" i="34"/>
  <c r="D17" i="33"/>
  <c r="A8" i="33"/>
  <c r="E42" i="16"/>
  <c r="B36" i="16" s="1"/>
  <c r="D36" i="16" s="1"/>
  <c r="B109" i="16"/>
  <c r="B94" i="16"/>
  <c r="C94" i="16" s="1"/>
  <c r="C109" i="16" s="1"/>
  <c r="I53" i="16"/>
  <c r="K52" i="16"/>
  <c r="H94" i="16"/>
  <c r="D51" i="16"/>
  <c r="D94" i="16" s="1"/>
  <c r="D109" i="16" s="1"/>
  <c r="F94" i="16"/>
  <c r="F109" i="16" s="1"/>
  <c r="C51" i="16"/>
  <c r="B19" i="16"/>
  <c r="B16" i="16"/>
  <c r="E81" i="16"/>
  <c r="E82" i="16"/>
  <c r="E83" i="16"/>
  <c r="D84" i="16"/>
  <c r="I115" i="16"/>
  <c r="I116" i="16" s="1"/>
  <c r="J115" i="16"/>
  <c r="J116" i="16" s="1"/>
  <c r="K115" i="16"/>
  <c r="K116" i="16" s="1"/>
  <c r="I100" i="16"/>
  <c r="I101" i="16" s="1"/>
  <c r="J100" i="16"/>
  <c r="J101" i="16" s="1"/>
  <c r="K100" i="16"/>
  <c r="K101" i="16" s="1"/>
  <c r="E27" i="16"/>
  <c r="E28" i="16"/>
  <c r="E29" i="16"/>
  <c r="E30" i="16"/>
  <c r="E31" i="16"/>
  <c r="H56" i="16"/>
  <c r="I52" i="16"/>
  <c r="I55" i="16"/>
  <c r="I56" i="16"/>
  <c r="J52" i="16"/>
  <c r="J56" i="16"/>
  <c r="K54" i="16"/>
  <c r="C5" i="22"/>
  <c r="I10" i="16"/>
  <c r="I11" i="16" s="1"/>
  <c r="I12" i="16" s="1"/>
  <c r="I13" i="16" s="1"/>
  <c r="I14" i="16" s="1"/>
  <c r="I15" i="16" s="1"/>
  <c r="I16" i="16" s="1"/>
  <c r="I17" i="16" s="1"/>
  <c r="I18" i="16" s="1"/>
  <c r="I19" i="16" s="1"/>
  <c r="B6" i="22"/>
  <c r="B11" i="22" s="1"/>
  <c r="B13" i="22" s="1"/>
  <c r="B15" i="22" s="1"/>
  <c r="H17" i="16"/>
  <c r="H15" i="16"/>
  <c r="H13" i="16"/>
  <c r="H11" i="16"/>
  <c r="C6" i="22"/>
  <c r="M10" i="16"/>
  <c r="H115" i="16"/>
  <c r="H116" i="16" s="1"/>
  <c r="B80" i="16" s="1"/>
  <c r="H101" i="16"/>
  <c r="C80" i="16"/>
  <c r="H52" i="16"/>
  <c r="B27" i="16"/>
  <c r="F95" i="16" s="1"/>
  <c r="B52" i="16"/>
  <c r="J57" i="34" l="1"/>
  <c r="K55" i="16"/>
  <c r="H18" i="34"/>
  <c r="H53" i="16"/>
  <c r="K53" i="16"/>
  <c r="K56" i="16"/>
  <c r="D110" i="16"/>
  <c r="E52" i="16"/>
  <c r="M10" i="34"/>
  <c r="K55" i="34"/>
  <c r="I54" i="16"/>
  <c r="I57" i="16" s="1"/>
  <c r="I8" i="33" s="1"/>
  <c r="I9" i="33" s="1"/>
  <c r="H55" i="16"/>
  <c r="B39" i="16"/>
  <c r="K109" i="16"/>
  <c r="K54" i="34"/>
  <c r="B38" i="34"/>
  <c r="C52" i="16"/>
  <c r="H54" i="16"/>
  <c r="H57" i="16" s="1"/>
  <c r="H8" i="33" s="1"/>
  <c r="H9" i="33" s="1"/>
  <c r="B37" i="16"/>
  <c r="K52" i="34"/>
  <c r="B110" i="16"/>
  <c r="D52" i="16"/>
  <c r="C110" i="16"/>
  <c r="C95" i="16"/>
  <c r="G110" i="16"/>
  <c r="E80" i="16"/>
  <c r="D95" i="16"/>
  <c r="G52" i="16"/>
  <c r="B95" i="16"/>
  <c r="F52" i="16"/>
  <c r="F110" i="16"/>
  <c r="H16" i="16"/>
  <c r="H12" i="16"/>
  <c r="H19" i="16"/>
  <c r="H18" i="16"/>
  <c r="H14" i="16"/>
  <c r="H10" i="16"/>
  <c r="J53" i="16"/>
  <c r="J54" i="16"/>
  <c r="J94" i="16"/>
  <c r="J109" i="16" s="1"/>
  <c r="J55" i="16"/>
  <c r="D39" i="16"/>
  <c r="B30" i="16" s="1"/>
  <c r="E55" i="16" s="1"/>
  <c r="B38" i="16"/>
  <c r="H12" i="34"/>
  <c r="H15" i="34"/>
  <c r="H19" i="34"/>
  <c r="B39" i="34"/>
  <c r="D39" i="34" s="1"/>
  <c r="B30" i="34" s="1"/>
  <c r="B22" i="22"/>
  <c r="E109" i="16"/>
  <c r="E110" i="16" s="1"/>
  <c r="B40" i="34"/>
  <c r="D40" i="34" s="1"/>
  <c r="B31" i="34" s="1"/>
  <c r="D36" i="34"/>
  <c r="B40" i="16"/>
  <c r="D40" i="16" s="1"/>
  <c r="B31" i="16" s="1"/>
  <c r="D37" i="16"/>
  <c r="H13" i="34"/>
  <c r="D38" i="34"/>
  <c r="B29" i="34" s="1"/>
  <c r="B37" i="34"/>
  <c r="K57" i="16" l="1"/>
  <c r="K8" i="33" s="1"/>
  <c r="K9" i="33" s="1"/>
  <c r="C56" i="34"/>
  <c r="K57" i="34"/>
  <c r="I57" i="34"/>
  <c r="B42" i="34"/>
  <c r="J57" i="16"/>
  <c r="J8" i="33" s="1"/>
  <c r="J9" i="33" s="1"/>
  <c r="F99" i="16"/>
  <c r="E99" i="16"/>
  <c r="C99" i="16"/>
  <c r="C114" i="16"/>
  <c r="D99" i="16"/>
  <c r="D114" i="16"/>
  <c r="E114" i="16"/>
  <c r="F114" i="16"/>
  <c r="G114" i="16"/>
  <c r="B56" i="16"/>
  <c r="C56" i="16"/>
  <c r="D56" i="16"/>
  <c r="F56" i="16"/>
  <c r="G56" i="16"/>
  <c r="B114" i="16"/>
  <c r="B99" i="16"/>
  <c r="B27" i="34"/>
  <c r="B55" i="34"/>
  <c r="C55" i="34"/>
  <c r="E55" i="34"/>
  <c r="D55" i="34"/>
  <c r="G55" i="34"/>
  <c r="F55" i="34"/>
  <c r="E56" i="16"/>
  <c r="L52" i="16"/>
  <c r="D37" i="34"/>
  <c r="B28" i="34" s="1"/>
  <c r="F56" i="34"/>
  <c r="B56" i="34"/>
  <c r="E56" i="34"/>
  <c r="D56" i="34"/>
  <c r="G56" i="34"/>
  <c r="B42" i="16"/>
  <c r="D38" i="16"/>
  <c r="B29" i="16" s="1"/>
  <c r="L110" i="16"/>
  <c r="E54" i="34"/>
  <c r="D54" i="34"/>
  <c r="G54" i="34"/>
  <c r="B54" i="34"/>
  <c r="F54" i="34"/>
  <c r="C54" i="34"/>
  <c r="B28" i="16"/>
  <c r="D55" i="16"/>
  <c r="F55" i="16"/>
  <c r="G55" i="16"/>
  <c r="B98" i="16"/>
  <c r="B113" i="16"/>
  <c r="E98" i="16"/>
  <c r="D113" i="16"/>
  <c r="B55" i="16"/>
  <c r="C113" i="16"/>
  <c r="F113" i="16"/>
  <c r="F98" i="16"/>
  <c r="D98" i="16"/>
  <c r="G113" i="16"/>
  <c r="C55" i="16"/>
  <c r="C98" i="16"/>
  <c r="E113" i="16"/>
  <c r="E95" i="16"/>
  <c r="L114" i="16" l="1"/>
  <c r="L56" i="34"/>
  <c r="D42" i="16"/>
  <c r="L113" i="16"/>
  <c r="L55" i="34"/>
  <c r="L56" i="16"/>
  <c r="L55" i="16"/>
  <c r="L98" i="16"/>
  <c r="L54" i="34"/>
  <c r="B53" i="34"/>
  <c r="D53" i="34"/>
  <c r="G53" i="34"/>
  <c r="F53" i="34"/>
  <c r="E53" i="34"/>
  <c r="C53" i="34"/>
  <c r="F52" i="34"/>
  <c r="B52" i="34"/>
  <c r="E52" i="34"/>
  <c r="E57" i="34" s="1"/>
  <c r="D52" i="34"/>
  <c r="D57" i="34" s="1"/>
  <c r="G52" i="34"/>
  <c r="G57" i="34" s="1"/>
  <c r="B33" i="34"/>
  <c r="M12" i="34" s="1"/>
  <c r="C52" i="34"/>
  <c r="L95" i="16"/>
  <c r="B96" i="16"/>
  <c r="B111" i="16"/>
  <c r="F96" i="16"/>
  <c r="E96" i="16"/>
  <c r="C96" i="16"/>
  <c r="C111" i="16"/>
  <c r="D96" i="16"/>
  <c r="D111" i="16"/>
  <c r="E111" i="16"/>
  <c r="F111" i="16"/>
  <c r="G111" i="16"/>
  <c r="B53" i="16"/>
  <c r="D53" i="16"/>
  <c r="F53" i="16"/>
  <c r="G53" i="16"/>
  <c r="C53" i="16"/>
  <c r="B33" i="16"/>
  <c r="M12" i="16" s="1"/>
  <c r="E53" i="16"/>
  <c r="B97" i="16"/>
  <c r="B112" i="16"/>
  <c r="C54" i="16"/>
  <c r="F97" i="16"/>
  <c r="E97" i="16"/>
  <c r="C97" i="16"/>
  <c r="C112" i="16"/>
  <c r="D97" i="16"/>
  <c r="D112" i="16"/>
  <c r="E112" i="16"/>
  <c r="F112" i="16"/>
  <c r="G112" i="16"/>
  <c r="B54" i="16"/>
  <c r="G54" i="16"/>
  <c r="D54" i="16"/>
  <c r="F54" i="16"/>
  <c r="E54" i="16"/>
  <c r="D42" i="34"/>
  <c r="L99" i="16"/>
  <c r="F57" i="34" l="1"/>
  <c r="E100" i="16"/>
  <c r="E101" i="16" s="1"/>
  <c r="C77" i="16" s="1"/>
  <c r="E57" i="16"/>
  <c r="E58" i="16" s="1"/>
  <c r="E8" i="33" s="1"/>
  <c r="E9" i="33" s="1"/>
  <c r="F57" i="16"/>
  <c r="F58" i="16" s="1"/>
  <c r="F8" i="33" s="1"/>
  <c r="F9" i="33" s="1"/>
  <c r="C57" i="34"/>
  <c r="L53" i="34"/>
  <c r="F115" i="16"/>
  <c r="F116" i="16" s="1"/>
  <c r="B78" i="16" s="1"/>
  <c r="G100" i="16"/>
  <c r="G101" i="16" s="1"/>
  <c r="C79" i="16" s="1"/>
  <c r="C100" i="16"/>
  <c r="C101" i="16" s="1"/>
  <c r="C75" i="16" s="1"/>
  <c r="C57" i="16"/>
  <c r="C58" i="16" s="1"/>
  <c r="C8" i="33" s="1"/>
  <c r="C9" i="33" s="1"/>
  <c r="C115" i="16"/>
  <c r="C116" i="16" s="1"/>
  <c r="B75" i="16" s="1"/>
  <c r="D57" i="16"/>
  <c r="D58" i="16" s="1"/>
  <c r="D8" i="33" s="1"/>
  <c r="E115" i="16"/>
  <c r="E116" i="16" s="1"/>
  <c r="B77" i="16" s="1"/>
  <c r="E77" i="16" s="1"/>
  <c r="L111" i="16"/>
  <c r="B115" i="16"/>
  <c r="L52" i="34"/>
  <c r="B57" i="34"/>
  <c r="L54" i="16"/>
  <c r="L112" i="16"/>
  <c r="L53" i="16"/>
  <c r="B57" i="16"/>
  <c r="D115" i="16"/>
  <c r="D116" i="16" s="1"/>
  <c r="B76" i="16" s="1"/>
  <c r="C16" i="33" s="1"/>
  <c r="L96" i="16"/>
  <c r="B100" i="16"/>
  <c r="L97" i="16"/>
  <c r="G57" i="16"/>
  <c r="G8" i="33" s="1"/>
  <c r="G115" i="16"/>
  <c r="G116" i="16" s="1"/>
  <c r="B79" i="16" s="1"/>
  <c r="D100" i="16"/>
  <c r="D101" i="16" s="1"/>
  <c r="C76" i="16" s="1"/>
  <c r="F100" i="16"/>
  <c r="F101" i="16" s="1"/>
  <c r="C78" i="16" s="1"/>
  <c r="E78" i="16" s="1"/>
  <c r="E76" i="16" l="1"/>
  <c r="B16" i="33"/>
  <c r="C17" i="33"/>
  <c r="L57" i="34"/>
  <c r="E75" i="16"/>
  <c r="B101" i="16"/>
  <c r="L100" i="16"/>
  <c r="E79" i="16"/>
  <c r="B116" i="16"/>
  <c r="L115" i="16"/>
  <c r="B58" i="16"/>
  <c r="L57" i="16"/>
  <c r="C74" i="16" l="1"/>
  <c r="L101" i="16"/>
  <c r="L102" i="16" s="1"/>
  <c r="B74" i="16"/>
  <c r="B84" i="16" s="1"/>
  <c r="L116" i="16"/>
  <c r="L117" i="16" s="1"/>
  <c r="E16" i="33"/>
  <c r="E17" i="33" s="1"/>
  <c r="B17" i="33"/>
  <c r="B8" i="33"/>
  <c r="L58" i="16"/>
  <c r="L59" i="16" l="1"/>
  <c r="N58" i="16"/>
  <c r="L8" i="33"/>
  <c r="B9" i="33"/>
  <c r="L9" i="33" s="1"/>
  <c r="L10" i="33" s="1"/>
  <c r="E74" i="16"/>
  <c r="E84" i="16" s="1"/>
  <c r="C8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tc={FDAA46AA-439D-4C27-B419-AC611FD14F47}</author>
    <author>tc={65D373EB-B507-4469-B03D-C3438E24830D}</author>
  </authors>
  <commentList>
    <comment ref="E51" authorId="0" shapeId="0" xr:uid="{FDAA46AA-439D-4C27-B419-AC611FD14F47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aus 2018er Monitoring Survey
</t>
      </text>
    </comment>
    <comment ref="F51" authorId="1" shapeId="0" xr:uid="{65D373EB-B507-4469-B03D-C3438E24830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aus 2018er monitoring survey</t>
      </text>
    </comment>
  </commentList>
</comments>
</file>

<file path=xl/sharedStrings.xml><?xml version="1.0" encoding="utf-8"?>
<sst xmlns="http://schemas.openxmlformats.org/spreadsheetml/2006/main" count="261" uniqueCount="120">
  <si>
    <t>Project 1 (GS1334): CFL WWF Madagascar - ER Calculation Based on SSC-AMS II.J. (Version 04)</t>
  </si>
  <si>
    <t>Project 1</t>
  </si>
  <si>
    <t>ER tCO2e/year</t>
  </si>
  <si>
    <t>City</t>
  </si>
  <si>
    <t>TOTAL</t>
  </si>
  <si>
    <t>Total</t>
  </si>
  <si>
    <t xml:space="preserve"> </t>
  </si>
  <si>
    <t>t CO2</t>
  </si>
  <si>
    <t>average per year</t>
  </si>
  <si>
    <t>Emissions reductions generated in fourth monitoring period</t>
  </si>
  <si>
    <t>Year</t>
  </si>
  <si>
    <t>BE tCO2e</t>
  </si>
  <si>
    <t>PE tCO2e</t>
  </si>
  <si>
    <t>LE tCO2e</t>
  </si>
  <si>
    <t>ER tCO2e</t>
  </si>
  <si>
    <t>Project 1: CFL WWF Madagascar - ER Calculation Based on SSC-AMS II.J. (Version 04)</t>
  </si>
  <si>
    <t>29.04.2019</t>
  </si>
  <si>
    <r>
      <t>NES</t>
    </r>
    <r>
      <rPr>
        <vertAlign val="subscript"/>
        <sz val="10"/>
        <rFont val="Arial"/>
        <family val="2"/>
      </rPr>
      <t>y</t>
    </r>
    <r>
      <rPr>
        <sz val="10"/>
        <rFont val="Arial"/>
        <family val="2"/>
      </rPr>
      <t xml:space="preserve"> = ∑ Q</t>
    </r>
    <r>
      <rPr>
        <vertAlign val="subscript"/>
        <sz val="10"/>
        <rFont val="Arial"/>
        <family val="2"/>
      </rPr>
      <t>PJ,I</t>
    </r>
    <r>
      <rPr>
        <sz val="10"/>
        <rFont val="Arial"/>
        <family val="2"/>
      </rPr>
      <t xml:space="preserve"> * ES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* (1 - LFR</t>
    </r>
    <r>
      <rPr>
        <vertAlign val="subscript"/>
        <sz val="10"/>
        <rFont val="Arial"/>
        <family val="2"/>
      </rPr>
      <t>i,y</t>
    </r>
    <r>
      <rPr>
        <sz val="10"/>
        <rFont val="Arial"/>
        <family val="2"/>
      </rPr>
      <t>) * ES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*(1/(1-TD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)) * NTG</t>
    </r>
    <phoneticPr fontId="3" type="noConversion"/>
  </si>
  <si>
    <r>
      <t>ES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= (P</t>
    </r>
    <r>
      <rPr>
        <vertAlign val="subscript"/>
        <sz val="10"/>
        <rFont val="Arial"/>
        <family val="2"/>
      </rPr>
      <t>i,BL</t>
    </r>
    <r>
      <rPr>
        <sz val="10"/>
        <rFont val="Arial"/>
        <family val="2"/>
      </rPr>
      <t xml:space="preserve"> - P</t>
    </r>
    <r>
      <rPr>
        <vertAlign val="subscript"/>
        <sz val="10"/>
        <rFont val="Arial"/>
        <family val="2"/>
      </rPr>
      <t>i,PJ</t>
    </r>
    <r>
      <rPr>
        <sz val="10"/>
        <rFont val="Arial"/>
        <family val="2"/>
      </rPr>
      <t>) * O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* 365 / 1000</t>
    </r>
  </si>
  <si>
    <t>Lamp Failure Rate</t>
    <phoneticPr fontId="3" type="noConversion"/>
  </si>
  <si>
    <t>Year</t>
    <phoneticPr fontId="3" type="noConversion"/>
  </si>
  <si>
    <r>
      <t>y*X</t>
    </r>
    <r>
      <rPr>
        <b/>
        <vertAlign val="subscript"/>
        <sz val="10"/>
        <rFont val="Arial"/>
        <family val="2"/>
      </rPr>
      <t>i</t>
    </r>
    <phoneticPr fontId="3" type="noConversion"/>
  </si>
  <si>
    <r>
      <t>L</t>
    </r>
    <r>
      <rPr>
        <b/>
        <vertAlign val="subscript"/>
        <sz val="10"/>
        <rFont val="Arial"/>
        <family val="2"/>
      </rPr>
      <t>i</t>
    </r>
  </si>
  <si>
    <r>
      <t>y*X</t>
    </r>
    <r>
      <rPr>
        <b/>
        <vertAlign val="subscript"/>
        <sz val="10"/>
        <rFont val="Arial"/>
        <family val="2"/>
      </rPr>
      <t>i</t>
    </r>
    <r>
      <rPr>
        <b/>
        <sz val="10"/>
        <rFont val="Arial"/>
        <family val="2"/>
      </rPr>
      <t xml:space="preserve"> &lt; L</t>
    </r>
    <r>
      <rPr>
        <b/>
        <vertAlign val="subscript"/>
        <sz val="10"/>
        <rFont val="Arial"/>
        <family val="2"/>
      </rPr>
      <t>i</t>
    </r>
  </si>
  <si>
    <t>y*Xi &gt;or= Li</t>
  </si>
  <si>
    <r>
      <t>If y*X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&lt; L</t>
    </r>
    <r>
      <rPr>
        <vertAlign val="subscript"/>
        <sz val="10"/>
        <rFont val="Arial"/>
        <family val="2"/>
      </rPr>
      <t xml:space="preserve">i, </t>
    </r>
    <r>
      <rPr>
        <sz val="10"/>
        <rFont val="Arial"/>
        <family val="2"/>
      </rPr>
      <t>LFR</t>
    </r>
    <r>
      <rPr>
        <vertAlign val="subscript"/>
        <sz val="10"/>
        <rFont val="Arial"/>
        <family val="2"/>
      </rPr>
      <t>y</t>
    </r>
    <r>
      <rPr>
        <sz val="10"/>
        <rFont val="Arial"/>
        <family val="2"/>
      </rPr>
      <t xml:space="preserve"> = y * X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* (100 - 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) / (100 * L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)</t>
    </r>
  </si>
  <si>
    <t>yes</t>
  </si>
  <si>
    <t>No</t>
  </si>
  <si>
    <t>TOTAL CFL distributed</t>
  </si>
  <si>
    <r>
      <t>If y*X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&gt;or= L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, LFR</t>
    </r>
    <r>
      <rPr>
        <vertAlign val="subscript"/>
        <sz val="10"/>
        <rFont val="Arial"/>
        <family val="2"/>
      </rPr>
      <t>i,y</t>
    </r>
    <r>
      <rPr>
        <sz val="10"/>
        <rFont val="Arial"/>
        <family val="2"/>
      </rPr>
      <t xml:space="preserve"> = 1</t>
    </r>
  </si>
  <si>
    <t>TOTAL CFL installed</t>
  </si>
  <si>
    <r>
      <t>ER = NES</t>
    </r>
    <r>
      <rPr>
        <vertAlign val="subscript"/>
        <sz val="10"/>
        <rFont val="Arial"/>
        <family val="2"/>
      </rPr>
      <t>y</t>
    </r>
    <r>
      <rPr>
        <sz val="10"/>
        <rFont val="Arial"/>
        <family val="2"/>
      </rPr>
      <t>*EF</t>
    </r>
    <r>
      <rPr>
        <vertAlign val="subscript"/>
        <sz val="10"/>
        <rFont val="Arial"/>
        <family val="2"/>
      </rPr>
      <t>CO2,elec,y</t>
    </r>
    <phoneticPr fontId="3" type="noConversion"/>
  </si>
  <si>
    <r>
      <t>O</t>
    </r>
    <r>
      <rPr>
        <vertAlign val="subscript"/>
        <sz val="10"/>
        <rFont val="Arial"/>
        <family val="2"/>
      </rPr>
      <t>i</t>
    </r>
  </si>
  <si>
    <r>
      <t>1/(1-TD</t>
    </r>
    <r>
      <rPr>
        <vertAlign val="subscript"/>
        <sz val="10"/>
        <rFont val="Arial"/>
        <family val="2"/>
      </rPr>
      <t>y</t>
    </r>
    <r>
      <rPr>
        <sz val="10"/>
        <rFont val="Arial"/>
        <family val="2"/>
      </rPr>
      <t>)</t>
    </r>
  </si>
  <si>
    <r>
      <t>TD</t>
    </r>
    <r>
      <rPr>
        <vertAlign val="subscript"/>
        <sz val="10"/>
        <rFont val="Arial"/>
        <family val="2"/>
      </rPr>
      <t>y</t>
    </r>
    <r>
      <rPr>
        <sz val="10"/>
        <rFont val="Arial"/>
        <family val="2"/>
      </rPr>
      <t xml:space="preserve"> = 0.1</t>
    </r>
  </si>
  <si>
    <t>NTG</t>
  </si>
  <si>
    <t>Yes</t>
  </si>
  <si>
    <t>BP</t>
  </si>
  <si>
    <r>
      <t>X</t>
    </r>
    <r>
      <rPr>
        <vertAlign val="subscript"/>
        <sz val="10"/>
        <rFont val="Arial"/>
        <family val="2"/>
      </rPr>
      <t>i</t>
    </r>
    <phoneticPr fontId="3" type="noConversion"/>
  </si>
  <si>
    <r>
      <t>R</t>
    </r>
    <r>
      <rPr>
        <vertAlign val="subscript"/>
        <sz val="10"/>
        <rFont val="Arial"/>
        <family val="2"/>
      </rPr>
      <t>i</t>
    </r>
    <phoneticPr fontId="3" type="noConversion"/>
  </si>
  <si>
    <r>
      <t>L</t>
    </r>
    <r>
      <rPr>
        <vertAlign val="subscript"/>
        <sz val="10"/>
        <rFont val="Arial"/>
        <family val="2"/>
      </rPr>
      <t>i</t>
    </r>
    <phoneticPr fontId="3" type="noConversion"/>
  </si>
  <si>
    <r>
      <t>EF</t>
    </r>
    <r>
      <rPr>
        <vertAlign val="subscript"/>
        <sz val="10"/>
        <rFont val="Arial"/>
        <family val="2"/>
      </rPr>
      <t>CO2,elec,y</t>
    </r>
    <phoneticPr fontId="3" type="noConversion"/>
  </si>
  <si>
    <t>t CO2/MWh</t>
  </si>
  <si>
    <t>y</t>
    <phoneticPr fontId="3" type="noConversion"/>
  </si>
  <si>
    <t>year</t>
    <phoneticPr fontId="3" type="noConversion"/>
  </si>
  <si>
    <t>i (Lumen)</t>
  </si>
  <si>
    <r>
      <t>Q</t>
    </r>
    <r>
      <rPr>
        <vertAlign val="subscript"/>
        <sz val="10"/>
        <rFont val="Arial"/>
        <family val="2"/>
      </rPr>
      <t>PJ,i</t>
    </r>
  </si>
  <si>
    <r>
      <t>P</t>
    </r>
    <r>
      <rPr>
        <vertAlign val="subscript"/>
        <sz val="10"/>
        <rFont val="Arial"/>
        <family val="2"/>
      </rPr>
      <t>i,BL</t>
    </r>
  </si>
  <si>
    <r>
      <t>P</t>
    </r>
    <r>
      <rPr>
        <vertAlign val="subscript"/>
        <sz val="10"/>
        <rFont val="Arial"/>
        <family val="2"/>
      </rPr>
      <t>i,PJ</t>
    </r>
  </si>
  <si>
    <r>
      <t>ES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(MWh)</t>
    </r>
    <phoneticPr fontId="3" type="noConversion"/>
  </si>
  <si>
    <t>Total</t>
    <phoneticPr fontId="3" type="noConversion"/>
  </si>
  <si>
    <t>Share of different wattages</t>
    <phoneticPr fontId="3" type="noConversion"/>
  </si>
  <si>
    <t>CFLs installed</t>
  </si>
  <si>
    <t>CFL sold</t>
  </si>
  <si>
    <t>source:</t>
  </si>
  <si>
    <t>25W</t>
  </si>
  <si>
    <t>sales database</t>
  </si>
  <si>
    <t>40W</t>
  </si>
  <si>
    <t>60W</t>
  </si>
  <si>
    <t>75W</t>
  </si>
  <si>
    <t>100W</t>
  </si>
  <si>
    <t>Percentage of lamps not installed:</t>
  </si>
  <si>
    <t>Source: first ex-post monitoring survey 2015</t>
  </si>
  <si>
    <t>Phase I - CFLs distributed</t>
  </si>
  <si>
    <t>y</t>
  </si>
  <si>
    <t>LFR</t>
  </si>
  <si>
    <t>NES (25W)</t>
  </si>
  <si>
    <t>NES (40W)</t>
  </si>
  <si>
    <t>NES (60W)</t>
  </si>
  <si>
    <t>NES (75W)</t>
  </si>
  <si>
    <t>NES (100W)</t>
  </si>
  <si>
    <t>NES</t>
  </si>
  <si>
    <t>MWh</t>
  </si>
  <si>
    <t>ER</t>
  </si>
  <si>
    <t>kg CO2/bulb on average</t>
  </si>
  <si>
    <t>Incandescent Wattage</t>
  </si>
  <si>
    <t>Minimum CFL Lumen</t>
  </si>
  <si>
    <t>CFLs Installed</t>
  </si>
  <si>
    <t>CFL Lumen</t>
  </si>
  <si>
    <t>Project emissions (tCO2e)</t>
  </si>
  <si>
    <t>Baseline emissions (tCO2e)</t>
  </si>
  <si>
    <t>Leakage emissions (tCO2e)</t>
  </si>
  <si>
    <t>Emission reductions (tCO2e)</t>
  </si>
  <si>
    <t>Baseline emissions</t>
  </si>
  <si>
    <t>EC (25W)</t>
  </si>
  <si>
    <t>EC (40W)</t>
  </si>
  <si>
    <t>EC (60W)</t>
  </si>
  <si>
    <t>EC (75W)</t>
  </si>
  <si>
    <t>EC (100W)</t>
  </si>
  <si>
    <t>EC</t>
  </si>
  <si>
    <t>Emissions</t>
  </si>
  <si>
    <t>Project emissions</t>
  </si>
  <si>
    <t>Cities</t>
  </si>
  <si>
    <t xml:space="preserve">Project 1 </t>
  </si>
  <si>
    <t>Antananarivo</t>
  </si>
  <si>
    <t>Sales Database</t>
  </si>
  <si>
    <t>Number of households reached</t>
  </si>
  <si>
    <t>Source</t>
  </si>
  <si>
    <t>Number of CFLs</t>
  </si>
  <si>
    <t>Average number of CFLs per hh</t>
  </si>
  <si>
    <t>ex-post monitoring survey 2015</t>
  </si>
  <si>
    <t>calculated</t>
  </si>
  <si>
    <t>Average persons per hh</t>
  </si>
  <si>
    <t>baseline survey 2011</t>
  </si>
  <si>
    <t>Number of beneficiaries</t>
  </si>
  <si>
    <t>Monetary savings</t>
  </si>
  <si>
    <t>Source:</t>
  </si>
  <si>
    <t>monthly bill in baseline Ar.</t>
  </si>
  <si>
    <t>monthly bill in project Ar.</t>
  </si>
  <si>
    <t>average monthly savings</t>
  </si>
  <si>
    <t>annual savings</t>
  </si>
  <si>
    <t>savings in %</t>
  </si>
  <si>
    <t>calcuated</t>
  </si>
  <si>
    <t>Project 1: CFL WWF Madagascar - NES for all installed CFLs</t>
  </si>
  <si>
    <t>Source: ex-post monitoring survey 2015</t>
  </si>
  <si>
    <t>-</t>
  </si>
  <si>
    <t>Anzahl Personen</t>
  </si>
  <si>
    <t xml:space="preserve">Anzahl Haushalte </t>
  </si>
  <si>
    <t xml:space="preserve">baseline survey 2011 plus adjustment </t>
  </si>
  <si>
    <t>monitoring survey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</si>
</sst>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#,##0.000"/>
    <numFmt numFmtId="166" formatCode="0.000"/>
    <numFmt numFmtId="167" formatCode="0.0%"/>
    <numFmt numFmtId="168" formatCode="_(* #,##0_);_(* \(#,##0\);_(* &quot;-&quot;??_);_(@_)"/>
    <numFmt numFmtId="169" formatCode="0.000000"/>
    <numFmt numFmtId="170" formatCode="0.0"/>
    <numFmt numFmtId="173" formatCode="#,##0.0"/>
  </numFmts>
  <fonts count="17" x14ac:knownFonts="1">
    <font>
      <sz val="10"/>
      <name val="Arial"/>
    </font>
    <font>
      <sz val="10"/>
      <name val="Arial"/>
      <family val="2"/>
    </font>
    <font>
      <vertAlign val="subscript"/>
      <sz val="10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10"/>
      <color theme="0" tint="-0.499984740745262"/>
      <name val="Arial"/>
      <family val="2"/>
    </font>
    <font>
      <b/>
      <i/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4" fillId="0" borderId="1" xfId="0" applyFont="1" applyBorder="1"/>
    <xf numFmtId="3" fontId="4" fillId="0" borderId="1" xfId="0" applyNumberFormat="1" applyFont="1" applyBorder="1"/>
    <xf numFmtId="0" fontId="4" fillId="0" borderId="0" xfId="0" applyFont="1"/>
    <xf numFmtId="3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/>
    <xf numFmtId="0" fontId="5" fillId="0" borderId="0" xfId="0" applyFont="1"/>
    <xf numFmtId="15" fontId="0" fillId="0" borderId="0" xfId="0" applyNumberFormat="1"/>
    <xf numFmtId="3" fontId="4" fillId="0" borderId="0" xfId="0" applyNumberFormat="1" applyFont="1"/>
    <xf numFmtId="4" fontId="0" fillId="0" borderId="0" xfId="0" applyNumberFormat="1"/>
    <xf numFmtId="166" fontId="0" fillId="0" borderId="0" xfId="0" applyNumberFormat="1"/>
    <xf numFmtId="0" fontId="6" fillId="0" borderId="0" xfId="0" applyFont="1"/>
    <xf numFmtId="0" fontId="0" fillId="2" borderId="1" xfId="0" applyFill="1" applyBorder="1"/>
    <xf numFmtId="3" fontId="0" fillId="2" borderId="1" xfId="0" applyNumberFormat="1" applyFill="1" applyBorder="1"/>
    <xf numFmtId="3" fontId="0" fillId="2" borderId="2" xfId="0" applyNumberFormat="1" applyFill="1" applyBorder="1"/>
    <xf numFmtId="0" fontId="0" fillId="2" borderId="3" xfId="0" applyFill="1" applyBorder="1"/>
    <xf numFmtId="0" fontId="0" fillId="0" borderId="0" xfId="0" applyAlignment="1">
      <alignment horizontal="center"/>
    </xf>
    <xf numFmtId="167" fontId="0" fillId="0" borderId="0" xfId="0" applyNumberFormat="1"/>
    <xf numFmtId="165" fontId="0" fillId="0" borderId="0" xfId="0" applyNumberFormat="1" applyAlignment="1">
      <alignment horizontal="right"/>
    </xf>
    <xf numFmtId="14" fontId="0" fillId="0" borderId="0" xfId="0" applyNumberFormat="1"/>
    <xf numFmtId="1" fontId="0" fillId="0" borderId="1" xfId="0" applyNumberFormat="1" applyBorder="1"/>
    <xf numFmtId="0" fontId="0" fillId="3" borderId="1" xfId="0" applyFill="1" applyBorder="1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left"/>
    </xf>
    <xf numFmtId="10" fontId="0" fillId="0" borderId="0" xfId="0" applyNumberForma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9" xfId="0" applyFont="1" applyBorder="1"/>
    <xf numFmtId="0" fontId="0" fillId="0" borderId="10" xfId="0" applyBorder="1"/>
    <xf numFmtId="1" fontId="6" fillId="5" borderId="1" xfId="0" applyNumberFormat="1" applyFont="1" applyFill="1" applyBorder="1" applyAlignment="1">
      <alignment horizontal="left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168" fontId="6" fillId="3" borderId="1" xfId="1" applyNumberFormat="1" applyFont="1" applyFill="1" applyBorder="1"/>
    <xf numFmtId="168" fontId="0" fillId="0" borderId="1" xfId="1" applyNumberFormat="1" applyFont="1" applyBorder="1"/>
    <xf numFmtId="0" fontId="8" fillId="0" borderId="0" xfId="0" applyFont="1"/>
    <xf numFmtId="3" fontId="0" fillId="0" borderId="2" xfId="0" applyNumberFormat="1" applyBorder="1"/>
    <xf numFmtId="0" fontId="0" fillId="0" borderId="3" xfId="0" applyBorder="1"/>
    <xf numFmtId="165" fontId="0" fillId="0" borderId="0" xfId="0" applyNumberFormat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5" xfId="0" applyNumberFormat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 wrapText="1"/>
    </xf>
    <xf numFmtId="0" fontId="6" fillId="7" borderId="10" xfId="0" applyFont="1" applyFill="1" applyBorder="1" applyAlignment="1">
      <alignment horizontal="center" wrapText="1"/>
    </xf>
    <xf numFmtId="168" fontId="6" fillId="0" borderId="9" xfId="1" applyNumberFormat="1" applyFont="1" applyBorder="1"/>
    <xf numFmtId="168" fontId="6" fillId="0" borderId="11" xfId="1" applyNumberFormat="1" applyFont="1" applyBorder="1" applyAlignment="1">
      <alignment horizontal="center"/>
    </xf>
    <xf numFmtId="168" fontId="6" fillId="0" borderId="10" xfId="1" applyNumberFormat="1" applyFont="1" applyBorder="1" applyAlignment="1">
      <alignment horizontal="center"/>
    </xf>
    <xf numFmtId="169" fontId="0" fillId="0" borderId="5" xfId="0" applyNumberFormat="1" applyBorder="1"/>
    <xf numFmtId="1" fontId="0" fillId="0" borderId="5" xfId="0" applyNumberFormat="1" applyBorder="1"/>
    <xf numFmtId="1" fontId="6" fillId="0" borderId="0" xfId="0" applyNumberFormat="1" applyFont="1"/>
    <xf numFmtId="167" fontId="0" fillId="0" borderId="1" xfId="0" applyNumberFormat="1" applyBorder="1"/>
    <xf numFmtId="0" fontId="11" fillId="0" borderId="0" xfId="0" applyFont="1"/>
    <xf numFmtId="0" fontId="12" fillId="3" borderId="1" xfId="0" applyFont="1" applyFill="1" applyBorder="1"/>
    <xf numFmtId="0" fontId="12" fillId="3" borderId="0" xfId="0" applyFont="1" applyFill="1"/>
    <xf numFmtId="0" fontId="12" fillId="0" borderId="0" xfId="0" applyFont="1"/>
    <xf numFmtId="1" fontId="12" fillId="0" borderId="1" xfId="0" applyNumberFormat="1" applyFont="1" applyBorder="1"/>
    <xf numFmtId="1" fontId="12" fillId="0" borderId="0" xfId="0" applyNumberFormat="1" applyFont="1"/>
    <xf numFmtId="3" fontId="12" fillId="2" borderId="1" xfId="0" applyNumberFormat="1" applyFont="1" applyFill="1" applyBorder="1"/>
    <xf numFmtId="3" fontId="12" fillId="2" borderId="2" xfId="0" applyNumberFormat="1" applyFont="1" applyFill="1" applyBorder="1"/>
    <xf numFmtId="0" fontId="12" fillId="2" borderId="3" xfId="0" applyFont="1" applyFill="1" applyBorder="1"/>
    <xf numFmtId="3" fontId="12" fillId="0" borderId="0" xfId="0" applyNumberFormat="1" applyFont="1"/>
    <xf numFmtId="3" fontId="12" fillId="0" borderId="2" xfId="0" applyNumberFormat="1" applyFont="1" applyBorder="1"/>
    <xf numFmtId="0" fontId="12" fillId="0" borderId="3" xfId="0" applyFont="1" applyBorder="1"/>
    <xf numFmtId="0" fontId="6" fillId="8" borderId="0" xfId="0" applyFont="1" applyFill="1"/>
    <xf numFmtId="0" fontId="6" fillId="0" borderId="1" xfId="0" applyFont="1" applyBorder="1" applyAlignment="1">
      <alignment horizontal="right"/>
    </xf>
    <xf numFmtId="3" fontId="6" fillId="0" borderId="1" xfId="0" applyNumberFormat="1" applyFont="1" applyBorder="1"/>
    <xf numFmtId="0" fontId="6" fillId="0" borderId="1" xfId="0" applyFont="1" applyBorder="1"/>
    <xf numFmtId="3" fontId="13" fillId="0" borderId="1" xfId="0" applyNumberFormat="1" applyFont="1" applyBorder="1"/>
    <xf numFmtId="3" fontId="6" fillId="2" borderId="1" xfId="0" applyNumberFormat="1" applyFont="1" applyFill="1" applyBorder="1"/>
    <xf numFmtId="167" fontId="6" fillId="0" borderId="1" xfId="0" applyNumberFormat="1" applyFont="1" applyBorder="1"/>
    <xf numFmtId="2" fontId="0" fillId="0" borderId="1" xfId="0" applyNumberFormat="1" applyBorder="1"/>
    <xf numFmtId="0" fontId="6" fillId="0" borderId="4" xfId="0" applyFont="1" applyBorder="1" applyAlignment="1">
      <alignment horizontal="center"/>
    </xf>
    <xf numFmtId="3" fontId="6" fillId="0" borderId="0" xfId="0" applyNumberFormat="1" applyFont="1"/>
    <xf numFmtId="170" fontId="0" fillId="0" borderId="0" xfId="0" applyNumberFormat="1"/>
    <xf numFmtId="0" fontId="0" fillId="4" borderId="1" xfId="0" applyFill="1" applyBorder="1"/>
    <xf numFmtId="167" fontId="8" fillId="0" borderId="0" xfId="2" applyNumberFormat="1" applyFont="1" applyFill="1"/>
    <xf numFmtId="0" fontId="0" fillId="9" borderId="4" xfId="0" applyFill="1" applyBorder="1" applyAlignment="1">
      <alignment horizontal="left"/>
    </xf>
    <xf numFmtId="1" fontId="0" fillId="9" borderId="0" xfId="0" applyNumberFormat="1" applyFill="1"/>
    <xf numFmtId="0" fontId="0" fillId="9" borderId="0" xfId="0" applyFill="1"/>
    <xf numFmtId="0" fontId="0" fillId="9" borderId="5" xfId="0" applyFill="1" applyBorder="1"/>
    <xf numFmtId="0" fontId="0" fillId="9" borderId="4" xfId="0" applyFill="1" applyBorder="1"/>
    <xf numFmtId="167" fontId="0" fillId="9" borderId="0" xfId="0" applyNumberFormat="1" applyFill="1"/>
    <xf numFmtId="10" fontId="0" fillId="9" borderId="0" xfId="0" applyNumberFormat="1" applyFill="1"/>
    <xf numFmtId="1" fontId="0" fillId="9" borderId="5" xfId="0" applyNumberFormat="1" applyFill="1" applyBorder="1"/>
    <xf numFmtId="0" fontId="15" fillId="3" borderId="1" xfId="0" applyFont="1" applyFill="1" applyBorder="1"/>
    <xf numFmtId="1" fontId="15" fillId="0" borderId="1" xfId="0" applyNumberFormat="1" applyFont="1" applyBorder="1"/>
    <xf numFmtId="3" fontId="15" fillId="2" borderId="1" xfId="0" applyNumberFormat="1" applyFont="1" applyFill="1" applyBorder="1"/>
    <xf numFmtId="167" fontId="1" fillId="0" borderId="1" xfId="0" applyNumberFormat="1" applyFont="1" applyBorder="1"/>
    <xf numFmtId="167" fontId="0" fillId="0" borderId="12" xfId="0" applyNumberFormat="1" applyBorder="1"/>
    <xf numFmtId="49" fontId="1" fillId="0" borderId="0" xfId="0" applyNumberFormat="1" applyFont="1"/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3" fontId="1" fillId="2" borderId="1" xfId="0" applyNumberFormat="1" applyFont="1" applyFill="1" applyBorder="1"/>
    <xf numFmtId="0" fontId="1" fillId="0" borderId="4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/>
    </xf>
    <xf numFmtId="0" fontId="0" fillId="10" borderId="0" xfId="0" applyFill="1"/>
    <xf numFmtId="0" fontId="16" fillId="0" borderId="0" xfId="0" applyFont="1"/>
    <xf numFmtId="0" fontId="16" fillId="0" borderId="1" xfId="0" applyFont="1" applyBorder="1"/>
    <xf numFmtId="3" fontId="16" fillId="0" borderId="1" xfId="0" applyNumberFormat="1" applyFont="1" applyBorder="1"/>
    <xf numFmtId="3" fontId="16" fillId="2" borderId="1" xfId="0" applyNumberFormat="1" applyFont="1" applyFill="1" applyBorder="1"/>
    <xf numFmtId="167" fontId="1" fillId="0" borderId="1" xfId="0" applyNumberFormat="1" applyFont="1" applyBorder="1" applyAlignment="1">
      <alignment horizontal="left" vertical="top" wrapText="1"/>
    </xf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3" fontId="16" fillId="0" borderId="5" xfId="0" applyNumberFormat="1" applyFont="1" applyBorder="1" applyAlignment="1">
      <alignment horizontal="center"/>
    </xf>
    <xf numFmtId="3" fontId="1" fillId="9" borderId="1" xfId="0" applyNumberFormat="1" applyFont="1" applyFill="1" applyBorder="1"/>
    <xf numFmtId="167" fontId="1" fillId="10" borderId="1" xfId="0" applyNumberFormat="1" applyFont="1" applyFill="1" applyBorder="1"/>
    <xf numFmtId="0" fontId="16" fillId="11" borderId="0" xfId="0" applyFont="1" applyFill="1"/>
    <xf numFmtId="0" fontId="16" fillId="11" borderId="1" xfId="0" applyFont="1" applyFill="1" applyBorder="1"/>
    <xf numFmtId="167" fontId="16" fillId="11" borderId="1" xfId="0" applyNumberFormat="1" applyFont="1" applyFill="1" applyBorder="1"/>
    <xf numFmtId="3" fontId="13" fillId="11" borderId="1" xfId="0" applyNumberFormat="1" applyFont="1" applyFill="1" applyBorder="1"/>
    <xf numFmtId="3" fontId="16" fillId="11" borderId="1" xfId="0" applyNumberFormat="1" applyFont="1" applyFill="1" applyBorder="1"/>
    <xf numFmtId="0" fontId="14" fillId="11" borderId="1" xfId="0" applyFont="1" applyFill="1" applyBorder="1"/>
    <xf numFmtId="1" fontId="14" fillId="11" borderId="1" xfId="0" applyNumberFormat="1" applyFont="1" applyFill="1" applyBorder="1"/>
    <xf numFmtId="3" fontId="14" fillId="11" borderId="1" xfId="0" applyNumberFormat="1" applyFont="1" applyFill="1" applyBorder="1"/>
    <xf numFmtId="0" fontId="0" fillId="11" borderId="0" xfId="0" applyFill="1"/>
    <xf numFmtId="0" fontId="0" fillId="11" borderId="1" xfId="0" applyFill="1" applyBorder="1"/>
    <xf numFmtId="167" fontId="1" fillId="11" borderId="1" xfId="0" applyNumberFormat="1" applyFont="1" applyFill="1" applyBorder="1" applyAlignment="1">
      <alignment wrapText="1"/>
    </xf>
    <xf numFmtId="3" fontId="4" fillId="11" borderId="1" xfId="0" applyNumberFormat="1" applyFont="1" applyFill="1" applyBorder="1"/>
    <xf numFmtId="3" fontId="0" fillId="11" borderId="1" xfId="0" applyNumberFormat="1" applyFill="1" applyBorder="1"/>
    <xf numFmtId="0" fontId="6" fillId="6" borderId="9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10" fontId="0" fillId="0" borderId="1" xfId="1" applyNumberFormat="1" applyFont="1" applyBorder="1"/>
    <xf numFmtId="173" fontId="13" fillId="11" borderId="1" xfId="0" applyNumberFormat="1" applyFont="1" applyFill="1" applyBorder="1"/>
  </cellXfs>
  <cellStyles count="75">
    <cellStyle name="Besuchter Hyperlink" xfId="14" builtinId="9" hidden="1"/>
    <cellStyle name="Besuchter Hyperlink" xfId="16" builtinId="9" hidden="1"/>
    <cellStyle name="Besuchter Hyperlink" xfId="4" builtinId="9" hidden="1"/>
    <cellStyle name="Besuchter Hyperlink" xfId="18" builtinId="9" hidden="1"/>
    <cellStyle name="Besuchter Hyperlink" xfId="6" builtinId="9" hidden="1"/>
    <cellStyle name="Besuchter Hyperlink" xfId="12" builtinId="9" hidden="1"/>
    <cellStyle name="Besuchter Hyperlink" xfId="10" builtinId="9" hidden="1"/>
    <cellStyle name="Besuchter Hyperlink" xfId="20" builtinId="9" hidden="1"/>
    <cellStyle name="Besuchter Hyperlink" xfId="8" builtinId="9" hidden="1"/>
    <cellStyle name="Besuchter Hyperlink" xfId="26" builtinId="9" hidden="1"/>
    <cellStyle name="Besuchter Hyperlink" xfId="28" builtinId="9" hidden="1"/>
    <cellStyle name="Besuchter Hyperlink" xfId="56" builtinId="9" hidden="1"/>
    <cellStyle name="Besuchter Hyperlink" xfId="22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48" builtinId="9" hidden="1"/>
    <cellStyle name="Besuchter Hyperlink" xfId="54" builtinId="9" hidden="1"/>
    <cellStyle name="Besuchter Hyperlink" xfId="36" builtinId="9" hidden="1"/>
    <cellStyle name="Besuchter Hyperlink" xfId="38" builtinId="9" hidden="1"/>
    <cellStyle name="Besuchter Hyperlink" xfId="50" builtinId="9" hidden="1"/>
    <cellStyle name="Besuchter Hyperlink" xfId="40" builtinId="9" hidden="1"/>
    <cellStyle name="Besuchter Hyperlink" xfId="52" builtinId="9" hidden="1"/>
    <cellStyle name="Besuchter Hyperlink" xfId="42" builtinId="9" hidden="1"/>
    <cellStyle name="Besuchter Hyperlink" xfId="46" builtinId="9" hidden="1"/>
    <cellStyle name="Besuchter Hyperlink" xfId="44" builtinId="9" hidden="1"/>
    <cellStyle name="Besuchter Hyperlink" xfId="24" builtinId="9" hidden="1"/>
    <cellStyle name="Besuchter Hyperlink" xfId="72" builtinId="9" hidden="1"/>
    <cellStyle name="Besuchter Hyperlink" xfId="66" builtinId="9" hidden="1"/>
    <cellStyle name="Besuchter Hyperlink" xfId="68" builtinId="9" hidden="1"/>
    <cellStyle name="Besuchter Hyperlink" xfId="60" builtinId="9" hidden="1"/>
    <cellStyle name="Besuchter Hyperlink" xfId="58" builtinId="9" hidden="1"/>
    <cellStyle name="Besuchter Hyperlink" xfId="70" builtinId="9" hidden="1"/>
    <cellStyle name="Besuchter Hyperlink" xfId="64" builtinId="9" hidden="1"/>
    <cellStyle name="Besuchter Hyperlink" xfId="74" builtinId="9" hidden="1"/>
    <cellStyle name="Besuchter Hyperlink" xfId="62" builtinId="9" hidden="1"/>
    <cellStyle name="Komma" xfId="1" builtinId="3"/>
    <cellStyle name="Link" xfId="15" builtinId="8" hidden="1"/>
    <cellStyle name="Link" xfId="11" builtinId="8" hidden="1"/>
    <cellStyle name="Link" xfId="13" builtinId="8" hidden="1"/>
    <cellStyle name="Link" xfId="45" builtinId="8" hidden="1"/>
    <cellStyle name="Link" xfId="21" builtinId="8" hidden="1"/>
    <cellStyle name="Link" xfId="37" builtinId="8" hidden="1"/>
    <cellStyle name="Link" xfId="23" builtinId="8" hidden="1"/>
    <cellStyle name="Link" xfId="3" builtinId="8" hidden="1"/>
    <cellStyle name="Link" xfId="7" builtinId="8" hidden="1"/>
    <cellStyle name="Link" xfId="25" builtinId="8" hidden="1"/>
    <cellStyle name="Link" xfId="9" builtinId="8" hidden="1"/>
    <cellStyle name="Link" xfId="35" builtinId="8" hidden="1"/>
    <cellStyle name="Link" xfId="47" builtinId="8" hidden="1"/>
    <cellStyle name="Link" xfId="69" builtinId="8" hidden="1"/>
    <cellStyle name="Link" xfId="53" builtinId="8" hidden="1"/>
    <cellStyle name="Link" xfId="51" builtinId="8" hidden="1"/>
    <cellStyle name="Link" xfId="17" builtinId="8" hidden="1"/>
    <cellStyle name="Link" xfId="5" builtinId="8" hidden="1"/>
    <cellStyle name="Link" xfId="27" builtinId="8" hidden="1"/>
    <cellStyle name="Link" xfId="71" builtinId="8" hidden="1"/>
    <cellStyle name="Link" xfId="33" builtinId="8" hidden="1"/>
    <cellStyle name="Link" xfId="19" builtinId="8" hidden="1"/>
    <cellStyle name="Link" xfId="39" builtinId="8" hidden="1"/>
    <cellStyle name="Link" xfId="65" builtinId="8" hidden="1"/>
    <cellStyle name="Link" xfId="43" builtinId="8" hidden="1"/>
    <cellStyle name="Link" xfId="61" builtinId="8" hidden="1"/>
    <cellStyle name="Link" xfId="63" builtinId="8" hidden="1"/>
    <cellStyle name="Link" xfId="41" builtinId="8" hidden="1"/>
    <cellStyle name="Link" xfId="29" builtinId="8" hidden="1"/>
    <cellStyle name="Link" xfId="73" builtinId="8" hidden="1"/>
    <cellStyle name="Link" xfId="31" builtinId="8" hidden="1"/>
    <cellStyle name="Link" xfId="67" builtinId="8" hidden="1"/>
    <cellStyle name="Link" xfId="57" builtinId="8" hidden="1"/>
    <cellStyle name="Link" xfId="49" builtinId="8" hidden="1"/>
    <cellStyle name="Link" xfId="55" builtinId="8" hidden="1"/>
    <cellStyle name="Link" xfId="59" builtinId="8" hidden="1"/>
    <cellStyle name="Prozent" xfId="2" builtinId="5"/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21402</xdr:colOff>
      <xdr:row>3</xdr:row>
      <xdr:rowOff>20320</xdr:rowOff>
    </xdr:from>
    <xdr:to>
      <xdr:col>23</xdr:col>
      <xdr:colOff>271780</xdr:colOff>
      <xdr:row>36</xdr:row>
      <xdr:rowOff>53340</xdr:rowOff>
    </xdr:to>
    <xdr:pic>
      <xdr:nvPicPr>
        <xdr:cNvPr id="2" name="Bild 1" descr="Bildschirmfoto 2013-05-30 um 09.14.3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9242" y="538480"/>
          <a:ext cx="4944298" cy="5062220"/>
        </a:xfrm>
        <a:prstGeom prst="rect">
          <a:avLst/>
        </a:prstGeom>
      </xdr:spPr>
    </xdr:pic>
    <xdr:clientData/>
  </xdr:twoCellAnchor>
  <xdr:twoCellAnchor editAs="oneCell">
    <xdr:from>
      <xdr:col>17</xdr:col>
      <xdr:colOff>223521</xdr:colOff>
      <xdr:row>35</xdr:row>
      <xdr:rowOff>144062</xdr:rowOff>
    </xdr:from>
    <xdr:to>
      <xdr:col>23</xdr:col>
      <xdr:colOff>274321</xdr:colOff>
      <xdr:row>40</xdr:row>
      <xdr:rowOff>121291</xdr:rowOff>
    </xdr:to>
    <xdr:pic>
      <xdr:nvPicPr>
        <xdr:cNvPr id="3" name="Bild 2" descr="Bildschirmfoto 2013-05-30 um 09.15.35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1921" y="5539022"/>
          <a:ext cx="4074160" cy="739229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</xdr:colOff>
      <xdr:row>41</xdr:row>
      <xdr:rowOff>62107</xdr:rowOff>
    </xdr:from>
    <xdr:to>
      <xdr:col>23</xdr:col>
      <xdr:colOff>182880</xdr:colOff>
      <xdr:row>51</xdr:row>
      <xdr:rowOff>15239</xdr:rowOff>
    </xdr:to>
    <xdr:pic>
      <xdr:nvPicPr>
        <xdr:cNvPr id="4" name="Bild 3" descr="Bildschirmfoto 2013-05-30 um 09.17.03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8320" y="6371467"/>
          <a:ext cx="4846320" cy="14771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21402</xdr:colOff>
      <xdr:row>3</xdr:row>
      <xdr:rowOff>20320</xdr:rowOff>
    </xdr:from>
    <xdr:to>
      <xdr:col>23</xdr:col>
      <xdr:colOff>271780</xdr:colOff>
      <xdr:row>36</xdr:row>
      <xdr:rowOff>53340</xdr:rowOff>
    </xdr:to>
    <xdr:pic>
      <xdr:nvPicPr>
        <xdr:cNvPr id="2" name="Bild 1" descr="Bildschirmfoto 2013-05-30 um 09.14.3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8002" y="541020"/>
          <a:ext cx="4962078" cy="5062220"/>
        </a:xfrm>
        <a:prstGeom prst="rect">
          <a:avLst/>
        </a:prstGeom>
      </xdr:spPr>
    </xdr:pic>
    <xdr:clientData/>
  </xdr:twoCellAnchor>
  <xdr:twoCellAnchor editAs="oneCell">
    <xdr:from>
      <xdr:col>17</xdr:col>
      <xdr:colOff>223521</xdr:colOff>
      <xdr:row>35</xdr:row>
      <xdr:rowOff>144062</xdr:rowOff>
    </xdr:from>
    <xdr:to>
      <xdr:col>23</xdr:col>
      <xdr:colOff>274321</xdr:colOff>
      <xdr:row>40</xdr:row>
      <xdr:rowOff>121291</xdr:rowOff>
    </xdr:to>
    <xdr:pic>
      <xdr:nvPicPr>
        <xdr:cNvPr id="3" name="Bild 2" descr="Bildschirmfoto 2013-05-30 um 09.15.35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3221" y="5541562"/>
          <a:ext cx="4089400" cy="739229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</xdr:colOff>
      <xdr:row>41</xdr:row>
      <xdr:rowOff>62107</xdr:rowOff>
    </xdr:from>
    <xdr:to>
      <xdr:col>23</xdr:col>
      <xdr:colOff>182880</xdr:colOff>
      <xdr:row>51</xdr:row>
      <xdr:rowOff>15239</xdr:rowOff>
    </xdr:to>
    <xdr:pic>
      <xdr:nvPicPr>
        <xdr:cNvPr id="4" name="Bild 3" descr="Bildschirmfoto 2013-05-30 um 09.17.03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7080" y="6374007"/>
          <a:ext cx="4864100" cy="147713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rank Helbig" id="{B1043325-4A2D-45F0-A7F6-FB2D52196231}" userId="S::frank.helbig@myclimate.org::d2bab62f-0f65-4171-b0d3-fd6e4a64dde2" providerId="AD"/>
</personList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1" dT="2022-07-27T15:27:59.06" personId="{B1043325-4A2D-45F0-A7F6-FB2D52196231}" id="{FDAA46AA-439D-4C27-B419-AC611FD14F47}">
    <text xml:space="preserve">aus 2018er Monitoring Survey
</text>
  </threadedComment>
  <threadedComment ref="F51" dT="2022-07-27T15:28:14.28" personId="{B1043325-4A2D-45F0-A7F6-FB2D52196231}" id="{65D373EB-B507-4469-B03D-C3438E24830D}">
    <text>aus 2018er monitoring survey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P41"/>
  <sheetViews>
    <sheetView zoomScale="125" workbookViewId="0">
      <selection activeCell="F7" sqref="F7:F9"/>
    </sheetView>
  </sheetViews>
  <sheetFormatPr baseColWidth="10" defaultColWidth="8.83203125" defaultRowHeight="13" x14ac:dyDescent="0.15"/>
  <cols>
    <col min="1" max="1" width="17.1640625" customWidth="1"/>
    <col min="2" max="4" width="9.6640625" customWidth="1"/>
    <col min="9" max="9" width="8.83203125" customWidth="1"/>
  </cols>
  <sheetData>
    <row r="1" spans="1:14" ht="18" x14ac:dyDescent="0.2">
      <c r="A1" s="9" t="s">
        <v>0</v>
      </c>
    </row>
    <row r="2" spans="1:14" x14ac:dyDescent="0.15">
      <c r="A2" s="10">
        <v>43584</v>
      </c>
    </row>
    <row r="5" spans="1:14" ht="18" x14ac:dyDescent="0.2">
      <c r="A5" s="9" t="s">
        <v>1</v>
      </c>
    </row>
    <row r="6" spans="1:14" x14ac:dyDescent="0.15">
      <c r="A6" s="14" t="s">
        <v>2</v>
      </c>
    </row>
    <row r="7" spans="1:14" x14ac:dyDescent="0.15">
      <c r="A7" s="24" t="s">
        <v>3</v>
      </c>
      <c r="B7" s="59">
        <v>2015</v>
      </c>
      <c r="C7" s="59">
        <v>2016</v>
      </c>
      <c r="D7" s="59">
        <v>2017</v>
      </c>
      <c r="E7" s="91">
        <v>2018</v>
      </c>
      <c r="F7" s="121">
        <v>2019</v>
      </c>
      <c r="G7" s="59">
        <v>2020</v>
      </c>
      <c r="H7" s="59">
        <v>2021</v>
      </c>
      <c r="I7" s="59">
        <v>2022</v>
      </c>
      <c r="J7" s="59">
        <v>2023</v>
      </c>
      <c r="K7" s="59">
        <v>2024</v>
      </c>
      <c r="L7" s="60" t="s">
        <v>4</v>
      </c>
      <c r="M7" s="61"/>
      <c r="N7" s="14"/>
    </row>
    <row r="8" spans="1:14" ht="14" thickBot="1" x14ac:dyDescent="0.2">
      <c r="A8" s="1" t="str">
        <f>number_of_CFLs!A5</f>
        <v>Antananarivo</v>
      </c>
      <c r="B8" s="62">
        <f>ER_Antananarivo!B58</f>
        <v>6928.8674331963539</v>
      </c>
      <c r="C8" s="62">
        <f>ER_Antananarivo!C58</f>
        <v>6391.2828909656027</v>
      </c>
      <c r="D8" s="62">
        <f>ER_Antananarivo!D58</f>
        <v>5853.6983487348498</v>
      </c>
      <c r="E8" s="92">
        <f>ER_Antananarivo!E58</f>
        <v>4808.3950721750562</v>
      </c>
      <c r="F8" s="122">
        <f>ER_Antananarivo!F58</f>
        <v>4143.8808463620435</v>
      </c>
      <c r="G8" s="62">
        <f>ER_Antananarivo!G58</f>
        <v>0</v>
      </c>
      <c r="H8" s="62">
        <f>ER_Antananarivo!H58</f>
        <v>0</v>
      </c>
      <c r="I8" s="62">
        <f>ER_Antananarivo!I58</f>
        <v>0</v>
      </c>
      <c r="J8" s="62">
        <f>ER_Antananarivo!J58</f>
        <v>0</v>
      </c>
      <c r="K8" s="62">
        <f>ER_Antananarivo!K58</f>
        <v>0</v>
      </c>
      <c r="L8" s="63">
        <f>SUM(B8:K8)</f>
        <v>28126.124591433905</v>
      </c>
      <c r="M8" s="61"/>
    </row>
    <row r="9" spans="1:14" ht="14" thickBot="1" x14ac:dyDescent="0.2">
      <c r="A9" s="15" t="s">
        <v>5</v>
      </c>
      <c r="B9" s="64">
        <f t="shared" ref="B9:K9" si="0">SUM(B8:B8)</f>
        <v>6928.8674331963539</v>
      </c>
      <c r="C9" s="64">
        <f t="shared" si="0"/>
        <v>6391.2828909656027</v>
      </c>
      <c r="D9" s="64" t="s">
        <v>6</v>
      </c>
      <c r="E9" s="93">
        <f t="shared" si="0"/>
        <v>4808.3950721750562</v>
      </c>
      <c r="F9" s="123">
        <f t="shared" si="0"/>
        <v>4143.8808463620435</v>
      </c>
      <c r="G9" s="64"/>
      <c r="H9" s="64">
        <f t="shared" si="0"/>
        <v>0</v>
      </c>
      <c r="I9" s="64">
        <f t="shared" si="0"/>
        <v>0</v>
      </c>
      <c r="J9" s="64">
        <f t="shared" si="0"/>
        <v>0</v>
      </c>
      <c r="K9" s="64">
        <f t="shared" si="0"/>
        <v>0</v>
      </c>
      <c r="L9" s="65">
        <f>SUM(B9:K9)</f>
        <v>22272.426242699057</v>
      </c>
      <c r="M9" s="66" t="s">
        <v>7</v>
      </c>
    </row>
    <row r="10" spans="1:14" ht="14" thickBot="1" x14ac:dyDescent="0.2">
      <c r="B10" s="6"/>
      <c r="C10" s="67"/>
      <c r="D10" s="67"/>
      <c r="E10" s="67"/>
      <c r="F10" s="67"/>
      <c r="G10" s="67"/>
      <c r="H10" s="67"/>
      <c r="I10" s="67"/>
      <c r="J10" s="61" t="s">
        <v>8</v>
      </c>
      <c r="K10" s="67"/>
      <c r="L10" s="68">
        <f>L9/7</f>
        <v>3181.7751775284369</v>
      </c>
      <c r="M10" s="69" t="s">
        <v>7</v>
      </c>
    </row>
    <row r="11" spans="1:14" x14ac:dyDescent="0.1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3" spans="1:14" ht="16" x14ac:dyDescent="0.2">
      <c r="A13" s="58" t="s">
        <v>9</v>
      </c>
    </row>
    <row r="14" spans="1:14" ht="16" x14ac:dyDescent="0.2">
      <c r="A14" s="58"/>
    </row>
    <row r="15" spans="1:14" x14ac:dyDescent="0.15">
      <c r="A15" s="70" t="s">
        <v>10</v>
      </c>
      <c r="B15" s="70" t="s">
        <v>11</v>
      </c>
      <c r="C15" s="70" t="s">
        <v>12</v>
      </c>
      <c r="D15" s="70" t="s">
        <v>13</v>
      </c>
      <c r="E15" s="70" t="s">
        <v>14</v>
      </c>
    </row>
    <row r="16" spans="1:14" x14ac:dyDescent="0.15">
      <c r="A16">
        <v>2018</v>
      </c>
      <c r="B16" s="6">
        <f>ER_Antananarivo!C76</f>
        <v>7989.5924168460797</v>
      </c>
      <c r="C16" s="6">
        <f>ER_Antananarivo!B76</f>
        <v>2135.8940681112281</v>
      </c>
      <c r="D16">
        <v>0</v>
      </c>
      <c r="E16" s="6">
        <f>B16-C16-D16</f>
        <v>5853.6983487348516</v>
      </c>
    </row>
    <row r="17" spans="1:16" x14ac:dyDescent="0.15">
      <c r="A17" s="71" t="s">
        <v>4</v>
      </c>
      <c r="B17" s="72">
        <f>B16</f>
        <v>7989.5924168460797</v>
      </c>
      <c r="C17" s="72">
        <f t="shared" ref="C17:E17" si="1">C16</f>
        <v>2135.8940681112281</v>
      </c>
      <c r="D17" s="72">
        <f t="shared" si="1"/>
        <v>0</v>
      </c>
      <c r="E17" s="72">
        <f t="shared" si="1"/>
        <v>5853.6983487348516</v>
      </c>
    </row>
    <row r="29" spans="1:16" x14ac:dyDescent="0.15">
      <c r="A29" s="13"/>
    </row>
    <row r="30" spans="1:16" x14ac:dyDescent="0.15">
      <c r="N30" s="5"/>
      <c r="O30" s="5"/>
      <c r="P30" s="5"/>
    </row>
    <row r="31" spans="1:16" x14ac:dyDescent="0.15">
      <c r="A31" s="14"/>
      <c r="N31" s="5"/>
      <c r="O31" s="5"/>
      <c r="P31" s="5"/>
    </row>
    <row r="32" spans="1:16" x14ac:dyDescent="0.15">
      <c r="A32" s="13"/>
      <c r="N32" s="5"/>
      <c r="O32" s="5"/>
      <c r="P32" s="5"/>
    </row>
    <row r="34" spans="14:14" x14ac:dyDescent="0.15">
      <c r="N34" s="8"/>
    </row>
    <row r="35" spans="14:14" x14ac:dyDescent="0.15">
      <c r="N35" s="8"/>
    </row>
    <row r="37" spans="14:14" x14ac:dyDescent="0.15">
      <c r="N37" s="8"/>
    </row>
    <row r="38" spans="14:14" x14ac:dyDescent="0.15">
      <c r="N38" s="8"/>
    </row>
    <row r="39" spans="14:14" x14ac:dyDescent="0.15">
      <c r="N39" s="8"/>
    </row>
    <row r="40" spans="14:14" x14ac:dyDescent="0.15">
      <c r="N40" s="8"/>
    </row>
    <row r="41" spans="14:14" x14ac:dyDescent="0.15">
      <c r="N41" s="8"/>
    </row>
  </sheetData>
  <pageMargins left="0.75000000000000011" right="0.75000000000000011" top="0.98" bottom="0.98" header="0.5" footer="0.5"/>
  <pageSetup paperSize="10" scale="81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P118"/>
  <sheetViews>
    <sheetView tabSelected="1" topLeftCell="A73" zoomScale="125" workbookViewId="0">
      <selection activeCell="M88" sqref="M88"/>
    </sheetView>
  </sheetViews>
  <sheetFormatPr baseColWidth="10" defaultColWidth="8.83203125" defaultRowHeight="13" x14ac:dyDescent="0.15"/>
  <cols>
    <col min="1" max="1" width="17.1640625" customWidth="1"/>
    <col min="2" max="2" width="10.33203125" bestFit="1" customWidth="1"/>
    <col min="3" max="3" width="9.83203125" bestFit="1" customWidth="1"/>
    <col min="4" max="4" width="12" customWidth="1"/>
    <col min="5" max="6" width="10" customWidth="1"/>
    <col min="9" max="9" width="8.83203125" customWidth="1"/>
    <col min="14" max="14" width="10.83203125" customWidth="1"/>
  </cols>
  <sheetData>
    <row r="1" spans="1:15" ht="18" x14ac:dyDescent="0.2">
      <c r="A1" s="9" t="s">
        <v>15</v>
      </c>
    </row>
    <row r="2" spans="1:15" x14ac:dyDescent="0.15">
      <c r="A2" s="96" t="s">
        <v>16</v>
      </c>
    </row>
    <row r="3" spans="1:15" x14ac:dyDescent="0.15">
      <c r="A3" s="10"/>
    </row>
    <row r="5" spans="1:15" ht="15" x14ac:dyDescent="0.2">
      <c r="A5" t="s">
        <v>17</v>
      </c>
    </row>
    <row r="7" spans="1:15" ht="15" x14ac:dyDescent="0.2">
      <c r="A7" t="s">
        <v>18</v>
      </c>
    </row>
    <row r="9" spans="1:15" ht="15" x14ac:dyDescent="0.2">
      <c r="A9" s="14" t="s">
        <v>19</v>
      </c>
      <c r="G9" s="14" t="s">
        <v>20</v>
      </c>
      <c r="H9" s="14" t="s">
        <v>21</v>
      </c>
      <c r="I9" s="14" t="s">
        <v>22</v>
      </c>
      <c r="J9" s="14" t="s">
        <v>23</v>
      </c>
      <c r="K9" s="14" t="s">
        <v>24</v>
      </c>
    </row>
    <row r="10" spans="1:15" ht="15" x14ac:dyDescent="0.2">
      <c r="A10" t="s">
        <v>25</v>
      </c>
      <c r="G10">
        <v>1</v>
      </c>
      <c r="H10" s="8">
        <f>G10*$B$19</f>
        <v>1277.5</v>
      </c>
      <c r="I10" s="6">
        <f>B21</f>
        <v>10000</v>
      </c>
      <c r="J10" t="s">
        <v>26</v>
      </c>
      <c r="K10" t="s">
        <v>27</v>
      </c>
      <c r="M10" s="34">
        <f>E42</f>
        <v>518248</v>
      </c>
      <c r="N10" s="32" t="s">
        <v>28</v>
      </c>
      <c r="O10" s="33"/>
    </row>
    <row r="11" spans="1:15" ht="15" x14ac:dyDescent="0.2">
      <c r="A11" t="s">
        <v>29</v>
      </c>
      <c r="G11">
        <v>2</v>
      </c>
      <c r="H11" s="8">
        <f t="shared" ref="H11:H19" si="0">G11*$B$19</f>
        <v>2555</v>
      </c>
      <c r="I11" s="6">
        <f>I10</f>
        <v>10000</v>
      </c>
      <c r="J11" t="s">
        <v>26</v>
      </c>
      <c r="K11" t="s">
        <v>27</v>
      </c>
    </row>
    <row r="12" spans="1:15" x14ac:dyDescent="0.15">
      <c r="G12">
        <v>3</v>
      </c>
      <c r="H12" s="8">
        <f t="shared" si="0"/>
        <v>3832.5</v>
      </c>
      <c r="I12" s="6">
        <f t="shared" ref="I12:I19" si="1">I11</f>
        <v>10000</v>
      </c>
      <c r="J12" t="s">
        <v>26</v>
      </c>
      <c r="K12" t="s">
        <v>27</v>
      </c>
      <c r="M12" s="34">
        <f>B33</f>
        <v>434291.82399999996</v>
      </c>
      <c r="N12" s="32" t="s">
        <v>30</v>
      </c>
      <c r="O12" s="33"/>
    </row>
    <row r="13" spans="1:15" ht="15" x14ac:dyDescent="0.2">
      <c r="A13" t="s">
        <v>31</v>
      </c>
      <c r="G13">
        <v>4</v>
      </c>
      <c r="H13" s="8">
        <f t="shared" si="0"/>
        <v>5110</v>
      </c>
      <c r="I13" s="6">
        <f t="shared" si="1"/>
        <v>10000</v>
      </c>
      <c r="J13" t="s">
        <v>26</v>
      </c>
      <c r="K13" t="s">
        <v>27</v>
      </c>
    </row>
    <row r="14" spans="1:15" x14ac:dyDescent="0.15">
      <c r="G14">
        <v>5</v>
      </c>
      <c r="H14" s="8">
        <f t="shared" si="0"/>
        <v>6387.5</v>
      </c>
      <c r="I14" s="6">
        <f t="shared" si="1"/>
        <v>10000</v>
      </c>
      <c r="J14" t="s">
        <v>26</v>
      </c>
      <c r="K14" t="s">
        <v>27</v>
      </c>
    </row>
    <row r="15" spans="1:15" ht="15" x14ac:dyDescent="0.2">
      <c r="A15" t="s">
        <v>32</v>
      </c>
      <c r="B15">
        <v>3.5</v>
      </c>
      <c r="G15">
        <v>6</v>
      </c>
      <c r="H15" s="8">
        <f t="shared" si="0"/>
        <v>7665</v>
      </c>
      <c r="I15" s="6">
        <f t="shared" si="1"/>
        <v>10000</v>
      </c>
      <c r="J15" t="s">
        <v>26</v>
      </c>
      <c r="K15" t="s">
        <v>27</v>
      </c>
    </row>
    <row r="16" spans="1:15" ht="15" x14ac:dyDescent="0.2">
      <c r="A16" t="s">
        <v>33</v>
      </c>
      <c r="B16" s="12">
        <f>1/(1-(0.1))</f>
        <v>1.1111111111111112</v>
      </c>
      <c r="C16" t="s">
        <v>34</v>
      </c>
      <c r="G16">
        <v>7</v>
      </c>
      <c r="H16" s="8">
        <f t="shared" si="0"/>
        <v>8942.5</v>
      </c>
      <c r="I16" s="6">
        <f t="shared" si="1"/>
        <v>10000</v>
      </c>
      <c r="J16" t="s">
        <v>26</v>
      </c>
      <c r="K16" t="s">
        <v>27</v>
      </c>
    </row>
    <row r="17" spans="1:12" x14ac:dyDescent="0.15">
      <c r="A17" t="s">
        <v>35</v>
      </c>
      <c r="B17">
        <v>0.95</v>
      </c>
      <c r="G17">
        <v>8</v>
      </c>
      <c r="H17" s="8">
        <f t="shared" si="0"/>
        <v>10220</v>
      </c>
      <c r="I17" s="6">
        <f t="shared" si="1"/>
        <v>10000</v>
      </c>
      <c r="J17" t="s">
        <v>27</v>
      </c>
      <c r="K17" t="s">
        <v>36</v>
      </c>
    </row>
    <row r="18" spans="1:12" x14ac:dyDescent="0.15">
      <c r="A18" t="s">
        <v>37</v>
      </c>
      <c r="B18">
        <v>1</v>
      </c>
      <c r="G18">
        <v>9</v>
      </c>
      <c r="H18" s="8">
        <f t="shared" si="0"/>
        <v>11497.5</v>
      </c>
      <c r="I18" s="6">
        <f t="shared" si="1"/>
        <v>10000</v>
      </c>
      <c r="J18" t="s">
        <v>27</v>
      </c>
      <c r="K18" t="s">
        <v>36</v>
      </c>
    </row>
    <row r="19" spans="1:12" ht="15" x14ac:dyDescent="0.2">
      <c r="A19" t="s">
        <v>38</v>
      </c>
      <c r="B19">
        <f>$B$15*365</f>
        <v>1277.5</v>
      </c>
      <c r="G19">
        <v>10</v>
      </c>
      <c r="H19" s="8">
        <f t="shared" si="0"/>
        <v>12775</v>
      </c>
      <c r="I19" s="6">
        <f t="shared" si="1"/>
        <v>10000</v>
      </c>
      <c r="J19" t="s">
        <v>27</v>
      </c>
      <c r="K19" t="s">
        <v>36</v>
      </c>
    </row>
    <row r="20" spans="1:12" ht="15" x14ac:dyDescent="0.2">
      <c r="A20" t="s">
        <v>39</v>
      </c>
      <c r="B20">
        <v>50</v>
      </c>
    </row>
    <row r="21" spans="1:12" ht="15" x14ac:dyDescent="0.2">
      <c r="A21" t="s">
        <v>40</v>
      </c>
      <c r="B21" s="6">
        <v>10000</v>
      </c>
    </row>
    <row r="22" spans="1:12" ht="15" x14ac:dyDescent="0.2">
      <c r="A22" t="s">
        <v>41</v>
      </c>
      <c r="B22" s="42">
        <v>0.58899999999999997</v>
      </c>
      <c r="C22" t="s">
        <v>42</v>
      </c>
    </row>
    <row r="23" spans="1:12" x14ac:dyDescent="0.15">
      <c r="A23" t="s">
        <v>43</v>
      </c>
      <c r="B23" s="21" t="s">
        <v>44</v>
      </c>
    </row>
    <row r="24" spans="1:12" x14ac:dyDescent="0.15">
      <c r="B24" s="21"/>
    </row>
    <row r="25" spans="1:12" x14ac:dyDescent="0.15">
      <c r="A25" s="129" t="s">
        <v>1</v>
      </c>
      <c r="B25" s="130"/>
      <c r="C25" s="130"/>
      <c r="D25" s="130"/>
      <c r="E25" s="131"/>
    </row>
    <row r="26" spans="1:12" ht="15" x14ac:dyDescent="0.2">
      <c r="A26" s="25" t="s">
        <v>45</v>
      </c>
      <c r="B26" t="s">
        <v>46</v>
      </c>
      <c r="C26" t="s">
        <v>47</v>
      </c>
      <c r="D26" t="s">
        <v>48</v>
      </c>
      <c r="E26" s="26" t="s">
        <v>49</v>
      </c>
      <c r="L26" s="14"/>
    </row>
    <row r="27" spans="1:12" x14ac:dyDescent="0.15">
      <c r="A27" s="27">
        <v>230</v>
      </c>
      <c r="B27" s="8">
        <f>D36</f>
        <v>2626.2919999999999</v>
      </c>
      <c r="C27">
        <v>25</v>
      </c>
      <c r="D27">
        <v>14</v>
      </c>
      <c r="E27" s="54">
        <f t="shared" ref="E27:E31" si="2">(C27-D27)*$B$15*365/1000/1000</f>
        <v>1.4052500000000001E-2</v>
      </c>
    </row>
    <row r="28" spans="1:12" x14ac:dyDescent="0.15">
      <c r="A28" s="27">
        <v>415</v>
      </c>
      <c r="B28" s="8">
        <f t="shared" ref="B28:B31" si="3">D37</f>
        <v>88888.335999999996</v>
      </c>
      <c r="C28">
        <v>40</v>
      </c>
      <c r="D28">
        <v>14</v>
      </c>
      <c r="E28" s="26">
        <f t="shared" si="2"/>
        <v>3.3215000000000001E-2</v>
      </c>
    </row>
    <row r="29" spans="1:12" x14ac:dyDescent="0.15">
      <c r="A29" s="27">
        <v>715</v>
      </c>
      <c r="B29" s="8">
        <f t="shared" si="3"/>
        <v>153492.26999999999</v>
      </c>
      <c r="C29">
        <v>60</v>
      </c>
      <c r="D29">
        <v>14</v>
      </c>
      <c r="E29" s="26">
        <f t="shared" si="2"/>
        <v>5.8764999999999998E-2</v>
      </c>
    </row>
    <row r="30" spans="1:12" x14ac:dyDescent="0.15">
      <c r="A30" s="27">
        <v>940</v>
      </c>
      <c r="B30" s="8">
        <f t="shared" si="3"/>
        <v>136888.13800000001</v>
      </c>
      <c r="C30">
        <v>0</v>
      </c>
      <c r="D30">
        <v>0</v>
      </c>
      <c r="E30" s="26">
        <f t="shared" si="2"/>
        <v>0</v>
      </c>
    </row>
    <row r="31" spans="1:12" x14ac:dyDescent="0.15">
      <c r="A31" s="27">
        <v>1350</v>
      </c>
      <c r="B31" s="8">
        <f t="shared" si="3"/>
        <v>52396.788</v>
      </c>
      <c r="C31">
        <v>0</v>
      </c>
      <c r="D31">
        <v>0</v>
      </c>
      <c r="E31" s="26">
        <f t="shared" si="2"/>
        <v>0</v>
      </c>
      <c r="L31" s="19"/>
    </row>
    <row r="32" spans="1:12" x14ac:dyDescent="0.15">
      <c r="A32" s="27"/>
      <c r="E32" s="26"/>
      <c r="L32" s="19"/>
    </row>
    <row r="33" spans="1:12" x14ac:dyDescent="0.15">
      <c r="A33" s="27" t="s">
        <v>50</v>
      </c>
      <c r="B33" s="56">
        <f>SUM(B27:B32)</f>
        <v>434291.82399999996</v>
      </c>
      <c r="E33" s="26"/>
      <c r="L33" s="20"/>
    </row>
    <row r="34" spans="1:12" x14ac:dyDescent="0.15">
      <c r="A34" s="25"/>
      <c r="E34" s="26"/>
      <c r="L34" s="20"/>
    </row>
    <row r="35" spans="1:12" x14ac:dyDescent="0.15">
      <c r="A35" s="25" t="s">
        <v>51</v>
      </c>
      <c r="D35" t="s">
        <v>52</v>
      </c>
      <c r="E35" s="26" t="s">
        <v>53</v>
      </c>
      <c r="F35" t="s">
        <v>54</v>
      </c>
      <c r="L35" s="20"/>
    </row>
    <row r="36" spans="1:12" x14ac:dyDescent="0.15">
      <c r="A36" s="25" t="s">
        <v>55</v>
      </c>
      <c r="B36" s="20">
        <f>E36/$E$42</f>
        <v>6.0472978188048964E-3</v>
      </c>
      <c r="C36" s="28"/>
      <c r="D36" s="8">
        <f>$E$42*B36*(1-$E$45)</f>
        <v>2626.2919999999999</v>
      </c>
      <c r="E36" s="55">
        <v>3134</v>
      </c>
      <c r="F36" t="s">
        <v>56</v>
      </c>
      <c r="L36" s="20"/>
    </row>
    <row r="37" spans="1:12" x14ac:dyDescent="0.15">
      <c r="A37" s="25" t="s">
        <v>57</v>
      </c>
      <c r="B37" s="20">
        <f t="shared" ref="B37:B40" si="4">E37/$E$42</f>
        <v>0.20467421003071889</v>
      </c>
      <c r="C37" s="28"/>
      <c r="D37" s="8">
        <f>$E$42*B37*(1-$E$45)</f>
        <v>88888.335999999996</v>
      </c>
      <c r="E37" s="55">
        <v>106072</v>
      </c>
      <c r="F37" t="s">
        <v>56</v>
      </c>
      <c r="L37" s="20"/>
    </row>
    <row r="38" spans="1:12" x14ac:dyDescent="0.15">
      <c r="A38" s="25" t="s">
        <v>58</v>
      </c>
      <c r="B38" s="20">
        <f t="shared" si="4"/>
        <v>0.35343117580772138</v>
      </c>
      <c r="C38" s="28"/>
      <c r="D38" s="8">
        <f>$E$42*B38*(1-$E$45)</f>
        <v>153492.26999999999</v>
      </c>
      <c r="E38" s="55">
        <v>183165</v>
      </c>
      <c r="F38" t="s">
        <v>56</v>
      </c>
      <c r="L38" s="20"/>
    </row>
    <row r="39" spans="1:12" x14ac:dyDescent="0.15">
      <c r="A39" s="25" t="s">
        <v>59</v>
      </c>
      <c r="B39" s="20">
        <f t="shared" si="4"/>
        <v>0.31519851499668111</v>
      </c>
      <c r="C39" s="28"/>
      <c r="D39" s="8">
        <f>$E$42*B39*(1-$E$45)</f>
        <v>136888.13800000001</v>
      </c>
      <c r="E39" s="55">
        <v>163351</v>
      </c>
      <c r="F39" t="s">
        <v>56</v>
      </c>
      <c r="L39" s="20"/>
    </row>
    <row r="40" spans="1:12" x14ac:dyDescent="0.15">
      <c r="A40" s="25" t="s">
        <v>60</v>
      </c>
      <c r="B40" s="20">
        <f t="shared" si="4"/>
        <v>0.1206488013460737</v>
      </c>
      <c r="C40" s="28"/>
      <c r="D40" s="8">
        <f>$E$42*B40*(1-$E$45)</f>
        <v>52396.788</v>
      </c>
      <c r="E40" s="55">
        <v>62526</v>
      </c>
      <c r="F40" t="s">
        <v>56</v>
      </c>
      <c r="L40" s="20"/>
    </row>
    <row r="41" spans="1:12" x14ac:dyDescent="0.15">
      <c r="A41" s="25"/>
      <c r="B41" s="28"/>
      <c r="C41" s="28"/>
      <c r="D41" s="8"/>
      <c r="E41" s="26"/>
      <c r="L41" s="20"/>
    </row>
    <row r="42" spans="1:12" x14ac:dyDescent="0.15">
      <c r="A42" s="25" t="s">
        <v>50</v>
      </c>
      <c r="B42" s="28">
        <f>SUM(B36:B41)</f>
        <v>0.99999999999999989</v>
      </c>
      <c r="D42" s="8">
        <f>SUM(D36:D40)</f>
        <v>434291.82399999996</v>
      </c>
      <c r="E42" s="55">
        <f>SUM(E36:E40)</f>
        <v>518248</v>
      </c>
      <c r="L42" s="20"/>
    </row>
    <row r="43" spans="1:12" x14ac:dyDescent="0.15">
      <c r="A43" s="29"/>
      <c r="B43" s="30"/>
      <c r="C43" s="30"/>
      <c r="D43" s="30"/>
      <c r="E43" s="31"/>
      <c r="L43" s="20"/>
    </row>
    <row r="45" spans="1:12" x14ac:dyDescent="0.15">
      <c r="A45" s="39" t="s">
        <v>61</v>
      </c>
      <c r="E45" s="82">
        <v>0.16200000000000001</v>
      </c>
      <c r="F45" t="s">
        <v>62</v>
      </c>
    </row>
    <row r="48" spans="1:12" x14ac:dyDescent="0.15">
      <c r="A48" s="14" t="s">
        <v>63</v>
      </c>
    </row>
    <row r="49" spans="1:16" x14ac:dyDescent="0.15">
      <c r="A49" s="14"/>
      <c r="B49">
        <v>2015</v>
      </c>
      <c r="C49">
        <v>2016</v>
      </c>
      <c r="D49" s="97">
        <v>2017</v>
      </c>
      <c r="E49" s="97">
        <v>2018</v>
      </c>
      <c r="F49" s="106">
        <v>2019</v>
      </c>
      <c r="G49" s="105">
        <v>2020</v>
      </c>
      <c r="H49">
        <v>2021</v>
      </c>
      <c r="I49">
        <v>2022</v>
      </c>
      <c r="J49">
        <v>2023</v>
      </c>
      <c r="K49">
        <v>2024</v>
      </c>
    </row>
    <row r="50" spans="1:16" x14ac:dyDescent="0.15">
      <c r="A50" s="1" t="s">
        <v>64</v>
      </c>
      <c r="B50" s="1">
        <v>1</v>
      </c>
      <c r="C50" s="1">
        <v>2</v>
      </c>
      <c r="D50" s="98">
        <v>3</v>
      </c>
      <c r="E50" s="98">
        <v>4</v>
      </c>
      <c r="F50" s="107">
        <v>5</v>
      </c>
      <c r="G50" s="1">
        <v>6</v>
      </c>
      <c r="H50" s="1">
        <v>7</v>
      </c>
      <c r="I50" s="1">
        <v>8</v>
      </c>
      <c r="J50" s="1">
        <v>9</v>
      </c>
      <c r="K50" s="1">
        <v>10</v>
      </c>
      <c r="L50" t="s">
        <v>4</v>
      </c>
    </row>
    <row r="51" spans="1:16" x14ac:dyDescent="0.15">
      <c r="A51" s="1" t="s">
        <v>65</v>
      </c>
      <c r="B51" s="57">
        <v>7.1999999999999995E-2</v>
      </c>
      <c r="C51" s="57">
        <f>$B$51*C50</f>
        <v>0.14399999999999999</v>
      </c>
      <c r="D51" s="94">
        <f t="shared" ref="D51" si="5">$B$51*D50</f>
        <v>0.21599999999999997</v>
      </c>
      <c r="E51" s="110">
        <v>0.35599999999999998</v>
      </c>
      <c r="F51" s="110">
        <v>0.44500000000000001</v>
      </c>
      <c r="G51" s="57"/>
      <c r="H51" s="57"/>
      <c r="I51" s="57"/>
      <c r="J51" s="57"/>
      <c r="K51" s="57"/>
    </row>
    <row r="52" spans="1:16" x14ac:dyDescent="0.15">
      <c r="A52" s="3" t="s">
        <v>66</v>
      </c>
      <c r="B52" s="4">
        <f>IF(B$51&lt;50%,$B27*$E27*(1-B$51)*$B$16*$B$17,0)</f>
        <v>36.151446310808893</v>
      </c>
      <c r="C52" s="4">
        <f t="shared" ref="C52:K52" si="6">IF(C$51&lt;50%,$B27*$E27*(1-C$51)*$B$16*$B$17,0)</f>
        <v>33.346592717728889</v>
      </c>
      <c r="D52" s="4">
        <f t="shared" si="6"/>
        <v>30.541739124648888</v>
      </c>
      <c r="E52" s="4">
        <f t="shared" si="6"/>
        <v>25.087857138104443</v>
      </c>
      <c r="F52" s="74">
        <f t="shared" si="6"/>
        <v>21.620746446658334</v>
      </c>
      <c r="G52" s="4">
        <f t="shared" si="6"/>
        <v>38.95629990388889</v>
      </c>
      <c r="H52" s="4">
        <f t="shared" si="6"/>
        <v>38.95629990388889</v>
      </c>
      <c r="I52" s="4">
        <f t="shared" si="6"/>
        <v>38.95629990388889</v>
      </c>
      <c r="J52" s="4">
        <f t="shared" si="6"/>
        <v>38.95629990388889</v>
      </c>
      <c r="K52" s="4">
        <f t="shared" si="6"/>
        <v>38.95629990388889</v>
      </c>
      <c r="L52" s="11">
        <f t="shared" ref="L52:L58" si="7">SUM(B52:K52)</f>
        <v>341.52988125739387</v>
      </c>
    </row>
    <row r="53" spans="1:16" x14ac:dyDescent="0.15">
      <c r="A53" s="3" t="s">
        <v>67</v>
      </c>
      <c r="B53" s="4">
        <f t="shared" ref="B53:K53" si="8">IF(B$51&lt;50%,$B28*$E28*(1-B$51)*$B$16*$B$17,0)</f>
        <v>2892.0653692662045</v>
      </c>
      <c r="C53" s="4">
        <f t="shared" si="8"/>
        <v>2667.6809871679643</v>
      </c>
      <c r="D53" s="4">
        <f t="shared" si="8"/>
        <v>2443.2966050697241</v>
      </c>
      <c r="E53" s="4">
        <f t="shared" si="8"/>
        <v>2006.9936398787024</v>
      </c>
      <c r="F53" s="74">
        <f t="shared" si="8"/>
        <v>1729.6296120072666</v>
      </c>
      <c r="G53" s="4">
        <f t="shared" si="8"/>
        <v>3116.4497513644442</v>
      </c>
      <c r="H53" s="4">
        <f t="shared" si="8"/>
        <v>3116.4497513644442</v>
      </c>
      <c r="I53" s="4">
        <f t="shared" si="8"/>
        <v>3116.4497513644442</v>
      </c>
      <c r="J53" s="4">
        <f t="shared" si="8"/>
        <v>3116.4497513644442</v>
      </c>
      <c r="K53" s="4">
        <f t="shared" si="8"/>
        <v>3116.4497513644442</v>
      </c>
      <c r="L53" s="11">
        <f t="shared" si="7"/>
        <v>27321.914970212085</v>
      </c>
      <c r="M53" s="5"/>
      <c r="N53" s="5"/>
      <c r="O53" s="5"/>
      <c r="P53" s="5"/>
    </row>
    <row r="54" spans="1:16" x14ac:dyDescent="0.15">
      <c r="A54" s="3" t="s">
        <v>68</v>
      </c>
      <c r="B54" s="4">
        <f>IF(B$51&lt;50%,$B29*$E29*(1-B$51)*$B$16*$B$17,0)</f>
        <v>8835.5649046205326</v>
      </c>
      <c r="C54" s="4">
        <f t="shared" ref="C54:K54" si="9">IF(C$51&lt;50%,$B29*$E29*(1-C$51)*$B$16*$B$17,0)</f>
        <v>8150.0469378827329</v>
      </c>
      <c r="D54" s="4">
        <f t="shared" si="9"/>
        <v>7464.5289711449323</v>
      </c>
      <c r="E54" s="4">
        <f t="shared" si="9"/>
        <v>6131.5773691547656</v>
      </c>
      <c r="F54" s="74">
        <f t="shared" si="9"/>
        <v>5284.200993603873</v>
      </c>
      <c r="G54" s="4">
        <f t="shared" si="9"/>
        <v>9521.0828713583305</v>
      </c>
      <c r="H54" s="4">
        <f t="shared" si="9"/>
        <v>9521.0828713583305</v>
      </c>
      <c r="I54" s="4">
        <f t="shared" si="9"/>
        <v>9521.0828713583305</v>
      </c>
      <c r="J54" s="4">
        <f t="shared" si="9"/>
        <v>9521.0828713583305</v>
      </c>
      <c r="K54" s="4">
        <f t="shared" si="9"/>
        <v>9521.0828713583305</v>
      </c>
      <c r="L54" s="11">
        <f t="shared" si="7"/>
        <v>83471.3335331985</v>
      </c>
      <c r="M54" s="5"/>
      <c r="N54" s="5"/>
      <c r="O54" s="5"/>
      <c r="P54" s="5"/>
    </row>
    <row r="55" spans="1:16" x14ac:dyDescent="0.15">
      <c r="A55" s="3" t="s">
        <v>69</v>
      </c>
      <c r="B55" s="4">
        <f t="shared" ref="B55:K56" si="10">IF(B$51&lt;50%,$B30*$E30*(1-B$51)*$B$16*$B$17,0)</f>
        <v>0</v>
      </c>
      <c r="C55" s="4">
        <f t="shared" si="10"/>
        <v>0</v>
      </c>
      <c r="D55" s="4">
        <f t="shared" si="10"/>
        <v>0</v>
      </c>
      <c r="E55" s="4">
        <f t="shared" si="10"/>
        <v>0</v>
      </c>
      <c r="F55" s="74">
        <f t="shared" si="10"/>
        <v>0</v>
      </c>
      <c r="G55" s="4">
        <f t="shared" si="10"/>
        <v>0</v>
      </c>
      <c r="H55" s="4">
        <f t="shared" si="10"/>
        <v>0</v>
      </c>
      <c r="I55" s="4">
        <f t="shared" si="10"/>
        <v>0</v>
      </c>
      <c r="J55" s="4">
        <f t="shared" si="10"/>
        <v>0</v>
      </c>
      <c r="K55" s="4">
        <f t="shared" si="10"/>
        <v>0</v>
      </c>
      <c r="L55" s="11">
        <f t="shared" si="7"/>
        <v>0</v>
      </c>
      <c r="M55" s="5"/>
      <c r="N55" s="5"/>
      <c r="O55" s="5"/>
      <c r="P55" s="5"/>
    </row>
    <row r="56" spans="1:16" x14ac:dyDescent="0.15">
      <c r="A56" s="3" t="s">
        <v>70</v>
      </c>
      <c r="B56" s="4">
        <f t="shared" si="10"/>
        <v>0</v>
      </c>
      <c r="C56" s="4">
        <f t="shared" si="10"/>
        <v>0</v>
      </c>
      <c r="D56" s="4">
        <f t="shared" si="10"/>
        <v>0</v>
      </c>
      <c r="E56" s="4">
        <f t="shared" si="10"/>
        <v>0</v>
      </c>
      <c r="F56" s="74">
        <f t="shared" si="10"/>
        <v>0</v>
      </c>
      <c r="G56" s="4">
        <f t="shared" si="10"/>
        <v>0</v>
      </c>
      <c r="H56" s="4">
        <f t="shared" si="10"/>
        <v>0</v>
      </c>
      <c r="I56" s="4">
        <f t="shared" si="10"/>
        <v>0</v>
      </c>
      <c r="J56" s="4">
        <f t="shared" si="10"/>
        <v>0</v>
      </c>
      <c r="K56" s="4">
        <f t="shared" si="10"/>
        <v>0</v>
      </c>
      <c r="L56" s="11">
        <f t="shared" si="7"/>
        <v>0</v>
      </c>
      <c r="M56" s="5"/>
      <c r="N56" s="5"/>
      <c r="O56" s="5"/>
      <c r="P56" s="5"/>
    </row>
    <row r="57" spans="1:16" x14ac:dyDescent="0.15">
      <c r="A57" s="1" t="s">
        <v>71</v>
      </c>
      <c r="B57" s="2">
        <f t="shared" ref="B57:K57" si="11">SUM(B52:B56)</f>
        <v>11763.781720197545</v>
      </c>
      <c r="C57" s="2">
        <f t="shared" si="11"/>
        <v>10851.074517768426</v>
      </c>
      <c r="D57" s="99">
        <f t="shared" si="11"/>
        <v>9938.3673153393047</v>
      </c>
      <c r="E57" s="99">
        <f t="shared" si="11"/>
        <v>8163.6588661715723</v>
      </c>
      <c r="F57" s="108">
        <f t="shared" si="11"/>
        <v>7035.4513520577984</v>
      </c>
      <c r="G57" s="2">
        <f t="shared" si="11"/>
        <v>12676.488922626664</v>
      </c>
      <c r="H57" s="2">
        <f t="shared" si="11"/>
        <v>12676.488922626664</v>
      </c>
      <c r="I57" s="2">
        <f t="shared" si="11"/>
        <v>12676.488922626664</v>
      </c>
      <c r="J57" s="2">
        <f t="shared" si="11"/>
        <v>12676.488922626664</v>
      </c>
      <c r="K57" s="2">
        <f t="shared" si="11"/>
        <v>12676.488922626664</v>
      </c>
      <c r="L57" s="6">
        <f t="shared" si="7"/>
        <v>111134.77838466798</v>
      </c>
      <c r="M57" t="s">
        <v>72</v>
      </c>
    </row>
    <row r="58" spans="1:16" x14ac:dyDescent="0.15">
      <c r="A58" s="15" t="s">
        <v>73</v>
      </c>
      <c r="B58" s="16">
        <f t="shared" ref="B58:F58" si="12">B57*$B$22</f>
        <v>6928.8674331963539</v>
      </c>
      <c r="C58" s="16">
        <f t="shared" si="12"/>
        <v>6391.2828909656027</v>
      </c>
      <c r="D58" s="100">
        <f t="shared" si="12"/>
        <v>5853.6983487348498</v>
      </c>
      <c r="E58" s="100">
        <f t="shared" si="12"/>
        <v>4808.3950721750562</v>
      </c>
      <c r="F58" s="109">
        <f t="shared" si="12"/>
        <v>4143.8808463620435</v>
      </c>
      <c r="G58" s="16"/>
      <c r="H58" s="16"/>
      <c r="I58" s="16"/>
      <c r="J58" s="16"/>
      <c r="K58" s="16"/>
      <c r="L58" s="17">
        <f t="shared" si="7"/>
        <v>28126.124591433905</v>
      </c>
      <c r="M58" s="18" t="s">
        <v>7</v>
      </c>
      <c r="N58" s="8">
        <f>L58/SUM(B27:B31)*1000</f>
        <v>64.763191561796262</v>
      </c>
      <c r="O58" t="s">
        <v>74</v>
      </c>
    </row>
    <row r="59" spans="1:16" ht="14" thickBot="1" x14ac:dyDescent="0.2">
      <c r="B59" s="42"/>
      <c r="C59" s="6"/>
      <c r="D59" s="6"/>
      <c r="E59" s="6"/>
      <c r="F59" s="6"/>
      <c r="G59" s="6"/>
      <c r="H59" s="6"/>
      <c r="I59" s="6"/>
      <c r="J59" s="8" t="s">
        <v>8</v>
      </c>
      <c r="K59" s="6"/>
      <c r="L59" s="40">
        <f>L58/7</f>
        <v>4018.0177987762722</v>
      </c>
      <c r="M59" s="41" t="s">
        <v>7</v>
      </c>
    </row>
    <row r="61" spans="1:16" x14ac:dyDescent="0.1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N61" s="8"/>
    </row>
    <row r="62" spans="1:16" x14ac:dyDescent="0.1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N62" s="8"/>
    </row>
    <row r="63" spans="1:16" ht="28" x14ac:dyDescent="0.15">
      <c r="A63" s="7" t="s">
        <v>75</v>
      </c>
      <c r="B63" s="7" t="s">
        <v>76</v>
      </c>
      <c r="C63" s="7" t="s">
        <v>77</v>
      </c>
      <c r="D63" s="7" t="s">
        <v>78</v>
      </c>
    </row>
    <row r="64" spans="1:16" x14ac:dyDescent="0.15">
      <c r="A64">
        <v>40</v>
      </c>
      <c r="B64">
        <v>415</v>
      </c>
      <c r="C64">
        <v>14</v>
      </c>
      <c r="D64">
        <v>850</v>
      </c>
    </row>
    <row r="65" spans="1:5" x14ac:dyDescent="0.15">
      <c r="A65">
        <v>60</v>
      </c>
      <c r="B65">
        <v>715</v>
      </c>
      <c r="C65">
        <v>14</v>
      </c>
      <c r="D65">
        <v>850</v>
      </c>
    </row>
    <row r="66" spans="1:5" x14ac:dyDescent="0.15">
      <c r="A66">
        <v>75</v>
      </c>
      <c r="B66">
        <v>940</v>
      </c>
      <c r="C66">
        <v>0</v>
      </c>
      <c r="D66">
        <v>0</v>
      </c>
    </row>
    <row r="67" spans="1:5" x14ac:dyDescent="0.15">
      <c r="A67">
        <v>100</v>
      </c>
      <c r="B67">
        <v>1350</v>
      </c>
      <c r="C67">
        <v>0</v>
      </c>
      <c r="D67">
        <v>0</v>
      </c>
    </row>
    <row r="73" spans="1:5" ht="42" x14ac:dyDescent="0.15">
      <c r="A73" s="48" t="s">
        <v>10</v>
      </c>
      <c r="B73" s="49" t="s">
        <v>79</v>
      </c>
      <c r="C73" s="49" t="s">
        <v>80</v>
      </c>
      <c r="D73" s="49" t="s">
        <v>81</v>
      </c>
      <c r="E73" s="50" t="s">
        <v>82</v>
      </c>
    </row>
    <row r="74" spans="1:5" x14ac:dyDescent="0.15">
      <c r="A74" s="43">
        <v>1</v>
      </c>
      <c r="B74" s="46">
        <f>B116</f>
        <v>2528.2011418459438</v>
      </c>
      <c r="C74" s="46">
        <f>B101</f>
        <v>9457.0685750422999</v>
      </c>
      <c r="D74" s="19">
        <v>0</v>
      </c>
      <c r="E74" s="47">
        <f>C74-B74-D74</f>
        <v>6928.8674331963557</v>
      </c>
    </row>
    <row r="75" spans="1:5" x14ac:dyDescent="0.15">
      <c r="A75" s="43">
        <v>2</v>
      </c>
      <c r="B75" s="46">
        <f>C116</f>
        <v>2332.0476049785857</v>
      </c>
      <c r="C75" s="46">
        <f>C101</f>
        <v>8723.3304959441903</v>
      </c>
      <c r="D75" s="19">
        <v>0</v>
      </c>
      <c r="E75" s="47">
        <f t="shared" ref="E75:E83" si="13">C75-B75-D75</f>
        <v>6391.2828909656046</v>
      </c>
    </row>
    <row r="76" spans="1:5" x14ac:dyDescent="0.15">
      <c r="A76" s="101">
        <v>3</v>
      </c>
      <c r="B76" s="102">
        <f>D116</f>
        <v>2135.8940681112281</v>
      </c>
      <c r="C76" s="102">
        <f>D101</f>
        <v>7989.5924168460797</v>
      </c>
      <c r="D76" s="103">
        <v>0</v>
      </c>
      <c r="E76" s="104">
        <f t="shared" si="13"/>
        <v>5853.6983487348516</v>
      </c>
    </row>
    <row r="77" spans="1:5" x14ac:dyDescent="0.15">
      <c r="A77" s="78">
        <v>4</v>
      </c>
      <c r="B77" s="102">
        <f>E116</f>
        <v>1754.4844130913662</v>
      </c>
      <c r="C77" s="102">
        <f>E101</f>
        <v>6562.8794852664232</v>
      </c>
      <c r="D77" s="103">
        <v>0</v>
      </c>
      <c r="E77" s="104">
        <f t="shared" si="13"/>
        <v>4808.3950721750571</v>
      </c>
    </row>
    <row r="78" spans="1:5" x14ac:dyDescent="0.15">
      <c r="A78" s="43">
        <v>5</v>
      </c>
      <c r="B78" s="111">
        <f>F116</f>
        <v>1512.0168466858822</v>
      </c>
      <c r="C78" s="111">
        <f>F101</f>
        <v>5655.8976930479257</v>
      </c>
      <c r="D78" s="112">
        <v>0</v>
      </c>
      <c r="E78" s="113">
        <f t="shared" si="13"/>
        <v>4143.8808463620435</v>
      </c>
    </row>
    <row r="79" spans="1:5" x14ac:dyDescent="0.15">
      <c r="A79" s="43">
        <v>6</v>
      </c>
      <c r="B79" s="46">
        <f>G116</f>
        <v>915.38317204766929</v>
      </c>
      <c r="C79" s="46">
        <f>G101</f>
        <v>0</v>
      </c>
      <c r="D79" s="19">
        <v>0</v>
      </c>
      <c r="E79" s="47">
        <f t="shared" si="13"/>
        <v>-915.38317204766929</v>
      </c>
    </row>
    <row r="80" spans="1:5" x14ac:dyDescent="0.15">
      <c r="A80" s="43">
        <v>7</v>
      </c>
      <c r="B80" s="46">
        <f>H116</f>
        <v>0</v>
      </c>
      <c r="C80" s="46">
        <f>H101</f>
        <v>0</v>
      </c>
      <c r="D80" s="19">
        <v>0</v>
      </c>
      <c r="E80" s="47">
        <f t="shared" si="13"/>
        <v>0</v>
      </c>
    </row>
    <row r="81" spans="1:14" x14ac:dyDescent="0.15">
      <c r="A81" s="43">
        <v>8</v>
      </c>
      <c r="B81" s="19">
        <v>0</v>
      </c>
      <c r="C81" s="19">
        <v>0</v>
      </c>
      <c r="D81" s="19">
        <v>0</v>
      </c>
      <c r="E81" s="47">
        <f t="shared" si="13"/>
        <v>0</v>
      </c>
    </row>
    <row r="82" spans="1:14" x14ac:dyDescent="0.15">
      <c r="A82" s="43">
        <v>9</v>
      </c>
      <c r="B82" s="19">
        <v>0</v>
      </c>
      <c r="C82" s="19">
        <v>0</v>
      </c>
      <c r="D82" s="19">
        <v>0</v>
      </c>
      <c r="E82" s="47">
        <f t="shared" si="13"/>
        <v>0</v>
      </c>
    </row>
    <row r="83" spans="1:14" x14ac:dyDescent="0.15">
      <c r="A83" s="44">
        <v>10</v>
      </c>
      <c r="B83" s="45">
        <v>0</v>
      </c>
      <c r="C83" s="45">
        <v>0</v>
      </c>
      <c r="D83" s="45">
        <v>0</v>
      </c>
      <c r="E83" s="47">
        <f t="shared" si="13"/>
        <v>0</v>
      </c>
    </row>
    <row r="84" spans="1:14" x14ac:dyDescent="0.15">
      <c r="A84" s="51" t="s">
        <v>4</v>
      </c>
      <c r="B84" s="52">
        <f>SUM(B74:B83)</f>
        <v>11178.027246760674</v>
      </c>
      <c r="C84" s="52">
        <f t="shared" ref="C84:E84" si="14">SUM(C74:C83)</f>
        <v>38388.76866614692</v>
      </c>
      <c r="D84" s="52">
        <f t="shared" si="14"/>
        <v>0</v>
      </c>
      <c r="E84" s="53">
        <f t="shared" si="14"/>
        <v>27210.741419386246</v>
      </c>
    </row>
    <row r="86" spans="1:14" x14ac:dyDescent="0.15">
      <c r="A86" s="13"/>
    </row>
    <row r="90" spans="1:14" x14ac:dyDescent="0.15">
      <c r="C90" s="14"/>
    </row>
    <row r="91" spans="1:14" x14ac:dyDescent="0.15">
      <c r="A91" s="14" t="s">
        <v>83</v>
      </c>
    </row>
    <row r="92" spans="1:14" x14ac:dyDescent="0.15">
      <c r="A92" s="14"/>
      <c r="B92">
        <v>2015</v>
      </c>
      <c r="C92">
        <v>2016</v>
      </c>
      <c r="D92" s="97">
        <v>2017</v>
      </c>
      <c r="E92">
        <v>2018</v>
      </c>
      <c r="F92" s="116">
        <v>2019</v>
      </c>
      <c r="G92">
        <v>2020</v>
      </c>
      <c r="H92">
        <v>2021</v>
      </c>
      <c r="I92">
        <v>2022</v>
      </c>
      <c r="J92">
        <v>2023</v>
      </c>
      <c r="K92">
        <v>2024</v>
      </c>
    </row>
    <row r="93" spans="1:14" x14ac:dyDescent="0.15">
      <c r="A93" s="1" t="s">
        <v>64</v>
      </c>
      <c r="B93" s="1">
        <v>1</v>
      </c>
      <c r="C93" s="1">
        <v>2</v>
      </c>
      <c r="D93" s="98">
        <v>3</v>
      </c>
      <c r="E93" s="1">
        <v>4</v>
      </c>
      <c r="F93" s="117">
        <v>5</v>
      </c>
      <c r="G93" s="1">
        <v>6</v>
      </c>
      <c r="H93" s="1">
        <v>7</v>
      </c>
      <c r="I93" s="1">
        <v>8</v>
      </c>
      <c r="J93" s="1">
        <v>9</v>
      </c>
      <c r="K93" s="1">
        <v>10</v>
      </c>
      <c r="L93" t="s">
        <v>4</v>
      </c>
    </row>
    <row r="94" spans="1:14" x14ac:dyDescent="0.15">
      <c r="A94" s="1" t="s">
        <v>65</v>
      </c>
      <c r="B94" s="57">
        <f>B51</f>
        <v>7.1999999999999995E-2</v>
      </c>
      <c r="C94" s="57">
        <f>$B$94*C93</f>
        <v>0.14399999999999999</v>
      </c>
      <c r="D94" s="94">
        <f t="shared" ref="D94" si="15">D51</f>
        <v>0.21599999999999997</v>
      </c>
      <c r="E94" s="57">
        <v>0.35599999999999998</v>
      </c>
      <c r="F94" s="118">
        <f t="shared" ref="F94" si="16">F51</f>
        <v>0.44500000000000001</v>
      </c>
      <c r="G94" s="57">
        <f t="shared" ref="G94:K94" si="17">G51</f>
        <v>0</v>
      </c>
      <c r="H94" s="57">
        <f t="shared" si="17"/>
        <v>0</v>
      </c>
      <c r="I94" s="57">
        <f t="shared" si="17"/>
        <v>0</v>
      </c>
      <c r="J94" s="57">
        <f t="shared" ref="J94" si="18">J51</f>
        <v>0</v>
      </c>
      <c r="K94" s="57">
        <f t="shared" si="17"/>
        <v>0</v>
      </c>
    </row>
    <row r="95" spans="1:14" x14ac:dyDescent="0.15">
      <c r="A95" s="3" t="s">
        <v>84</v>
      </c>
      <c r="B95" s="4">
        <f t="shared" ref="B95:F99" si="19">$B27*($C27*$B$15*365/1000/1000)*(1-B$94)*$B$16*$B$17</f>
        <v>82.162377979111113</v>
      </c>
      <c r="C95" s="4">
        <f t="shared" si="19"/>
        <v>75.7877107221111</v>
      </c>
      <c r="D95" s="4">
        <f t="shared" si="19"/>
        <v>69.41304346511113</v>
      </c>
      <c r="E95" s="4">
        <f t="shared" si="19"/>
        <v>57.017857132055553</v>
      </c>
      <c r="F95" s="133">
        <f t="shared" si="19"/>
        <v>49.138060106041657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11">
        <f t="shared" ref="L95:L101" si="20">SUM(B95:K95)</f>
        <v>333.51904940443058</v>
      </c>
      <c r="N95" s="80">
        <f>F95*$B$22</f>
        <v>28.942317402458535</v>
      </c>
    </row>
    <row r="96" spans="1:14" x14ac:dyDescent="0.15">
      <c r="A96" s="3" t="s">
        <v>85</v>
      </c>
      <c r="B96" s="4">
        <f t="shared" si="19"/>
        <v>4449.3313373326228</v>
      </c>
      <c r="C96" s="4">
        <f t="shared" si="19"/>
        <v>4104.1245956430221</v>
      </c>
      <c r="D96" s="4">
        <f t="shared" si="19"/>
        <v>3758.9178539534223</v>
      </c>
      <c r="E96" s="4">
        <f t="shared" si="19"/>
        <v>3087.6825228903112</v>
      </c>
      <c r="F96" s="119">
        <f t="shared" si="19"/>
        <v>2660.9686338573329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11">
        <f t="shared" si="20"/>
        <v>18061.024943676712</v>
      </c>
      <c r="M96" s="5"/>
      <c r="N96" s="80">
        <f t="shared" ref="N96:N98" si="21">F96*$B$22</f>
        <v>1567.310525341969</v>
      </c>
    </row>
    <row r="97" spans="1:14" x14ac:dyDescent="0.15">
      <c r="A97" s="3" t="s">
        <v>86</v>
      </c>
      <c r="B97" s="4">
        <f t="shared" si="19"/>
        <v>11524.649875592002</v>
      </c>
      <c r="C97" s="4">
        <f t="shared" si="19"/>
        <v>10630.496005934001</v>
      </c>
      <c r="D97" s="4">
        <f t="shared" si="19"/>
        <v>9736.342136276</v>
      </c>
      <c r="E97" s="4">
        <f t="shared" si="19"/>
        <v>7997.7096119410007</v>
      </c>
      <c r="F97" s="119">
        <f t="shared" si="19"/>
        <v>6892.4360786137495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11">
        <f t="shared" si="20"/>
        <v>46781.633708356749</v>
      </c>
      <c r="M97" s="5"/>
      <c r="N97" s="80">
        <f t="shared" si="21"/>
        <v>4059.6448503034981</v>
      </c>
    </row>
    <row r="98" spans="1:14" x14ac:dyDescent="0.15">
      <c r="A98" s="3" t="s">
        <v>87</v>
      </c>
      <c r="B98" s="4">
        <f t="shared" si="19"/>
        <v>0</v>
      </c>
      <c r="C98" s="4">
        <f t="shared" si="19"/>
        <v>0</v>
      </c>
      <c r="D98" s="4">
        <f t="shared" si="19"/>
        <v>0</v>
      </c>
      <c r="E98" s="4">
        <f t="shared" si="19"/>
        <v>0</v>
      </c>
      <c r="F98" s="119">
        <f t="shared" si="19"/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11">
        <f t="shared" si="20"/>
        <v>0</v>
      </c>
      <c r="M98" s="5"/>
      <c r="N98" s="80">
        <f t="shared" si="21"/>
        <v>0</v>
      </c>
    </row>
    <row r="99" spans="1:14" x14ac:dyDescent="0.15">
      <c r="A99" s="3" t="s">
        <v>88</v>
      </c>
      <c r="B99" s="4">
        <f t="shared" si="19"/>
        <v>0</v>
      </c>
      <c r="C99" s="4">
        <f t="shared" si="19"/>
        <v>0</v>
      </c>
      <c r="D99" s="4">
        <f t="shared" si="19"/>
        <v>0</v>
      </c>
      <c r="E99" s="4">
        <f t="shared" si="19"/>
        <v>0</v>
      </c>
      <c r="F99" s="119">
        <f t="shared" si="19"/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11">
        <f t="shared" si="20"/>
        <v>0</v>
      </c>
      <c r="M99" s="5"/>
    </row>
    <row r="100" spans="1:14" x14ac:dyDescent="0.15">
      <c r="A100" s="1" t="s">
        <v>89</v>
      </c>
      <c r="B100" s="2">
        <f t="shared" ref="B100:K100" si="22">SUM(B95:B99)</f>
        <v>16056.143590903735</v>
      </c>
      <c r="C100" s="2">
        <f t="shared" si="22"/>
        <v>14810.408312299134</v>
      </c>
      <c r="D100" s="99">
        <f t="shared" si="22"/>
        <v>13564.673033694533</v>
      </c>
      <c r="E100" s="2">
        <f t="shared" si="22"/>
        <v>11142.409991963368</v>
      </c>
      <c r="F100" s="120">
        <f t="shared" si="22"/>
        <v>9602.5427725771242</v>
      </c>
      <c r="G100" s="2">
        <f t="shared" si="22"/>
        <v>0</v>
      </c>
      <c r="H100" s="2">
        <v>0</v>
      </c>
      <c r="I100" s="2">
        <f t="shared" si="22"/>
        <v>0</v>
      </c>
      <c r="J100" s="2">
        <f t="shared" si="22"/>
        <v>0</v>
      </c>
      <c r="K100" s="2">
        <f t="shared" si="22"/>
        <v>0</v>
      </c>
      <c r="L100" s="6">
        <f t="shared" si="20"/>
        <v>65176.177701437889</v>
      </c>
      <c r="M100" t="s">
        <v>72</v>
      </c>
    </row>
    <row r="101" spans="1:14" x14ac:dyDescent="0.15">
      <c r="A101" s="15" t="s">
        <v>90</v>
      </c>
      <c r="B101" s="16">
        <f t="shared" ref="B101:G101" si="23">B100*$B$22</f>
        <v>9457.0685750422999</v>
      </c>
      <c r="C101" s="16">
        <f t="shared" si="23"/>
        <v>8723.3304959441903</v>
      </c>
      <c r="D101" s="100">
        <f t="shared" si="23"/>
        <v>7989.5924168460797</v>
      </c>
      <c r="E101" s="16">
        <f t="shared" si="23"/>
        <v>6562.8794852664232</v>
      </c>
      <c r="F101" s="120">
        <f t="shared" si="23"/>
        <v>5655.8976930479257</v>
      </c>
      <c r="G101" s="16">
        <f t="shared" si="23"/>
        <v>0</v>
      </c>
      <c r="H101" s="16">
        <f>H100*$B$22</f>
        <v>0</v>
      </c>
      <c r="I101" s="16">
        <f>I100*$B$22</f>
        <v>0</v>
      </c>
      <c r="J101" s="16">
        <f>J100*$B$22</f>
        <v>0</v>
      </c>
      <c r="K101" s="16">
        <f>K100*$B$22</f>
        <v>0</v>
      </c>
      <c r="L101" s="17">
        <f t="shared" si="20"/>
        <v>38388.76866614692</v>
      </c>
      <c r="M101" s="18" t="s">
        <v>7</v>
      </c>
    </row>
    <row r="102" spans="1:14" ht="14" thickBot="1" x14ac:dyDescent="0.2">
      <c r="B102" s="42"/>
      <c r="C102" s="6"/>
      <c r="D102" s="79"/>
      <c r="E102" s="6"/>
      <c r="F102" s="6"/>
      <c r="G102" s="6"/>
      <c r="H102" s="6"/>
      <c r="I102" s="6"/>
      <c r="J102" s="8" t="s">
        <v>8</v>
      </c>
      <c r="K102" s="6"/>
      <c r="L102" s="40">
        <f>L101/7</f>
        <v>5484.1098094495601</v>
      </c>
      <c r="M102" s="41" t="s">
        <v>7</v>
      </c>
    </row>
    <row r="103" spans="1:14" x14ac:dyDescent="0.15">
      <c r="D103" s="14"/>
    </row>
    <row r="104" spans="1:14" x14ac:dyDescent="0.15">
      <c r="D104" s="14"/>
    </row>
    <row r="105" spans="1:14" x14ac:dyDescent="0.15">
      <c r="D105" s="14"/>
    </row>
    <row r="106" spans="1:14" x14ac:dyDescent="0.15">
      <c r="A106" s="14" t="s">
        <v>91</v>
      </c>
      <c r="D106" s="14"/>
    </row>
    <row r="107" spans="1:14" x14ac:dyDescent="0.15">
      <c r="A107" s="14"/>
      <c r="B107">
        <v>2015</v>
      </c>
      <c r="C107">
        <v>2016</v>
      </c>
      <c r="D107" s="14">
        <v>2017</v>
      </c>
      <c r="E107">
        <v>2018</v>
      </c>
      <c r="F107">
        <v>2019</v>
      </c>
      <c r="G107">
        <v>2020</v>
      </c>
      <c r="H107">
        <v>2021</v>
      </c>
      <c r="I107">
        <v>2022</v>
      </c>
      <c r="J107">
        <v>2023</v>
      </c>
      <c r="K107">
        <v>2024</v>
      </c>
    </row>
    <row r="108" spans="1:14" x14ac:dyDescent="0.15">
      <c r="A108" s="1" t="s">
        <v>64</v>
      </c>
      <c r="B108" s="1">
        <v>1</v>
      </c>
      <c r="C108" s="1">
        <v>2</v>
      </c>
      <c r="D108" s="73">
        <v>3</v>
      </c>
      <c r="E108" s="1">
        <v>4</v>
      </c>
      <c r="F108" s="1">
        <v>5</v>
      </c>
      <c r="G108" s="1">
        <v>6</v>
      </c>
      <c r="H108" s="1">
        <v>7</v>
      </c>
      <c r="I108" s="1">
        <v>8</v>
      </c>
      <c r="J108" s="1">
        <v>9</v>
      </c>
      <c r="K108" s="1">
        <v>10</v>
      </c>
      <c r="L108" t="s">
        <v>4</v>
      </c>
    </row>
    <row r="109" spans="1:14" x14ac:dyDescent="0.15">
      <c r="A109" s="1" t="s">
        <v>65</v>
      </c>
      <c r="B109" s="57">
        <f>B94</f>
        <v>7.1999999999999995E-2</v>
      </c>
      <c r="C109" s="57">
        <f t="shared" ref="C109:K109" si="24">C94</f>
        <v>0.14399999999999999</v>
      </c>
      <c r="D109" s="76">
        <f t="shared" si="24"/>
        <v>0.21599999999999997</v>
      </c>
      <c r="E109" s="57">
        <f t="shared" si="24"/>
        <v>0.35599999999999998</v>
      </c>
      <c r="F109" s="57">
        <f t="shared" si="24"/>
        <v>0.44500000000000001</v>
      </c>
      <c r="G109" s="95">
        <v>0.66400000000000003</v>
      </c>
      <c r="H109" s="57">
        <v>0.81699999999999995</v>
      </c>
      <c r="I109" s="57">
        <v>0</v>
      </c>
      <c r="J109" s="57">
        <f t="shared" si="24"/>
        <v>0</v>
      </c>
      <c r="K109" s="57">
        <f t="shared" si="24"/>
        <v>0</v>
      </c>
    </row>
    <row r="110" spans="1:14" x14ac:dyDescent="0.15">
      <c r="A110" s="3" t="s">
        <v>84</v>
      </c>
      <c r="B110" s="4">
        <f t="shared" ref="B110:G114" si="25">$B27*($D27*$B$15*365/1000/1000)*(1-B$109)*$B$16*$B$17</f>
        <v>46.01093166830222</v>
      </c>
      <c r="C110" s="4">
        <f t="shared" si="25"/>
        <v>42.441118004382226</v>
      </c>
      <c r="D110" s="74">
        <f t="shared" si="25"/>
        <v>38.871304340462224</v>
      </c>
      <c r="E110" s="4">
        <f t="shared" si="25"/>
        <v>31.929999993951114</v>
      </c>
      <c r="F110" s="4">
        <f t="shared" si="25"/>
        <v>27.51731365938333</v>
      </c>
      <c r="G110" s="4">
        <f t="shared" si="25"/>
        <v>16.659130431626664</v>
      </c>
      <c r="H110" s="4">
        <v>0</v>
      </c>
      <c r="I110" s="4">
        <v>0</v>
      </c>
      <c r="J110" s="4">
        <v>0</v>
      </c>
      <c r="K110" s="4">
        <v>0</v>
      </c>
      <c r="L110" s="11">
        <f t="shared" ref="L110:L116" si="26">SUM(B110:K110)</f>
        <v>203.42979809810774</v>
      </c>
    </row>
    <row r="111" spans="1:14" x14ac:dyDescent="0.15">
      <c r="A111" s="3" t="s">
        <v>85</v>
      </c>
      <c r="B111" s="4">
        <f t="shared" si="25"/>
        <v>1557.2659680664178</v>
      </c>
      <c r="C111" s="4">
        <f t="shared" si="25"/>
        <v>1436.4436084750578</v>
      </c>
      <c r="D111" s="74">
        <f t="shared" si="25"/>
        <v>1315.6212488836979</v>
      </c>
      <c r="E111" s="4">
        <f t="shared" si="25"/>
        <v>1080.6888830116091</v>
      </c>
      <c r="F111" s="4">
        <f t="shared" si="25"/>
        <v>931.3390218500665</v>
      </c>
      <c r="G111" s="4">
        <f t="shared" si="25"/>
        <v>563.83767809301332</v>
      </c>
      <c r="H111" s="4">
        <v>0</v>
      </c>
      <c r="I111" s="4">
        <v>0</v>
      </c>
      <c r="J111" s="4">
        <v>0</v>
      </c>
      <c r="K111" s="4">
        <v>0</v>
      </c>
      <c r="L111" s="11">
        <f t="shared" si="26"/>
        <v>6885.1964083798621</v>
      </c>
      <c r="M111" s="5"/>
    </row>
    <row r="112" spans="1:14" x14ac:dyDescent="0.15">
      <c r="A112" s="3" t="s">
        <v>86</v>
      </c>
      <c r="B112" s="4">
        <f t="shared" si="25"/>
        <v>2689.0849709714666</v>
      </c>
      <c r="C112" s="4">
        <f t="shared" si="25"/>
        <v>2480.4490680512663</v>
      </c>
      <c r="D112" s="74">
        <f t="shared" si="25"/>
        <v>2271.8131651310664</v>
      </c>
      <c r="E112" s="4">
        <f t="shared" si="25"/>
        <v>1866.1322427862333</v>
      </c>
      <c r="F112" s="4">
        <f t="shared" si="25"/>
        <v>1608.2350850098749</v>
      </c>
      <c r="G112" s="4">
        <f t="shared" si="25"/>
        <v>973.63421362759982</v>
      </c>
      <c r="H112" s="4">
        <v>0</v>
      </c>
      <c r="I112" s="4">
        <v>0</v>
      </c>
      <c r="J112" s="4">
        <v>0</v>
      </c>
      <c r="K112" s="4">
        <v>0</v>
      </c>
      <c r="L112" s="11">
        <f t="shared" si="26"/>
        <v>11889.348745577508</v>
      </c>
      <c r="M112" s="5"/>
    </row>
    <row r="113" spans="1:13" x14ac:dyDescent="0.15">
      <c r="A113" s="3" t="s">
        <v>87</v>
      </c>
      <c r="B113" s="4">
        <f t="shared" si="25"/>
        <v>0</v>
      </c>
      <c r="C113" s="4">
        <f t="shared" si="25"/>
        <v>0</v>
      </c>
      <c r="D113" s="74">
        <f t="shared" si="25"/>
        <v>0</v>
      </c>
      <c r="E113" s="4">
        <f t="shared" si="25"/>
        <v>0</v>
      </c>
      <c r="F113" s="4">
        <f t="shared" si="25"/>
        <v>0</v>
      </c>
      <c r="G113" s="4">
        <f t="shared" si="25"/>
        <v>0</v>
      </c>
      <c r="H113" s="4">
        <v>0</v>
      </c>
      <c r="I113" s="4">
        <v>0</v>
      </c>
      <c r="J113" s="4">
        <v>0</v>
      </c>
      <c r="K113" s="4">
        <v>0</v>
      </c>
      <c r="L113" s="11">
        <f t="shared" si="26"/>
        <v>0</v>
      </c>
      <c r="M113" s="5"/>
    </row>
    <row r="114" spans="1:13" x14ac:dyDescent="0.15">
      <c r="A114" s="3" t="s">
        <v>88</v>
      </c>
      <c r="B114" s="4">
        <f t="shared" si="25"/>
        <v>0</v>
      </c>
      <c r="C114" s="4">
        <f t="shared" si="25"/>
        <v>0</v>
      </c>
      <c r="D114" s="74">
        <f t="shared" si="25"/>
        <v>0</v>
      </c>
      <c r="E114" s="4">
        <f t="shared" si="25"/>
        <v>0</v>
      </c>
      <c r="F114" s="4">
        <f t="shared" si="25"/>
        <v>0</v>
      </c>
      <c r="G114" s="4">
        <f t="shared" si="25"/>
        <v>0</v>
      </c>
      <c r="H114" s="4">
        <v>0</v>
      </c>
      <c r="I114" s="4">
        <v>0</v>
      </c>
      <c r="J114" s="4">
        <v>0</v>
      </c>
      <c r="K114" s="4">
        <v>0</v>
      </c>
      <c r="L114" s="11">
        <f t="shared" si="26"/>
        <v>0</v>
      </c>
      <c r="M114" s="5"/>
    </row>
    <row r="115" spans="1:13" ht="14" thickBot="1" x14ac:dyDescent="0.2">
      <c r="A115" s="1" t="s">
        <v>89</v>
      </c>
      <c r="B115" s="2">
        <f t="shared" ref="B115:K115" si="27">SUM(B110:B114)</f>
        <v>4292.3618707061869</v>
      </c>
      <c r="C115" s="2">
        <f t="shared" si="27"/>
        <v>3959.3337945307062</v>
      </c>
      <c r="D115" s="72">
        <f t="shared" si="27"/>
        <v>3626.3057183552264</v>
      </c>
      <c r="E115" s="2">
        <f t="shared" si="27"/>
        <v>2978.7511257917931</v>
      </c>
      <c r="F115" s="2">
        <f t="shared" si="27"/>
        <v>2567.0914205193249</v>
      </c>
      <c r="G115" s="2">
        <f t="shared" si="27"/>
        <v>1554.1310221522399</v>
      </c>
      <c r="H115" s="2">
        <f t="shared" si="27"/>
        <v>0</v>
      </c>
      <c r="I115" s="2">
        <f t="shared" si="27"/>
        <v>0</v>
      </c>
      <c r="J115" s="2">
        <f t="shared" si="27"/>
        <v>0</v>
      </c>
      <c r="K115" s="2">
        <f t="shared" si="27"/>
        <v>0</v>
      </c>
      <c r="L115" s="6">
        <f t="shared" si="26"/>
        <v>18977.97495205548</v>
      </c>
      <c r="M115" t="s">
        <v>72</v>
      </c>
    </row>
    <row r="116" spans="1:13" ht="14" thickBot="1" x14ac:dyDescent="0.2">
      <c r="A116" s="15" t="s">
        <v>90</v>
      </c>
      <c r="B116" s="16">
        <f t="shared" ref="B116:G116" si="28">B115*$B$22</f>
        <v>2528.2011418459438</v>
      </c>
      <c r="C116" s="16">
        <f t="shared" si="28"/>
        <v>2332.0476049785857</v>
      </c>
      <c r="D116" s="75">
        <f t="shared" si="28"/>
        <v>2135.8940681112281</v>
      </c>
      <c r="E116" s="16">
        <f t="shared" si="28"/>
        <v>1754.4844130913662</v>
      </c>
      <c r="F116" s="16">
        <f t="shared" si="28"/>
        <v>1512.0168466858822</v>
      </c>
      <c r="G116" s="16">
        <f t="shared" si="28"/>
        <v>915.38317204766929</v>
      </c>
      <c r="H116" s="16">
        <f>H115*$B$22</f>
        <v>0</v>
      </c>
      <c r="I116" s="16">
        <f>I115*$B$22</f>
        <v>0</v>
      </c>
      <c r="J116" s="16">
        <f>J115*$B$22</f>
        <v>0</v>
      </c>
      <c r="K116" s="16">
        <f>K115*$B$22</f>
        <v>0</v>
      </c>
      <c r="L116" s="17">
        <f t="shared" si="26"/>
        <v>11178.027246760674</v>
      </c>
      <c r="M116" s="18" t="s">
        <v>7</v>
      </c>
    </row>
    <row r="117" spans="1:13" ht="14" thickBot="1" x14ac:dyDescent="0.2">
      <c r="B117" s="42"/>
      <c r="C117" s="6"/>
      <c r="D117" s="6"/>
      <c r="E117" s="6"/>
      <c r="F117" s="6"/>
      <c r="G117" s="6"/>
      <c r="H117" s="6"/>
      <c r="I117" s="6"/>
      <c r="J117" s="8" t="s">
        <v>8</v>
      </c>
      <c r="K117" s="6"/>
      <c r="L117" s="40">
        <f>L116/7</f>
        <v>1596.8610352515248</v>
      </c>
      <c r="M117" s="41" t="s">
        <v>7</v>
      </c>
    </row>
    <row r="118" spans="1:13" x14ac:dyDescent="0.15">
      <c r="B118" s="14"/>
    </row>
  </sheetData>
  <mergeCells count="1">
    <mergeCell ref="A25:E25"/>
  </mergeCells>
  <pageMargins left="0.78740157499999996" right="0.78740157499999996" top="0.984251969" bottom="0.984251969" header="0.5" footer="0.5"/>
  <pageSetup paperSize="10"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2:D23"/>
  <sheetViews>
    <sheetView topLeftCell="A5" zoomScale="183" zoomScaleNormal="125" zoomScalePageLayoutView="125" workbookViewId="0">
      <selection activeCell="B5" sqref="B5"/>
    </sheetView>
  </sheetViews>
  <sheetFormatPr baseColWidth="10" defaultColWidth="11.5" defaultRowHeight="13" x14ac:dyDescent="0.15"/>
  <cols>
    <col min="1" max="1" width="27" customWidth="1"/>
    <col min="2" max="2" width="15.83203125" customWidth="1"/>
  </cols>
  <sheetData>
    <row r="2" spans="1:4" x14ac:dyDescent="0.15">
      <c r="A2" s="22">
        <v>43488</v>
      </c>
    </row>
    <row r="4" spans="1:4" ht="14" x14ac:dyDescent="0.15">
      <c r="A4" s="35" t="s">
        <v>92</v>
      </c>
      <c r="B4" s="36" t="s">
        <v>93</v>
      </c>
      <c r="C4" s="36" t="s">
        <v>4</v>
      </c>
      <c r="D4" t="s">
        <v>54</v>
      </c>
    </row>
    <row r="5" spans="1:4" x14ac:dyDescent="0.15">
      <c r="A5" s="1" t="s">
        <v>94</v>
      </c>
      <c r="B5" s="38">
        <v>518248</v>
      </c>
      <c r="C5" s="38">
        <f>SUM(B5:B5)</f>
        <v>518248</v>
      </c>
      <c r="D5" t="s">
        <v>95</v>
      </c>
    </row>
    <row r="6" spans="1:4" x14ac:dyDescent="0.15">
      <c r="A6" s="35" t="s">
        <v>5</v>
      </c>
      <c r="B6" s="37">
        <f>SUM(B5:B5)</f>
        <v>518248</v>
      </c>
      <c r="C6" s="37">
        <f>SUM(C5:C5)</f>
        <v>518248</v>
      </c>
    </row>
    <row r="9" spans="1:4" x14ac:dyDescent="0.15">
      <c r="B9" s="8"/>
    </row>
    <row r="10" spans="1:4" x14ac:dyDescent="0.15">
      <c r="A10" s="14" t="s">
        <v>96</v>
      </c>
      <c r="B10" s="8"/>
      <c r="C10" t="s">
        <v>97</v>
      </c>
    </row>
    <row r="11" spans="1:4" x14ac:dyDescent="0.15">
      <c r="A11" s="1" t="s">
        <v>98</v>
      </c>
      <c r="B11" s="23">
        <f>B6</f>
        <v>518248</v>
      </c>
      <c r="C11" t="s">
        <v>95</v>
      </c>
    </row>
    <row r="12" spans="1:4" x14ac:dyDescent="0.15">
      <c r="A12" s="1" t="s">
        <v>99</v>
      </c>
      <c r="B12" s="23">
        <v>4.03</v>
      </c>
      <c r="C12" t="s">
        <v>100</v>
      </c>
    </row>
    <row r="13" spans="1:4" x14ac:dyDescent="0.15">
      <c r="A13" s="1" t="s">
        <v>96</v>
      </c>
      <c r="B13" s="23">
        <f>B11/B12</f>
        <v>128597.51861042183</v>
      </c>
      <c r="C13" t="s">
        <v>101</v>
      </c>
    </row>
    <row r="14" spans="1:4" x14ac:dyDescent="0.15">
      <c r="A14" s="1" t="s">
        <v>102</v>
      </c>
      <c r="B14" s="77">
        <v>4.8600000000000003</v>
      </c>
      <c r="C14" t="s">
        <v>103</v>
      </c>
    </row>
    <row r="15" spans="1:4" x14ac:dyDescent="0.15">
      <c r="A15" s="1" t="s">
        <v>104</v>
      </c>
      <c r="B15" s="23">
        <f>B13*B14</f>
        <v>624983.94044665014</v>
      </c>
      <c r="C15" t="s">
        <v>101</v>
      </c>
    </row>
    <row r="16" spans="1:4" x14ac:dyDescent="0.15">
      <c r="B16" s="6"/>
    </row>
    <row r="17" spans="1:3" x14ac:dyDescent="0.15">
      <c r="B17" s="8"/>
    </row>
    <row r="18" spans="1:3" x14ac:dyDescent="0.15">
      <c r="A18" s="14" t="s">
        <v>105</v>
      </c>
      <c r="B18" s="8"/>
      <c r="C18" t="s">
        <v>106</v>
      </c>
    </row>
    <row r="19" spans="1:3" x14ac:dyDescent="0.15">
      <c r="A19" s="1" t="s">
        <v>107</v>
      </c>
      <c r="B19" s="23">
        <f>868224/12</f>
        <v>72352</v>
      </c>
      <c r="C19" s="97" t="s">
        <v>118</v>
      </c>
    </row>
    <row r="20" spans="1:3" x14ac:dyDescent="0.15">
      <c r="A20" s="1" t="s">
        <v>108</v>
      </c>
      <c r="B20" s="81">
        <v>61039</v>
      </c>
      <c r="C20" s="97" t="s">
        <v>119</v>
      </c>
    </row>
    <row r="21" spans="1:3" x14ac:dyDescent="0.15">
      <c r="A21" s="1" t="s">
        <v>109</v>
      </c>
      <c r="B21" s="23">
        <f>B19-B20</f>
        <v>11313</v>
      </c>
      <c r="C21" t="s">
        <v>101</v>
      </c>
    </row>
    <row r="22" spans="1:3" x14ac:dyDescent="0.15">
      <c r="A22" s="1" t="s">
        <v>110</v>
      </c>
      <c r="B22" s="23">
        <f>B21*12</f>
        <v>135756</v>
      </c>
      <c r="C22" t="s">
        <v>101</v>
      </c>
    </row>
    <row r="23" spans="1:3" x14ac:dyDescent="0.15">
      <c r="A23" s="1" t="s">
        <v>111</v>
      </c>
      <c r="B23" s="132">
        <f>B21/B19</f>
        <v>0.15636057054400707</v>
      </c>
      <c r="C23" t="s">
        <v>112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P63"/>
  <sheetViews>
    <sheetView topLeftCell="A32" zoomScale="125" workbookViewId="0">
      <selection activeCell="F60" sqref="F60"/>
    </sheetView>
  </sheetViews>
  <sheetFormatPr baseColWidth="10" defaultColWidth="8.83203125" defaultRowHeight="13" x14ac:dyDescent="0.15"/>
  <cols>
    <col min="1" max="1" width="24.5" customWidth="1"/>
    <col min="2" max="2" width="10.33203125" bestFit="1" customWidth="1"/>
    <col min="3" max="3" width="9.83203125" bestFit="1" customWidth="1"/>
    <col min="4" max="4" width="12" customWidth="1"/>
    <col min="5" max="6" width="10" customWidth="1"/>
    <col min="9" max="9" width="8.83203125" customWidth="1"/>
    <col min="14" max="14" width="10.83203125" customWidth="1"/>
  </cols>
  <sheetData>
    <row r="1" spans="1:15" ht="18" x14ac:dyDescent="0.2">
      <c r="A1" s="9" t="s">
        <v>113</v>
      </c>
    </row>
    <row r="2" spans="1:15" x14ac:dyDescent="0.15">
      <c r="A2" s="96" t="s">
        <v>16</v>
      </c>
    </row>
    <row r="3" spans="1:15" x14ac:dyDescent="0.15">
      <c r="A3" s="10"/>
    </row>
    <row r="5" spans="1:15" ht="15" x14ac:dyDescent="0.2">
      <c r="A5" t="s">
        <v>17</v>
      </c>
    </row>
    <row r="7" spans="1:15" ht="15" x14ac:dyDescent="0.2">
      <c r="A7" t="s">
        <v>18</v>
      </c>
    </row>
    <row r="9" spans="1:15" ht="15" x14ac:dyDescent="0.2">
      <c r="A9" s="14" t="s">
        <v>19</v>
      </c>
      <c r="G9" s="14" t="s">
        <v>20</v>
      </c>
      <c r="H9" s="14" t="s">
        <v>21</v>
      </c>
      <c r="I9" s="14" t="s">
        <v>22</v>
      </c>
      <c r="J9" s="14" t="s">
        <v>23</v>
      </c>
      <c r="K9" s="14" t="s">
        <v>24</v>
      </c>
    </row>
    <row r="10" spans="1:15" ht="15" x14ac:dyDescent="0.2">
      <c r="A10" t="s">
        <v>25</v>
      </c>
      <c r="G10">
        <v>1</v>
      </c>
      <c r="H10" s="8">
        <f>G10*$B$19</f>
        <v>1277.5</v>
      </c>
      <c r="I10" s="6">
        <f>B21</f>
        <v>10000</v>
      </c>
      <c r="J10" t="s">
        <v>26</v>
      </c>
      <c r="K10" t="s">
        <v>27</v>
      </c>
      <c r="M10" s="34">
        <f>E42</f>
        <v>518248</v>
      </c>
      <c r="N10" s="32" t="s">
        <v>28</v>
      </c>
      <c r="O10" s="33"/>
    </row>
    <row r="11" spans="1:15" ht="15" x14ac:dyDescent="0.2">
      <c r="A11" t="s">
        <v>29</v>
      </c>
      <c r="G11">
        <v>2</v>
      </c>
      <c r="H11" s="8">
        <f t="shared" ref="H11:H19" si="0">G11*$B$19</f>
        <v>2555</v>
      </c>
      <c r="I11" s="6">
        <f>I10</f>
        <v>10000</v>
      </c>
      <c r="J11" t="s">
        <v>26</v>
      </c>
      <c r="K11" t="s">
        <v>27</v>
      </c>
    </row>
    <row r="12" spans="1:15" x14ac:dyDescent="0.15">
      <c r="G12">
        <v>3</v>
      </c>
      <c r="H12" s="8">
        <f t="shared" si="0"/>
        <v>3832.5</v>
      </c>
      <c r="I12" s="6">
        <f t="shared" ref="I12:I19" si="1">I11</f>
        <v>10000</v>
      </c>
      <c r="J12" t="s">
        <v>26</v>
      </c>
      <c r="K12" t="s">
        <v>27</v>
      </c>
      <c r="M12" s="34">
        <f>B33</f>
        <v>434291.82399999996</v>
      </c>
      <c r="N12" s="32" t="s">
        <v>30</v>
      </c>
      <c r="O12" s="33"/>
    </row>
    <row r="13" spans="1:15" ht="15" x14ac:dyDescent="0.2">
      <c r="A13" t="s">
        <v>31</v>
      </c>
      <c r="G13">
        <v>4</v>
      </c>
      <c r="H13" s="8">
        <f t="shared" si="0"/>
        <v>5110</v>
      </c>
      <c r="I13" s="6">
        <f t="shared" si="1"/>
        <v>10000</v>
      </c>
      <c r="J13" t="s">
        <v>26</v>
      </c>
      <c r="K13" t="s">
        <v>27</v>
      </c>
    </row>
    <row r="14" spans="1:15" x14ac:dyDescent="0.15">
      <c r="G14">
        <v>5</v>
      </c>
      <c r="H14" s="8">
        <f t="shared" si="0"/>
        <v>6387.5</v>
      </c>
      <c r="I14" s="6">
        <f t="shared" si="1"/>
        <v>10000</v>
      </c>
      <c r="J14" t="s">
        <v>26</v>
      </c>
      <c r="K14" t="s">
        <v>27</v>
      </c>
    </row>
    <row r="15" spans="1:15" ht="15" x14ac:dyDescent="0.2">
      <c r="A15" t="s">
        <v>32</v>
      </c>
      <c r="B15">
        <v>3.5</v>
      </c>
      <c r="G15">
        <v>6</v>
      </c>
      <c r="H15" s="8">
        <f t="shared" si="0"/>
        <v>7665</v>
      </c>
      <c r="I15" s="6">
        <f t="shared" si="1"/>
        <v>10000</v>
      </c>
      <c r="J15" t="s">
        <v>26</v>
      </c>
      <c r="K15" t="s">
        <v>27</v>
      </c>
    </row>
    <row r="16" spans="1:15" ht="15" x14ac:dyDescent="0.2">
      <c r="A16" t="s">
        <v>33</v>
      </c>
      <c r="B16" s="12">
        <f>1/(1-(0.1))</f>
        <v>1.1111111111111112</v>
      </c>
      <c r="C16" t="s">
        <v>34</v>
      </c>
      <c r="G16">
        <v>7</v>
      </c>
      <c r="H16" s="8">
        <f t="shared" si="0"/>
        <v>8942.5</v>
      </c>
      <c r="I16" s="6">
        <f t="shared" si="1"/>
        <v>10000</v>
      </c>
      <c r="J16" t="s">
        <v>26</v>
      </c>
      <c r="K16" t="s">
        <v>27</v>
      </c>
    </row>
    <row r="17" spans="1:12" x14ac:dyDescent="0.15">
      <c r="A17" t="s">
        <v>35</v>
      </c>
      <c r="B17">
        <v>0.95</v>
      </c>
      <c r="G17">
        <v>8</v>
      </c>
      <c r="H17" s="8">
        <f t="shared" si="0"/>
        <v>10220</v>
      </c>
      <c r="I17" s="6">
        <f t="shared" si="1"/>
        <v>10000</v>
      </c>
      <c r="J17" t="s">
        <v>27</v>
      </c>
      <c r="K17" t="s">
        <v>36</v>
      </c>
    </row>
    <row r="18" spans="1:12" x14ac:dyDescent="0.15">
      <c r="A18" t="s">
        <v>37</v>
      </c>
      <c r="B18">
        <v>1</v>
      </c>
      <c r="G18">
        <v>9</v>
      </c>
      <c r="H18" s="8">
        <f t="shared" si="0"/>
        <v>11497.5</v>
      </c>
      <c r="I18" s="6">
        <f t="shared" si="1"/>
        <v>10000</v>
      </c>
      <c r="J18" t="s">
        <v>27</v>
      </c>
      <c r="K18" t="s">
        <v>36</v>
      </c>
    </row>
    <row r="19" spans="1:12" ht="15" x14ac:dyDescent="0.2">
      <c r="A19" t="s">
        <v>38</v>
      </c>
      <c r="B19">
        <f>$B$15*365</f>
        <v>1277.5</v>
      </c>
      <c r="G19">
        <v>10</v>
      </c>
      <c r="H19" s="8">
        <f t="shared" si="0"/>
        <v>12775</v>
      </c>
      <c r="I19" s="6">
        <f t="shared" si="1"/>
        <v>10000</v>
      </c>
      <c r="J19" t="s">
        <v>27</v>
      </c>
      <c r="K19" t="s">
        <v>36</v>
      </c>
    </row>
    <row r="20" spans="1:12" ht="15" x14ac:dyDescent="0.2">
      <c r="A20" t="s">
        <v>39</v>
      </c>
      <c r="B20">
        <v>50</v>
      </c>
    </row>
    <row r="21" spans="1:12" ht="15" x14ac:dyDescent="0.2">
      <c r="A21" t="s">
        <v>40</v>
      </c>
      <c r="B21" s="6">
        <v>10000</v>
      </c>
    </row>
    <row r="22" spans="1:12" ht="15" x14ac:dyDescent="0.2">
      <c r="A22" t="s">
        <v>41</v>
      </c>
      <c r="B22" s="42">
        <v>0.58899999999999997</v>
      </c>
      <c r="C22" t="s">
        <v>42</v>
      </c>
    </row>
    <row r="23" spans="1:12" x14ac:dyDescent="0.15">
      <c r="A23" t="s">
        <v>43</v>
      </c>
      <c r="B23" s="21" t="s">
        <v>44</v>
      </c>
    </row>
    <row r="24" spans="1:12" x14ac:dyDescent="0.15">
      <c r="B24" s="21"/>
    </row>
    <row r="25" spans="1:12" x14ac:dyDescent="0.15">
      <c r="A25" s="129" t="s">
        <v>1</v>
      </c>
      <c r="B25" s="130"/>
      <c r="C25" s="130"/>
      <c r="D25" s="130"/>
      <c r="E25" s="131"/>
    </row>
    <row r="26" spans="1:12" ht="15" x14ac:dyDescent="0.2">
      <c r="A26" s="25" t="s">
        <v>45</v>
      </c>
      <c r="B26" t="s">
        <v>46</v>
      </c>
      <c r="C26" t="s">
        <v>47</v>
      </c>
      <c r="D26" t="s">
        <v>48</v>
      </c>
      <c r="E26" s="26" t="s">
        <v>49</v>
      </c>
      <c r="L26" s="14"/>
    </row>
    <row r="27" spans="1:12" x14ac:dyDescent="0.15">
      <c r="A27" s="27">
        <v>230</v>
      </c>
      <c r="B27" s="8">
        <f>D36</f>
        <v>2626.2919999999999</v>
      </c>
      <c r="C27">
        <v>25</v>
      </c>
      <c r="D27">
        <v>14</v>
      </c>
      <c r="E27" s="54">
        <f t="shared" ref="E27:E31" si="2">(C27-D27)*$B$15*365/1000/1000</f>
        <v>1.4052500000000001E-2</v>
      </c>
    </row>
    <row r="28" spans="1:12" x14ac:dyDescent="0.15">
      <c r="A28" s="27">
        <v>415</v>
      </c>
      <c r="B28" s="8">
        <f t="shared" ref="B28:B31" si="3">D37</f>
        <v>88888.335999999996</v>
      </c>
      <c r="C28">
        <v>40</v>
      </c>
      <c r="D28">
        <v>14</v>
      </c>
      <c r="E28" s="26">
        <f t="shared" si="2"/>
        <v>3.3215000000000001E-2</v>
      </c>
    </row>
    <row r="29" spans="1:12" x14ac:dyDescent="0.15">
      <c r="A29" s="27">
        <v>715</v>
      </c>
      <c r="B29" s="8">
        <f t="shared" si="3"/>
        <v>153492.26999999999</v>
      </c>
      <c r="C29">
        <v>60</v>
      </c>
      <c r="D29">
        <v>14</v>
      </c>
      <c r="E29" s="26">
        <f t="shared" si="2"/>
        <v>5.8764999999999998E-2</v>
      </c>
    </row>
    <row r="30" spans="1:12" x14ac:dyDescent="0.15">
      <c r="A30" s="83">
        <v>940</v>
      </c>
      <c r="B30" s="84">
        <f t="shared" si="3"/>
        <v>136888.13800000001</v>
      </c>
      <c r="C30" s="85">
        <v>75</v>
      </c>
      <c r="D30" s="85">
        <v>14</v>
      </c>
      <c r="E30" s="86">
        <f t="shared" si="2"/>
        <v>7.7927499999999997E-2</v>
      </c>
    </row>
    <row r="31" spans="1:12" x14ac:dyDescent="0.15">
      <c r="A31" s="83">
        <v>1350</v>
      </c>
      <c r="B31" s="84">
        <f t="shared" si="3"/>
        <v>52396.788</v>
      </c>
      <c r="C31" s="85">
        <v>100</v>
      </c>
      <c r="D31" s="85">
        <v>14</v>
      </c>
      <c r="E31" s="86">
        <f t="shared" si="2"/>
        <v>0.10986499999999999</v>
      </c>
      <c r="L31" s="19"/>
    </row>
    <row r="32" spans="1:12" x14ac:dyDescent="0.15">
      <c r="A32" s="27"/>
      <c r="E32" s="26"/>
      <c r="L32" s="19"/>
    </row>
    <row r="33" spans="1:12" x14ac:dyDescent="0.15">
      <c r="A33" s="27" t="s">
        <v>50</v>
      </c>
      <c r="B33" s="56">
        <f>SUM(B27:B32)</f>
        <v>434291.82399999996</v>
      </c>
      <c r="E33" s="26"/>
      <c r="L33" s="20"/>
    </row>
    <row r="34" spans="1:12" x14ac:dyDescent="0.15">
      <c r="A34" s="25"/>
      <c r="E34" s="26"/>
      <c r="L34" s="20"/>
    </row>
    <row r="35" spans="1:12" x14ac:dyDescent="0.15">
      <c r="A35" s="25" t="s">
        <v>51</v>
      </c>
      <c r="D35" t="s">
        <v>52</v>
      </c>
      <c r="E35" s="26" t="s">
        <v>53</v>
      </c>
      <c r="F35" t="s">
        <v>54</v>
      </c>
      <c r="L35" s="20"/>
    </row>
    <row r="36" spans="1:12" x14ac:dyDescent="0.15">
      <c r="A36" s="25" t="s">
        <v>55</v>
      </c>
      <c r="B36" s="20">
        <f>E36/$E$42</f>
        <v>6.0472978188048964E-3</v>
      </c>
      <c r="C36" s="28"/>
      <c r="D36" s="8">
        <f>$E$42*B36*(1-$E$45)</f>
        <v>2626.2919999999999</v>
      </c>
      <c r="E36" s="55">
        <v>3134</v>
      </c>
      <c r="F36" t="s">
        <v>56</v>
      </c>
      <c r="L36" s="20"/>
    </row>
    <row r="37" spans="1:12" x14ac:dyDescent="0.15">
      <c r="A37" s="25" t="s">
        <v>57</v>
      </c>
      <c r="B37" s="20">
        <f t="shared" ref="B37:B40" si="4">E37/$E$42</f>
        <v>0.20467421003071889</v>
      </c>
      <c r="C37" s="28"/>
      <c r="D37" s="8">
        <f>$E$42*B37*(1-$E$45)</f>
        <v>88888.335999999996</v>
      </c>
      <c r="E37" s="55">
        <v>106072</v>
      </c>
      <c r="F37" t="s">
        <v>56</v>
      </c>
      <c r="L37" s="20"/>
    </row>
    <row r="38" spans="1:12" x14ac:dyDescent="0.15">
      <c r="A38" s="25" t="s">
        <v>58</v>
      </c>
      <c r="B38" s="20">
        <f t="shared" si="4"/>
        <v>0.35343117580772138</v>
      </c>
      <c r="C38" s="28"/>
      <c r="D38" s="8">
        <f>$E$42*B38*(1-$E$45)</f>
        <v>153492.26999999999</v>
      </c>
      <c r="E38" s="55">
        <v>183165</v>
      </c>
      <c r="F38" t="s">
        <v>56</v>
      </c>
      <c r="L38" s="20"/>
    </row>
    <row r="39" spans="1:12" x14ac:dyDescent="0.15">
      <c r="A39" s="87" t="s">
        <v>59</v>
      </c>
      <c r="B39" s="88">
        <f t="shared" si="4"/>
        <v>0.31519851499668111</v>
      </c>
      <c r="C39" s="89"/>
      <c r="D39" s="84">
        <f>$E$42*B39*(1-$E$45)</f>
        <v>136888.13800000001</v>
      </c>
      <c r="E39" s="90">
        <v>163351</v>
      </c>
      <c r="F39" t="s">
        <v>56</v>
      </c>
      <c r="L39" s="20"/>
    </row>
    <row r="40" spans="1:12" x14ac:dyDescent="0.15">
      <c r="A40" s="87" t="s">
        <v>60</v>
      </c>
      <c r="B40" s="88">
        <f t="shared" si="4"/>
        <v>0.1206488013460737</v>
      </c>
      <c r="C40" s="89"/>
      <c r="D40" s="84">
        <f>$E$42*B40*(1-$E$45)</f>
        <v>52396.788</v>
      </c>
      <c r="E40" s="90">
        <v>62526</v>
      </c>
      <c r="F40" t="s">
        <v>56</v>
      </c>
      <c r="L40" s="20"/>
    </row>
    <row r="41" spans="1:12" x14ac:dyDescent="0.15">
      <c r="A41" s="25"/>
      <c r="B41" s="28"/>
      <c r="C41" s="28"/>
      <c r="D41" s="8"/>
      <c r="E41" s="26"/>
      <c r="L41" s="20"/>
    </row>
    <row r="42" spans="1:12" x14ac:dyDescent="0.15">
      <c r="A42" s="25" t="s">
        <v>50</v>
      </c>
      <c r="B42" s="28">
        <f>SUM(B36:B41)</f>
        <v>0.99999999999999989</v>
      </c>
      <c r="D42" s="8">
        <f>SUM(D36:D40)</f>
        <v>434291.82399999996</v>
      </c>
      <c r="E42" s="55">
        <f>SUM(E36:E40)</f>
        <v>518248</v>
      </c>
      <c r="L42" s="20"/>
    </row>
    <row r="43" spans="1:12" x14ac:dyDescent="0.15">
      <c r="A43" s="29"/>
      <c r="B43" s="30"/>
      <c r="C43" s="30"/>
      <c r="D43" s="30"/>
      <c r="E43" s="31"/>
      <c r="L43" s="20"/>
    </row>
    <row r="45" spans="1:12" x14ac:dyDescent="0.15">
      <c r="A45" s="39" t="s">
        <v>61</v>
      </c>
      <c r="E45" s="82">
        <v>0.16200000000000001</v>
      </c>
      <c r="F45" t="s">
        <v>114</v>
      </c>
    </row>
    <row r="47" spans="1:12" x14ac:dyDescent="0.15">
      <c r="C47" s="14"/>
    </row>
    <row r="48" spans="1:12" x14ac:dyDescent="0.15">
      <c r="A48" s="14" t="s">
        <v>63</v>
      </c>
      <c r="C48" s="14"/>
    </row>
    <row r="49" spans="1:16" x14ac:dyDescent="0.15">
      <c r="A49" s="14"/>
      <c r="B49">
        <v>2015</v>
      </c>
      <c r="C49" s="97">
        <v>2016</v>
      </c>
      <c r="D49" s="97">
        <v>2017</v>
      </c>
      <c r="E49" s="97">
        <v>2018</v>
      </c>
      <c r="F49" s="124">
        <v>2019</v>
      </c>
      <c r="G49">
        <v>2020</v>
      </c>
      <c r="H49">
        <v>2021</v>
      </c>
      <c r="I49">
        <v>2022</v>
      </c>
      <c r="J49">
        <v>2023</v>
      </c>
      <c r="K49">
        <v>2024</v>
      </c>
    </row>
    <row r="50" spans="1:16" x14ac:dyDescent="0.15">
      <c r="A50" s="1" t="s">
        <v>64</v>
      </c>
      <c r="B50" s="1">
        <v>1</v>
      </c>
      <c r="C50" s="98">
        <v>2</v>
      </c>
      <c r="D50" s="98">
        <v>3</v>
      </c>
      <c r="E50" s="98">
        <v>4</v>
      </c>
      <c r="F50" s="125">
        <v>5</v>
      </c>
      <c r="G50" s="1">
        <v>6</v>
      </c>
      <c r="H50" s="1">
        <v>7</v>
      </c>
      <c r="I50" s="1">
        <v>8</v>
      </c>
      <c r="J50" s="1">
        <v>9</v>
      </c>
      <c r="K50" s="1">
        <v>10</v>
      </c>
      <c r="L50" t="s">
        <v>4</v>
      </c>
    </row>
    <row r="51" spans="1:16" x14ac:dyDescent="0.15">
      <c r="A51" s="1" t="s">
        <v>65</v>
      </c>
      <c r="B51" s="57">
        <v>7.1999999999999995E-2</v>
      </c>
      <c r="C51" s="94">
        <f>$B$51*C50</f>
        <v>0.14399999999999999</v>
      </c>
      <c r="D51" s="94">
        <f t="shared" ref="D51" si="5">$B$51*D50</f>
        <v>0.21599999999999997</v>
      </c>
      <c r="E51" s="115">
        <v>0.35599999999999998</v>
      </c>
      <c r="F51" s="126">
        <v>0.44500000000000001</v>
      </c>
      <c r="G51" s="95">
        <v>0.66400000000000003</v>
      </c>
      <c r="H51" s="57">
        <v>0.81699999999999995</v>
      </c>
      <c r="I51" s="57">
        <v>0</v>
      </c>
      <c r="J51" s="94" t="s">
        <v>115</v>
      </c>
      <c r="K51" s="94" t="s">
        <v>115</v>
      </c>
    </row>
    <row r="52" spans="1:16" x14ac:dyDescent="0.15">
      <c r="A52" s="3" t="s">
        <v>66</v>
      </c>
      <c r="B52" s="4">
        <f>IF(B$51&lt;50%,$B27*$E27*(1-B$51)*$B$16*$B$17,0)</f>
        <v>36.151446310808893</v>
      </c>
      <c r="C52" s="4">
        <f t="shared" ref="C52:K52" si="6">IF(C$51&lt;50%,$B27*$E27*(1-C$51)*$B$16*$B$17,0)</f>
        <v>33.346592717728889</v>
      </c>
      <c r="D52" s="4">
        <f t="shared" si="6"/>
        <v>30.541739124648888</v>
      </c>
      <c r="E52" s="4">
        <f t="shared" si="6"/>
        <v>25.087857138104443</v>
      </c>
      <c r="F52" s="127">
        <f t="shared" si="6"/>
        <v>21.620746446658334</v>
      </c>
      <c r="G52" s="4">
        <f>IF(H$51&lt;50%,$B27*$E27*(1-H$51)*$B$16*$B$17,0)</f>
        <v>0</v>
      </c>
      <c r="H52" s="4">
        <v>0</v>
      </c>
      <c r="I52" s="4"/>
      <c r="J52" s="4">
        <f t="shared" si="6"/>
        <v>0</v>
      </c>
      <c r="K52" s="4">
        <f t="shared" si="6"/>
        <v>0</v>
      </c>
      <c r="L52" s="11">
        <f t="shared" ref="L52:L57" si="7">SUM(B52:K52)</f>
        <v>146.74838173794944</v>
      </c>
    </row>
    <row r="53" spans="1:16" x14ac:dyDescent="0.15">
      <c r="A53" s="3" t="s">
        <v>67</v>
      </c>
      <c r="B53" s="4">
        <f t="shared" ref="B53:K54" si="8">IF(B$51&lt;50%,$B28*$E28*(1-B$51)*$B$16*$B$17,0)</f>
        <v>2892.0653692662045</v>
      </c>
      <c r="C53" s="4">
        <f t="shared" si="8"/>
        <v>2667.6809871679643</v>
      </c>
      <c r="D53" s="4">
        <f t="shared" si="8"/>
        <v>2443.2966050697241</v>
      </c>
      <c r="E53" s="4">
        <f t="shared" si="8"/>
        <v>2006.9936398787024</v>
      </c>
      <c r="F53" s="127">
        <f t="shared" si="8"/>
        <v>1729.6296120072666</v>
      </c>
      <c r="G53" s="4">
        <f>IF(H$51&lt;50%,$B28*$E28*(1-H$51)*$B$16*$B$17,0)</f>
        <v>0</v>
      </c>
      <c r="H53" s="4">
        <v>0</v>
      </c>
      <c r="I53" s="4"/>
      <c r="J53" s="4">
        <f t="shared" si="8"/>
        <v>0</v>
      </c>
      <c r="K53" s="4">
        <f t="shared" si="8"/>
        <v>0</v>
      </c>
      <c r="L53" s="11">
        <f t="shared" si="7"/>
        <v>11739.666213389861</v>
      </c>
      <c r="M53" s="5"/>
      <c r="N53" s="5"/>
      <c r="O53" s="5"/>
      <c r="P53" s="5"/>
    </row>
    <row r="54" spans="1:16" x14ac:dyDescent="0.15">
      <c r="A54" s="3" t="s">
        <v>68</v>
      </c>
      <c r="B54" s="4">
        <f>IF(B$51&lt;50%,$B29*$E29*(1-B$51)*$B$16*$B$17,0)</f>
        <v>8835.5649046205326</v>
      </c>
      <c r="C54" s="4">
        <f t="shared" si="8"/>
        <v>8150.0469378827329</v>
      </c>
      <c r="D54" s="4">
        <f t="shared" si="8"/>
        <v>7464.5289711449323</v>
      </c>
      <c r="E54" s="4">
        <f t="shared" si="8"/>
        <v>6131.5773691547656</v>
      </c>
      <c r="F54" s="127">
        <f t="shared" si="8"/>
        <v>5284.200993603873</v>
      </c>
      <c r="G54" s="4">
        <f>IF(H$51&lt;50%,$B29*$E29*(1-H$51)*$B$16*$B$17,0)</f>
        <v>0</v>
      </c>
      <c r="H54" s="4">
        <v>0</v>
      </c>
      <c r="I54" s="4"/>
      <c r="J54" s="4">
        <f t="shared" si="8"/>
        <v>0</v>
      </c>
      <c r="K54" s="4">
        <f t="shared" si="8"/>
        <v>0</v>
      </c>
      <c r="L54" s="11">
        <f t="shared" si="7"/>
        <v>35865.919176406838</v>
      </c>
      <c r="M54" s="5"/>
      <c r="N54" s="5"/>
      <c r="O54" s="5"/>
      <c r="P54" s="5"/>
    </row>
    <row r="55" spans="1:16" x14ac:dyDescent="0.15">
      <c r="A55" s="3" t="s">
        <v>69</v>
      </c>
      <c r="B55" s="4">
        <f t="shared" ref="B55:K56" si="9">IF(B$51&lt;50%,$B30*$E30*(1-B$51)*$B$16*$B$17,0)</f>
        <v>10449.262321904434</v>
      </c>
      <c r="C55" s="4">
        <f t="shared" si="9"/>
        <v>9638.5436934808149</v>
      </c>
      <c r="D55" s="4">
        <f t="shared" si="9"/>
        <v>8827.8250650571936</v>
      </c>
      <c r="E55" s="4">
        <f t="shared" si="9"/>
        <v>7251.4277320112678</v>
      </c>
      <c r="F55" s="127">
        <f t="shared" si="9"/>
        <v>6249.2894274320697</v>
      </c>
      <c r="G55" s="4">
        <f>IF(H$51&lt;50%,$B30*$E30*(1-H$51)*$B$16*$B$17,0)</f>
        <v>0</v>
      </c>
      <c r="H55" s="4">
        <v>0</v>
      </c>
      <c r="I55" s="4"/>
      <c r="J55" s="4">
        <f t="shared" si="9"/>
        <v>0</v>
      </c>
      <c r="K55" s="4">
        <f t="shared" si="9"/>
        <v>0</v>
      </c>
      <c r="L55" s="11">
        <f t="shared" si="7"/>
        <v>42416.348239885781</v>
      </c>
      <c r="M55" s="5"/>
      <c r="N55" s="5"/>
      <c r="O55" s="5"/>
      <c r="P55" s="5"/>
    </row>
    <row r="56" spans="1:16" x14ac:dyDescent="0.15">
      <c r="A56" s="3" t="s">
        <v>70</v>
      </c>
      <c r="B56" s="4">
        <f t="shared" si="9"/>
        <v>5638.8831744082127</v>
      </c>
      <c r="C56" s="4">
        <f t="shared" si="9"/>
        <v>5201.3836177730927</v>
      </c>
      <c r="D56" s="4">
        <f t="shared" si="9"/>
        <v>4763.8840611379728</v>
      </c>
      <c r="E56" s="4">
        <f t="shared" si="9"/>
        <v>3913.1904787919057</v>
      </c>
      <c r="F56" s="127">
        <f t="shared" si="9"/>
        <v>3372.3924157290489</v>
      </c>
      <c r="G56" s="4">
        <f>IF(H$51&lt;50%,$B31*$E31*(1-H$51)*$B$16*$B$17,0)</f>
        <v>0</v>
      </c>
      <c r="H56" s="4">
        <v>0</v>
      </c>
      <c r="I56" s="4"/>
      <c r="J56" s="4">
        <f t="shared" si="9"/>
        <v>0</v>
      </c>
      <c r="K56" s="4">
        <f t="shared" si="9"/>
        <v>0</v>
      </c>
      <c r="L56" s="11">
        <f t="shared" si="7"/>
        <v>22889.733747840233</v>
      </c>
      <c r="M56" s="5"/>
      <c r="N56" s="5"/>
      <c r="O56" s="5"/>
      <c r="P56" s="5"/>
    </row>
    <row r="57" spans="1:16" x14ac:dyDescent="0.15">
      <c r="A57" s="73" t="s">
        <v>71</v>
      </c>
      <c r="B57" s="2">
        <f t="shared" ref="B57:K57" si="10">SUM(B52:B56)</f>
        <v>27851.927216510194</v>
      </c>
      <c r="C57" s="99">
        <f t="shared" si="10"/>
        <v>25691.001829022331</v>
      </c>
      <c r="D57" s="99">
        <f t="shared" si="10"/>
        <v>23530.076441534467</v>
      </c>
      <c r="E57" s="114">
        <f t="shared" si="10"/>
        <v>19328.277076974744</v>
      </c>
      <c r="F57" s="128">
        <f>SUM(F52:F56)</f>
        <v>16657.133195218918</v>
      </c>
      <c r="G57" s="2">
        <f t="shared" si="10"/>
        <v>0</v>
      </c>
      <c r="H57" s="2">
        <f t="shared" ref="H57" si="11">SUM(H52:H56)</f>
        <v>0</v>
      </c>
      <c r="I57" s="2">
        <f t="shared" si="10"/>
        <v>0</v>
      </c>
      <c r="J57" s="2">
        <f t="shared" si="10"/>
        <v>0</v>
      </c>
      <c r="K57" s="2">
        <f t="shared" si="10"/>
        <v>0</v>
      </c>
      <c r="L57" s="6">
        <f t="shared" si="7"/>
        <v>113058.41575926065</v>
      </c>
      <c r="M57" t="s">
        <v>72</v>
      </c>
    </row>
    <row r="58" spans="1:16" x14ac:dyDescent="0.15">
      <c r="C58" s="14"/>
    </row>
    <row r="59" spans="1:16" x14ac:dyDescent="0.15">
      <c r="C59" s="14"/>
    </row>
    <row r="60" spans="1:16" x14ac:dyDescent="0.15">
      <c r="A60" t="s">
        <v>116</v>
      </c>
      <c r="B60" s="80">
        <f>620000*0.928</f>
        <v>575360</v>
      </c>
      <c r="C60" s="97">
        <f>620000*0.856</f>
        <v>530720</v>
      </c>
      <c r="D60">
        <f>620000*0.784</f>
        <v>486080</v>
      </c>
      <c r="E60">
        <f>620000*0.644</f>
        <v>399280</v>
      </c>
      <c r="F60">
        <f>620000*0.49</f>
        <v>303800</v>
      </c>
    </row>
    <row r="61" spans="1:16" x14ac:dyDescent="0.15">
      <c r="A61" t="s">
        <v>117</v>
      </c>
      <c r="B61" s="6">
        <f>0.928*125900</f>
        <v>116835.20000000001</v>
      </c>
      <c r="C61" s="6">
        <f>129500*0.856</f>
        <v>110852</v>
      </c>
      <c r="D61" s="6">
        <f>129500*0.784</f>
        <v>101528</v>
      </c>
      <c r="E61" s="6">
        <f>129500*0.644</f>
        <v>83398</v>
      </c>
      <c r="F61" s="6">
        <f>129500*0.49</f>
        <v>63455</v>
      </c>
      <c r="G61" s="6"/>
      <c r="H61" s="6"/>
      <c r="I61" s="6"/>
      <c r="J61" s="6"/>
      <c r="K61" s="6"/>
      <c r="L61" s="6"/>
      <c r="N61" s="8"/>
    </row>
    <row r="62" spans="1:16" x14ac:dyDescent="0.1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N62" s="8"/>
    </row>
    <row r="63" spans="1:16" x14ac:dyDescent="0.15">
      <c r="A63" s="7"/>
      <c r="B63" s="7"/>
      <c r="C63" s="7"/>
      <c r="D63" s="7"/>
    </row>
  </sheetData>
  <mergeCells count="1">
    <mergeCell ref="A25:E25"/>
  </mergeCells>
  <pageMargins left="0.78740157499999996" right="0.78740157499999996" top="0.984251969" bottom="0.984251969" header="0.5" footer="0.5"/>
  <pageSetup paperSize="1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14251798576C42B90B41FFCE5D698B" ma:contentTypeVersion="16" ma:contentTypeDescription="Create a new document." ma:contentTypeScope="" ma:versionID="3a0dca1b89474caf597b0d8620644d0b">
  <xsd:schema xmlns:xsd="http://www.w3.org/2001/XMLSchema" xmlns:xs="http://www.w3.org/2001/XMLSchema" xmlns:p="http://schemas.microsoft.com/office/2006/metadata/properties" xmlns:ns2="d7343a7c-9e42-4a88-945f-1a57865d2ee3" xmlns:ns3="896fd384-b557-4242-8ebd-875baf592b38" xmlns:ns4="229cd273-e6a8-441a-be96-ca165f2ef484" targetNamespace="http://schemas.microsoft.com/office/2006/metadata/properties" ma:root="true" ma:fieldsID="82ec22816d403aa3cefdc7a97163ec51" ns2:_="" ns3:_="" ns4:_="">
    <xsd:import namespace="d7343a7c-9e42-4a88-945f-1a57865d2ee3"/>
    <xsd:import namespace="896fd384-b557-4242-8ebd-875baf592b38"/>
    <xsd:import namespace="229cd273-e6a8-441a-be96-ca165f2ef48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43a7c-9e42-4a88-945f-1a57865d2ee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fd384-b557-4242-8ebd-875baf592b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7130a6f-f85e-4512-91b8-fbeda0f83b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cd273-e6a8-441a-be96-ca165f2ef48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b1e51f1-af49-4a8c-9b61-1a661ff7577f}" ma:internalName="TaxCatchAll" ma:showField="CatchAllData" ma:web="229cd273-e6a8-441a-be96-ca165f2ef4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7343a7c-9e42-4a88-945f-1a57865d2ee3">
      <UserInfo>
        <DisplayName>Julia Roth</DisplayName>
        <AccountId>18</AccountId>
        <AccountType/>
      </UserInfo>
    </SharedWithUsers>
    <lcf76f155ced4ddcb4097134ff3c332f xmlns="896fd384-b557-4242-8ebd-875baf592b38">
      <Terms xmlns="http://schemas.microsoft.com/office/infopath/2007/PartnerControls"/>
    </lcf76f155ced4ddcb4097134ff3c332f>
    <TaxCatchAll xmlns="229cd273-e6a8-441a-be96-ca165f2ef484" xsi:nil="true"/>
  </documentManagement>
</p:properties>
</file>

<file path=customXml/itemProps1.xml><?xml version="1.0" encoding="utf-8"?>
<ds:datastoreItem xmlns:ds="http://schemas.openxmlformats.org/officeDocument/2006/customXml" ds:itemID="{01AF1430-8F8A-4AB2-815A-85B0AB91B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632A61-CA1E-40B6-B1FA-AD2012C64BB1}"/>
</file>

<file path=customXml/itemProps3.xml><?xml version="1.0" encoding="utf-8"?>
<ds:datastoreItem xmlns:ds="http://schemas.openxmlformats.org/officeDocument/2006/customXml" ds:itemID="{63F44CA7-7AE2-45FD-A31E-E2DDCD6897B1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763e1afb-69cc-4346-9a08-35fc7a397895"/>
    <ds:schemaRef ds:uri="http://purl.org/dc/elements/1.1/"/>
    <ds:schemaRef ds:uri="http://schemas.openxmlformats.org/package/2006/metadata/core-properties"/>
    <ds:schemaRef ds:uri="3c0e2de5-fda1-4b45-a001-713c299171e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ER_overview_Project 1</vt:lpstr>
      <vt:lpstr>ER_Antananarivo</vt:lpstr>
      <vt:lpstr>number_of_CFLs</vt:lpstr>
      <vt:lpstr>NES_all_CFLs</vt:lpstr>
      <vt:lpstr>'ER_overview_Project 1'!Druckbereich</vt:lpstr>
    </vt:vector>
  </TitlesOfParts>
  <Manager/>
  <Company>The World Bank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wb329653</dc:creator>
  <cp:keywords/>
  <dc:description/>
  <cp:lastModifiedBy>Frank Helbig</cp:lastModifiedBy>
  <cp:revision/>
  <dcterms:created xsi:type="dcterms:W3CDTF">2008-07-14T21:11:13Z</dcterms:created>
  <dcterms:modified xsi:type="dcterms:W3CDTF">2022-09-13T15:25:05Z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0x010100E314251798576C42B90B41FFCE5D698B</vt:lpwstr>
  </property>
  <property fmtid="{D5CDD505-2E9C-101B-9397-08002B2CF9AE}" pid="3" name="Order">
    <vt:r8>1566800</vt:r8>
  </property>
  <property fmtid="{D5CDD505-2E9C-101B-9397-08002B2CF9AE}" pid="4" name="MediaServiceImageTags">
    <vt:lpwstr/>
  </property>
</Properties>
</file>