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665"/>
  </bookViews>
  <sheets>
    <sheet name="Emission reduction" sheetId="25" r:id="rId1"/>
    <sheet name="BE_CH4_Xiantang" sheetId="2" r:id="rId2"/>
    <sheet name="Grid emission factor" sheetId="26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19" authorId="0">
      <text>
        <r>
          <rPr>
            <b/>
            <sz val="8"/>
            <rFont val="Tahoma"/>
            <charset val="134"/>
          </rPr>
          <t>作者:</t>
        </r>
        <r>
          <rPr>
            <sz val="8"/>
            <rFont val="Tahoma"/>
            <charset val="134"/>
          </rPr>
          <t xml:space="preserve">
mean annual precipitation /potential evapotranspiration</t>
        </r>
      </text>
    </comment>
  </commentList>
</comments>
</file>

<file path=xl/sharedStrings.xml><?xml version="1.0" encoding="utf-8"?>
<sst xmlns="http://schemas.openxmlformats.org/spreadsheetml/2006/main" count="128" uniqueCount="104">
  <si>
    <r>
      <rPr>
        <sz val="12"/>
        <rFont val="Times New Roman"/>
        <charset val="134"/>
      </rPr>
      <t>BE</t>
    </r>
    <r>
      <rPr>
        <sz val="8"/>
        <rFont val="Times New Roman"/>
        <charset val="134"/>
      </rPr>
      <t>CH4,SWDS,y</t>
    </r>
  </si>
  <si>
    <t>Xiantang</t>
  </si>
  <si>
    <r>
      <rPr>
        <sz val="11"/>
        <rFont val="宋体"/>
        <charset val="134"/>
      </rPr>
      <t>F</t>
    </r>
    <r>
      <rPr>
        <sz val="8"/>
        <rFont val="宋体"/>
        <charset val="134"/>
      </rPr>
      <t>CH4,PJ,y</t>
    </r>
    <r>
      <rPr>
        <sz val="11"/>
        <rFont val="宋体"/>
        <charset val="134"/>
      </rPr>
      <t>=η*BE</t>
    </r>
    <r>
      <rPr>
        <sz val="8"/>
        <rFont val="宋体"/>
        <charset val="134"/>
      </rPr>
      <t>CH4,SWDS,y</t>
    </r>
    <r>
      <rPr>
        <sz val="11"/>
        <rFont val="宋体"/>
        <charset val="134"/>
      </rPr>
      <t>/GWP</t>
    </r>
    <r>
      <rPr>
        <sz val="8"/>
        <rFont val="宋体"/>
        <charset val="134"/>
      </rPr>
      <t>CH4</t>
    </r>
  </si>
  <si>
    <r>
      <rPr>
        <sz val="11"/>
        <rFont val="宋体"/>
        <charset val="134"/>
      </rPr>
      <t>BE</t>
    </r>
    <r>
      <rPr>
        <sz val="8"/>
        <rFont val="宋体"/>
        <charset val="134"/>
      </rPr>
      <t>CH4,y</t>
    </r>
    <r>
      <rPr>
        <sz val="11"/>
        <rFont val="宋体"/>
        <charset val="134"/>
      </rPr>
      <t>=(1-OX</t>
    </r>
    <r>
      <rPr>
        <sz val="8"/>
        <rFont val="宋体"/>
        <charset val="134"/>
      </rPr>
      <t>top_layer</t>
    </r>
    <r>
      <rPr>
        <sz val="11"/>
        <rFont val="宋体"/>
        <charset val="134"/>
      </rPr>
      <t>)*(F</t>
    </r>
    <r>
      <rPr>
        <sz val="8"/>
        <rFont val="宋体"/>
        <charset val="134"/>
      </rPr>
      <t>CH4,PJ,y</t>
    </r>
    <r>
      <rPr>
        <sz val="11"/>
        <rFont val="宋体"/>
        <charset val="134"/>
      </rPr>
      <t>-F</t>
    </r>
    <r>
      <rPr>
        <sz val="8"/>
        <rFont val="宋体"/>
        <charset val="134"/>
      </rPr>
      <t>CH4,BL,y</t>
    </r>
    <r>
      <rPr>
        <sz val="11"/>
        <rFont val="宋体"/>
        <charset val="134"/>
      </rPr>
      <t>)GWP</t>
    </r>
    <r>
      <rPr>
        <sz val="8"/>
        <rFont val="宋体"/>
        <charset val="134"/>
      </rPr>
      <t>CH4</t>
    </r>
  </si>
  <si>
    <r>
      <rPr>
        <sz val="11"/>
        <rFont val="宋体"/>
        <charset val="134"/>
      </rPr>
      <t>BE</t>
    </r>
    <r>
      <rPr>
        <sz val="8"/>
        <rFont val="宋体"/>
        <charset val="134"/>
      </rPr>
      <t>EC,y</t>
    </r>
    <r>
      <rPr>
        <sz val="11"/>
        <rFont val="宋体"/>
        <charset val="134"/>
      </rPr>
      <t>=EC</t>
    </r>
    <r>
      <rPr>
        <sz val="8"/>
        <rFont val="宋体"/>
        <charset val="134"/>
      </rPr>
      <t>BL,k,y</t>
    </r>
    <r>
      <rPr>
        <sz val="11"/>
        <rFont val="宋体"/>
        <charset val="134"/>
      </rPr>
      <t>*EF*(1+TDL</t>
    </r>
    <r>
      <rPr>
        <sz val="8"/>
        <rFont val="宋体"/>
        <charset val="134"/>
      </rPr>
      <t>k,y</t>
    </r>
    <r>
      <rPr>
        <sz val="11"/>
        <rFont val="宋体"/>
        <charset val="134"/>
      </rPr>
      <t>)</t>
    </r>
  </si>
  <si>
    <r>
      <rPr>
        <sz val="11"/>
        <rFont val="宋体"/>
        <charset val="134"/>
      </rPr>
      <t>BE</t>
    </r>
    <r>
      <rPr>
        <sz val="8"/>
        <rFont val="宋体"/>
        <charset val="134"/>
      </rPr>
      <t>CH4,SWDS,y</t>
    </r>
  </si>
  <si>
    <r>
      <rPr>
        <sz val="11"/>
        <rFont val="Times New Roman"/>
        <charset val="134"/>
      </rPr>
      <t>F</t>
    </r>
    <r>
      <rPr>
        <sz val="7"/>
        <rFont val="Times New Roman"/>
        <charset val="134"/>
      </rPr>
      <t>CH4,PJ,y</t>
    </r>
  </si>
  <si>
    <r>
      <rPr>
        <sz val="11"/>
        <rFont val="Times New Roman"/>
        <charset val="134"/>
      </rPr>
      <t>BE</t>
    </r>
    <r>
      <rPr>
        <sz val="7"/>
        <rFont val="Times New Roman"/>
        <charset val="134"/>
      </rPr>
      <t>CH4,y</t>
    </r>
  </si>
  <si>
    <t>Year</t>
  </si>
  <si>
    <r>
      <rPr>
        <sz val="11"/>
        <rFont val="Times New Roman"/>
        <charset val="134"/>
      </rPr>
      <t>BE</t>
    </r>
    <r>
      <rPr>
        <sz val="8"/>
        <rFont val="Times New Roman"/>
        <charset val="134"/>
      </rPr>
      <t>CH4,y</t>
    </r>
  </si>
  <si>
    <r>
      <rPr>
        <sz val="11"/>
        <rFont val="Times New Roman"/>
        <charset val="134"/>
      </rPr>
      <t>BE</t>
    </r>
    <r>
      <rPr>
        <b/>
        <sz val="6"/>
        <rFont val="Times New Roman"/>
        <charset val="134"/>
      </rPr>
      <t>EC,y</t>
    </r>
  </si>
  <si>
    <t>BEy</t>
  </si>
  <si>
    <t>PEy</t>
  </si>
  <si>
    <t>ERy</t>
  </si>
  <si>
    <r>
      <rPr>
        <sz val="11"/>
        <rFont val="Times New Roman"/>
        <charset val="134"/>
      </rPr>
      <t>Estimation of project activity emissions(tonnes of 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</si>
  <si>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Estimation of baseline emissions(tonnes of 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</si>
  <si>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Estimation of leakage(tonnes of 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</si>
  <si>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Estimation of overall emission reductions (tonnes of 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</si>
  <si>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t>25/01/2022-31/12/2022</t>
  </si>
  <si>
    <t>01/01/2029-24/01/2029</t>
  </si>
  <si>
    <t>Sum</t>
  </si>
  <si>
    <t>Average</t>
  </si>
  <si>
    <r>
      <rPr>
        <sz val="10"/>
        <rFont val="Times New Roman"/>
        <charset val="134"/>
      </rPr>
      <t>Installed capacity of gas generators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kW</t>
    </r>
    <r>
      <rPr>
        <sz val="10"/>
        <rFont val="宋体"/>
        <charset val="134"/>
      </rPr>
      <t>）</t>
    </r>
  </si>
  <si>
    <t>Annual operation hours</t>
  </si>
  <si>
    <t>Electricity generated by landfill gas (Kwh)</t>
  </si>
  <si>
    <t>Efficiency of electricity generation</t>
  </si>
  <si>
    <t>Electricity consumpted plant power (KWh)</t>
  </si>
  <si>
    <t>Net electricity supplied to grid by project (KWh)</t>
  </si>
  <si>
    <t>Sum: (KWh)</t>
  </si>
  <si>
    <t>Sum: of  7 years(KWh)</t>
  </si>
  <si>
    <t>Average of  7 years (KWh)</t>
  </si>
  <si>
    <t>Electricity generated by landfill gas (MWh)</t>
  </si>
  <si>
    <r>
      <t>F</t>
    </r>
    <r>
      <rPr>
        <sz val="8"/>
        <rFont val="Times New Roman"/>
        <charset val="134"/>
      </rPr>
      <t>CH4,PJ,y</t>
    </r>
    <r>
      <rPr>
        <sz val="7"/>
        <rFont val="Times New Roman"/>
        <charset val="134"/>
      </rPr>
      <t xml:space="preserve">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</si>
  <si>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t>Total combusted LFG (m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)</t>
    </r>
  </si>
  <si>
    <t>CH4 generation estimation for Xiantang LFG Project</t>
  </si>
  <si>
    <r>
      <rPr>
        <sz val="11"/>
        <rFont val="宋体"/>
        <charset val="134"/>
      </rPr>
      <t>BE</t>
    </r>
    <r>
      <rPr>
        <vertAlign val="subscript"/>
        <sz val="11"/>
        <rFont val="宋体"/>
        <charset val="134"/>
      </rPr>
      <t>CH4,SWDS,y</t>
    </r>
  </si>
  <si>
    <r>
      <rPr>
        <sz val="11"/>
        <rFont val="宋体"/>
        <charset val="134"/>
      </rPr>
      <t>= φ*(1-f)*GWPCH4*(1-OX)*16/12*F*DOCf*MCF*</t>
    </r>
    <r>
      <rPr>
        <sz val="11"/>
        <color rgb="FF0000FF"/>
        <rFont val="宋体"/>
        <charset val="134"/>
      </rPr>
      <t xml:space="preserve">∑x=1,y∑j </t>
    </r>
    <r>
      <rPr>
        <sz val="11"/>
        <rFont val="宋体"/>
        <charset val="134"/>
      </rPr>
      <t>Wj,x*DOCj*e</t>
    </r>
    <r>
      <rPr>
        <vertAlign val="superscript"/>
        <sz val="11"/>
        <rFont val="宋体"/>
        <charset val="134"/>
      </rPr>
      <t>-kj*(y-x)</t>
    </r>
    <r>
      <rPr>
        <sz val="11"/>
        <rFont val="宋体"/>
        <charset val="134"/>
      </rPr>
      <t>*(1-e</t>
    </r>
    <r>
      <rPr>
        <vertAlign val="superscript"/>
        <sz val="11"/>
        <rFont val="宋体"/>
        <charset val="134"/>
      </rPr>
      <t>-kj</t>
    </r>
    <r>
      <rPr>
        <sz val="11"/>
        <rFont val="宋体"/>
        <charset val="134"/>
      </rPr>
      <t>)</t>
    </r>
  </si>
  <si>
    <t>Parameter</t>
  </si>
  <si>
    <t>Value</t>
  </si>
  <si>
    <t>Unit</t>
  </si>
  <si>
    <t>Source/reference</t>
  </si>
  <si>
    <t>Monitoring required</t>
  </si>
  <si>
    <t>Remark</t>
  </si>
  <si>
    <t>φ</t>
  </si>
  <si>
    <t>NA</t>
  </si>
  <si>
    <t>tool default value</t>
  </si>
  <si>
    <t>f</t>
  </si>
  <si>
    <t>by methodology</t>
  </si>
  <si>
    <r>
      <rPr>
        <sz val="11"/>
        <rFont val="宋体"/>
        <charset val="134"/>
      </rPr>
      <t>GWP</t>
    </r>
    <r>
      <rPr>
        <vertAlign val="subscript"/>
        <sz val="11"/>
        <rFont val="宋体"/>
        <charset val="134"/>
      </rPr>
      <t>CH4</t>
    </r>
  </si>
  <si>
    <t>OX</t>
  </si>
  <si>
    <t>F</t>
  </si>
  <si>
    <r>
      <rPr>
        <sz val="11"/>
        <rFont val="宋体"/>
        <charset val="134"/>
      </rPr>
      <t>DOC</t>
    </r>
    <r>
      <rPr>
        <vertAlign val="subscript"/>
        <sz val="11"/>
        <rFont val="宋体"/>
        <charset val="134"/>
      </rPr>
      <t>f</t>
    </r>
  </si>
  <si>
    <t>MCF</t>
  </si>
  <si>
    <t>tool selected value</t>
  </si>
  <si>
    <r>
      <rPr>
        <sz val="11"/>
        <rFont val="宋体"/>
        <charset val="134"/>
      </rPr>
      <t>φ*(1-f)*GWPCH4*(1-OX)*16/12*F*DOC</t>
    </r>
    <r>
      <rPr>
        <vertAlign val="subscript"/>
        <sz val="11"/>
        <rFont val="宋体"/>
        <charset val="134"/>
      </rPr>
      <t>f</t>
    </r>
    <r>
      <rPr>
        <sz val="11"/>
        <rFont val="宋体"/>
        <charset val="134"/>
      </rPr>
      <t>*MCF</t>
    </r>
  </si>
  <si>
    <t>MAT</t>
  </si>
  <si>
    <t>21.5℃</t>
  </si>
  <si>
    <t>MAP/PET</t>
  </si>
  <si>
    <t>﹥1, wet</t>
  </si>
  <si>
    <t>a</t>
  </si>
  <si>
    <t>b</t>
  </si>
  <si>
    <t>c</t>
  </si>
  <si>
    <t xml:space="preserve">d </t>
  </si>
  <si>
    <t>e</t>
  </si>
  <si>
    <t>j</t>
  </si>
  <si>
    <t>Wood and wood products</t>
  </si>
  <si>
    <t>pulp, papere tc</t>
  </si>
  <si>
    <t>food, etc</t>
  </si>
  <si>
    <t>textiles</t>
  </si>
  <si>
    <t>Garden,etc</t>
  </si>
  <si>
    <t>Glass,etc</t>
  </si>
  <si>
    <t>DOCj(dry)</t>
  </si>
  <si>
    <t>DOCj (wet)</t>
  </si>
  <si>
    <t>Kj (MAT﹥20,wet)</t>
  </si>
  <si>
    <t>Kj (wet)</t>
  </si>
  <si>
    <t>Faction [wet,kg/kg]</t>
  </si>
  <si>
    <t>Wj,x*DOCj</t>
  </si>
  <si>
    <t>x</t>
  </si>
  <si>
    <t xml:space="preserve"> </t>
  </si>
  <si>
    <t>Annual Waste dumped (t/y)</t>
  </si>
  <si>
    <t>Wa</t>
  </si>
  <si>
    <t>Wb</t>
  </si>
  <si>
    <t>Wc</t>
  </si>
  <si>
    <t>Wd</t>
  </si>
  <si>
    <t>We</t>
  </si>
  <si>
    <t>Wf</t>
  </si>
  <si>
    <t>Wa,x*DOCa</t>
  </si>
  <si>
    <t>Wb,x*DOCb</t>
  </si>
  <si>
    <t>Wc,x*DOCc</t>
  </si>
  <si>
    <t>Wd,x*DOCd</t>
  </si>
  <si>
    <t>We,x*DOCe</t>
  </si>
  <si>
    <r>
      <rPr>
        <sz val="11"/>
        <rFont val="宋体"/>
        <charset val="134"/>
      </rPr>
      <t>φ*(1-f)*GWPCH4*(1-OX)*16/12*F*DOCf*MCF*</t>
    </r>
    <r>
      <rPr>
        <sz val="11"/>
        <color rgb="FF0000FF"/>
        <rFont val="宋体"/>
        <charset val="134"/>
      </rPr>
      <t xml:space="preserve">∑x=1,y∑j </t>
    </r>
    <r>
      <rPr>
        <sz val="11"/>
        <rFont val="宋体"/>
        <charset val="134"/>
      </rPr>
      <t>Wj,x*DOCj*e</t>
    </r>
    <r>
      <rPr>
        <vertAlign val="superscript"/>
        <sz val="11"/>
        <rFont val="宋体"/>
        <charset val="134"/>
      </rPr>
      <t>-kj*(y-x)</t>
    </r>
    <r>
      <rPr>
        <sz val="11"/>
        <rFont val="宋体"/>
        <charset val="134"/>
      </rPr>
      <t>*(1-e</t>
    </r>
    <r>
      <rPr>
        <vertAlign val="superscript"/>
        <sz val="11"/>
        <rFont val="宋体"/>
        <charset val="134"/>
      </rPr>
      <t>-kj</t>
    </r>
    <r>
      <rPr>
        <sz val="11"/>
        <rFont val="宋体"/>
        <charset val="134"/>
      </rPr>
      <t>)</t>
    </r>
  </si>
  <si>
    <t>Collection efficiency</t>
  </si>
  <si>
    <t>y</t>
  </si>
  <si>
    <t>Calculation of CM emission factor of China Southern Power Grid</t>
  </si>
  <si>
    <r>
      <rPr>
        <sz val="12"/>
        <rFont val="Times New Roman"/>
        <charset val="134"/>
      </rPr>
      <t>EF</t>
    </r>
    <r>
      <rPr>
        <sz val="8"/>
        <rFont val="Times New Roman"/>
        <charset val="134"/>
      </rPr>
      <t xml:space="preserve">grid,CM,y </t>
    </r>
    <r>
      <rPr>
        <sz val="12"/>
        <rFont val="Times New Roman"/>
        <charset val="134"/>
      </rPr>
      <t>=  W</t>
    </r>
    <r>
      <rPr>
        <sz val="8"/>
        <rFont val="Times New Roman"/>
        <charset val="134"/>
      </rPr>
      <t>OM</t>
    </r>
    <r>
      <rPr>
        <sz val="12"/>
        <rFont val="Times New Roman"/>
        <charset val="134"/>
      </rPr>
      <t>* EF</t>
    </r>
    <r>
      <rPr>
        <sz val="8"/>
        <rFont val="Times New Roman"/>
        <charset val="134"/>
      </rPr>
      <t>grid, OM,y</t>
    </r>
    <r>
      <rPr>
        <sz val="12"/>
        <rFont val="Times New Roman"/>
        <charset val="134"/>
      </rPr>
      <t xml:space="preserve"> + W</t>
    </r>
    <r>
      <rPr>
        <sz val="8"/>
        <rFont val="Times New Roman"/>
        <charset val="134"/>
      </rPr>
      <t>BM</t>
    </r>
    <r>
      <rPr>
        <sz val="12"/>
        <rFont val="Times New Roman"/>
        <charset val="134"/>
      </rPr>
      <t xml:space="preserve"> *EF</t>
    </r>
    <r>
      <rPr>
        <sz val="8"/>
        <rFont val="Times New Roman"/>
        <charset val="134"/>
      </rPr>
      <t>grid,BM,y</t>
    </r>
    <r>
      <rPr>
        <sz val="12"/>
        <rFont val="Times New Roman"/>
        <charset val="134"/>
      </rPr>
      <t xml:space="preserve"> </t>
    </r>
  </si>
  <si>
    <t>OM</t>
  </si>
  <si>
    <t>BM</t>
  </si>
  <si>
    <t>CM</t>
  </si>
  <si>
    <r>
      <rPr>
        <sz val="11"/>
        <rFont val="Arial"/>
        <charset val="134"/>
      </rPr>
      <t>(tCO</t>
    </r>
    <r>
      <rPr>
        <vertAlign val="subscript"/>
        <sz val="11"/>
        <rFont val="Arial"/>
        <charset val="134"/>
      </rPr>
      <t>2</t>
    </r>
    <r>
      <rPr>
        <sz val="11"/>
        <rFont val="Arial"/>
        <charset val="134"/>
      </rPr>
      <t>e/MWh)</t>
    </r>
  </si>
  <si>
    <r>
      <rPr>
        <sz val="12"/>
        <rFont val="Arial"/>
        <charset val="134"/>
      </rPr>
      <t>(tCO</t>
    </r>
    <r>
      <rPr>
        <sz val="8"/>
        <rFont val="Arial"/>
        <charset val="134"/>
      </rPr>
      <t>2</t>
    </r>
    <r>
      <rPr>
        <sz val="12"/>
        <rFont val="Arial"/>
        <charset val="134"/>
      </rPr>
      <t>e/MWh)</t>
    </r>
  </si>
  <si>
    <t>A</t>
  </si>
  <si>
    <t>B</t>
  </si>
  <si>
    <t>C=0.5×A+0.5×B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</si>
</sst>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0.0000_ "/>
    <numFmt numFmtId="179" formatCode="0.00000_ "/>
    <numFmt numFmtId="180" formatCode="0.00;_琀"/>
    <numFmt numFmtId="181" formatCode="0_ "/>
    <numFmt numFmtId="182" formatCode="#,##0;[Red]#,##0"/>
    <numFmt numFmtId="183" formatCode="#,##0_);[Red]\(#,##0\)"/>
    <numFmt numFmtId="184" formatCode="#,##0.000_);[Red]\(#,##0.000\)"/>
    <numFmt numFmtId="185" formatCode="#,##0.0_);[Red]\(#,##0.0\)"/>
  </numFmts>
  <fonts count="52">
    <font>
      <sz val="12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2"/>
      <color rgb="FF800080"/>
      <name val="宋体"/>
      <charset val="134"/>
    </font>
    <font>
      <sz val="12"/>
      <color indexed="8"/>
      <name val="Times New Roman"/>
      <charset val="134"/>
    </font>
    <font>
      <b/>
      <sz val="11"/>
      <color indexed="13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Times New Roman"/>
      <charset val="134"/>
    </font>
    <font>
      <vertAlign val="subscript"/>
      <sz val="11"/>
      <name val="Arial"/>
      <charset val="134"/>
    </font>
    <font>
      <sz val="8"/>
      <name val="Arial"/>
      <charset val="134"/>
    </font>
    <font>
      <vertAlign val="subscript"/>
      <sz val="11"/>
      <name val="宋体"/>
      <charset val="134"/>
    </font>
    <font>
      <sz val="11"/>
      <color rgb="FF0000FF"/>
      <name val="宋体"/>
      <charset val="134"/>
    </font>
    <font>
      <vertAlign val="superscript"/>
      <sz val="11"/>
      <name val="宋体"/>
      <charset val="134"/>
    </font>
    <font>
      <sz val="8"/>
      <name val="宋体"/>
      <charset val="134"/>
    </font>
    <font>
      <sz val="7"/>
      <name val="Times New Roman"/>
      <charset val="134"/>
    </font>
    <font>
      <b/>
      <sz val="6"/>
      <name val="Times New Roman"/>
      <charset val="134"/>
    </font>
    <font>
      <sz val="10"/>
      <name val="宋体"/>
      <charset val="134"/>
    </font>
    <font>
      <vertAlign val="superscript"/>
      <sz val="10"/>
      <name val="Times New Roman"/>
      <charset val="134"/>
    </font>
    <font>
      <b/>
      <sz val="8"/>
      <name val="Tahoma"/>
      <charset val="134"/>
    </font>
    <font>
      <sz val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2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29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32" applyNumberFormat="0" applyAlignment="0" applyProtection="0">
      <alignment vertical="center"/>
    </xf>
    <xf numFmtId="0" fontId="33" fillId="14" borderId="28" applyNumberFormat="0" applyAlignment="0" applyProtection="0">
      <alignment vertical="center"/>
    </xf>
    <xf numFmtId="0" fontId="34" fillId="15" borderId="33" applyNumberFormat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78" fontId="7" fillId="2" borderId="10" xfId="0" applyNumberFormat="1" applyFont="1" applyFill="1" applyBorder="1" applyAlignment="1">
      <alignment horizontal="center" vertical="center" wrapText="1"/>
    </xf>
    <xf numFmtId="178" fontId="7" fillId="2" borderId="11" xfId="0" applyNumberFormat="1" applyFont="1" applyFill="1" applyBorder="1" applyAlignment="1">
      <alignment horizontal="center" vertical="center" wrapText="1"/>
    </xf>
    <xf numFmtId="179" fontId="7" fillId="2" borderId="12" xfId="0" applyNumberFormat="1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0" borderId="0" xfId="0" applyFont="1" applyFill="1"/>
    <xf numFmtId="0" fontId="8" fillId="0" borderId="0" xfId="0" applyFont="1"/>
    <xf numFmtId="0" fontId="9" fillId="0" borderId="0" xfId="0" applyFont="1"/>
    <xf numFmtId="0" fontId="10" fillId="0" borderId="0" xfId="10" applyFont="1" applyAlignment="1" applyProtection="1"/>
    <xf numFmtId="0" fontId="7" fillId="0" borderId="0" xfId="0" applyFont="1"/>
    <xf numFmtId="0" fontId="8" fillId="4" borderId="0" xfId="0" applyFont="1" applyFill="1"/>
    <xf numFmtId="9" fontId="8" fillId="4" borderId="0" xfId="0" applyNumberFormat="1" applyFont="1" applyFill="1"/>
    <xf numFmtId="9" fontId="8" fillId="0" borderId="0" xfId="0" applyNumberFormat="1" applyFont="1" applyFill="1"/>
    <xf numFmtId="180" fontId="8" fillId="0" borderId="0" xfId="0" applyNumberFormat="1" applyFont="1" applyFill="1"/>
    <xf numFmtId="10" fontId="8" fillId="0" borderId="0" xfId="0" applyNumberFormat="1" applyFont="1"/>
    <xf numFmtId="181" fontId="8" fillId="0" borderId="0" xfId="0" applyNumberFormat="1" applyFont="1"/>
    <xf numFmtId="0" fontId="7" fillId="0" borderId="0" xfId="0" applyFont="1" applyBorder="1" applyAlignment="1">
      <alignment horizontal="center" wrapText="1"/>
    </xf>
    <xf numFmtId="3" fontId="11" fillId="0" borderId="0" xfId="0" applyNumberFormat="1" applyFont="1" applyFill="1"/>
    <xf numFmtId="3" fontId="8" fillId="0" borderId="13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center"/>
    </xf>
    <xf numFmtId="3" fontId="8" fillId="3" borderId="0" xfId="0" applyNumberFormat="1" applyFont="1" applyFill="1" applyBorder="1" applyAlignment="1">
      <alignment horizontal="center"/>
    </xf>
    <xf numFmtId="9" fontId="12" fillId="3" borderId="0" xfId="0" applyNumberFormat="1" applyFont="1" applyFill="1"/>
    <xf numFmtId="176" fontId="8" fillId="0" borderId="0" xfId="0" applyNumberFormat="1" applyFont="1"/>
    <xf numFmtId="0" fontId="0" fillId="0" borderId="14" xfId="0" applyBorder="1"/>
    <xf numFmtId="0" fontId="13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181" fontId="3" fillId="0" borderId="0" xfId="0" applyNumberFormat="1" applyFont="1"/>
    <xf numFmtId="177" fontId="0" fillId="0" borderId="0" xfId="0" applyNumberFormat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0" borderId="18" xfId="0" applyFont="1" applyBorder="1" applyAlignment="1">
      <alignment horizontal="center" wrapText="1"/>
    </xf>
    <xf numFmtId="176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0" fillId="4" borderId="18" xfId="0" applyFill="1" applyBorder="1"/>
    <xf numFmtId="0" fontId="7" fillId="4" borderId="18" xfId="0" applyFont="1" applyFill="1" applyBorder="1" applyAlignment="1">
      <alignment horizontal="center" wrapText="1"/>
    </xf>
    <xf numFmtId="0" fontId="8" fillId="0" borderId="18" xfId="0" applyFont="1" applyBorder="1"/>
    <xf numFmtId="182" fontId="7" fillId="0" borderId="18" xfId="0" applyNumberFormat="1" applyFont="1" applyBorder="1" applyAlignment="1">
      <alignment horizontal="center"/>
    </xf>
    <xf numFmtId="0" fontId="7" fillId="0" borderId="18" xfId="27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0" applyNumberFormat="1" applyFont="1" applyBorder="1" applyAlignment="1">
      <alignment horizont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0" fillId="0" borderId="0" xfId="0" applyFont="1"/>
    <xf numFmtId="182" fontId="0" fillId="0" borderId="0" xfId="0" applyNumberFormat="1"/>
    <xf numFmtId="183" fontId="7" fillId="0" borderId="0" xfId="0" applyNumberFormat="1" applyFont="1" applyAlignment="1">
      <alignment horizontal="center"/>
    </xf>
    <xf numFmtId="182" fontId="7" fillId="0" borderId="0" xfId="0" applyNumberFormat="1" applyFont="1" applyBorder="1"/>
    <xf numFmtId="183" fontId="7" fillId="0" borderId="0" xfId="0" applyNumberFormat="1" applyFont="1"/>
    <xf numFmtId="183" fontId="7" fillId="0" borderId="19" xfId="0" applyNumberFormat="1" applyFont="1" applyBorder="1" applyAlignment="1">
      <alignment horizontal="center"/>
    </xf>
    <xf numFmtId="0" fontId="7" fillId="0" borderId="0" xfId="0" applyFont="1" applyBorder="1"/>
    <xf numFmtId="183" fontId="0" fillId="0" borderId="0" xfId="0" applyNumberFormat="1"/>
    <xf numFmtId="0" fontId="7" fillId="4" borderId="18" xfId="0" applyFont="1" applyFill="1" applyBorder="1" applyAlignment="1">
      <alignment horizontal="center"/>
    </xf>
    <xf numFmtId="183" fontId="7" fillId="0" borderId="18" xfId="0" applyNumberFormat="1" applyFont="1" applyBorder="1" applyAlignment="1">
      <alignment horizontal="center"/>
    </xf>
    <xf numFmtId="183" fontId="7" fillId="0" borderId="18" xfId="0" applyNumberFormat="1" applyFont="1" applyBorder="1"/>
    <xf numFmtId="176" fontId="7" fillId="0" borderId="0" xfId="0" applyNumberFormat="1" applyFont="1"/>
    <xf numFmtId="176" fontId="0" fillId="0" borderId="0" xfId="0" applyNumberFormat="1"/>
    <xf numFmtId="0" fontId="0" fillId="0" borderId="0" xfId="0" applyAlignment="1">
      <alignment vertical="center" wrapText="1"/>
    </xf>
    <xf numFmtId="0" fontId="7" fillId="0" borderId="19" xfId="0" applyFont="1" applyBorder="1" applyAlignment="1">
      <alignment horizontal="center"/>
    </xf>
    <xf numFmtId="0" fontId="8" fillId="0" borderId="20" xfId="0" applyFont="1" applyBorder="1"/>
    <xf numFmtId="183" fontId="7" fillId="0" borderId="20" xfId="0" applyNumberFormat="1" applyFont="1" applyBorder="1"/>
    <xf numFmtId="183" fontId="7" fillId="0" borderId="21" xfId="0" applyNumberFormat="1" applyFont="1" applyBorder="1"/>
    <xf numFmtId="0" fontId="3" fillId="0" borderId="19" xfId="0" applyFont="1" applyBorder="1" applyAlignment="1">
      <alignment horizontal="center"/>
    </xf>
    <xf numFmtId="0" fontId="0" fillId="0" borderId="20" xfId="0" applyBorder="1"/>
    <xf numFmtId="3" fontId="7" fillId="0" borderId="0" xfId="0" applyNumberFormat="1" applyFont="1"/>
    <xf numFmtId="0" fontId="3" fillId="0" borderId="22" xfId="0" applyFont="1" applyBorder="1" applyAlignment="1">
      <alignment horizontal="left"/>
    </xf>
    <xf numFmtId="0" fontId="15" fillId="4" borderId="23" xfId="27" applyFont="1" applyFill="1" applyBorder="1" applyAlignment="1">
      <alignment horizontal="center" vertical="center"/>
    </xf>
    <xf numFmtId="0" fontId="15" fillId="4" borderId="24" xfId="27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15" fillId="4" borderId="25" xfId="27" applyFont="1" applyFill="1" applyBorder="1" applyAlignment="1">
      <alignment horizontal="center" vertical="center"/>
    </xf>
    <xf numFmtId="0" fontId="15" fillId="4" borderId="26" xfId="27" applyFont="1" applyFill="1" applyBorder="1" applyAlignment="1">
      <alignment horizontal="center" vertical="center"/>
    </xf>
    <xf numFmtId="0" fontId="16" fillId="0" borderId="18" xfId="27" applyFont="1" applyBorder="1" applyAlignment="1">
      <alignment vertical="center" wrapText="1"/>
    </xf>
    <xf numFmtId="0" fontId="7" fillId="0" borderId="19" xfId="27" applyFont="1" applyBorder="1" applyAlignment="1">
      <alignment horizontal="center" vertical="center"/>
    </xf>
    <xf numFmtId="0" fontId="7" fillId="0" borderId="21" xfId="27" applyFont="1" applyBorder="1" applyAlignment="1">
      <alignment horizontal="center" vertical="center"/>
    </xf>
    <xf numFmtId="181" fontId="17" fillId="0" borderId="19" xfId="27" applyNumberFormat="1" applyFont="1" applyFill="1" applyBorder="1" applyAlignment="1">
      <alignment horizontal="center" vertical="center"/>
    </xf>
    <xf numFmtId="181" fontId="17" fillId="0" borderId="21" xfId="27" applyNumberFormat="1" applyFont="1" applyFill="1" applyBorder="1" applyAlignment="1">
      <alignment horizontal="center" vertical="center"/>
    </xf>
    <xf numFmtId="183" fontId="7" fillId="0" borderId="19" xfId="27" applyNumberFormat="1" applyFont="1" applyBorder="1" applyAlignment="1">
      <alignment horizontal="center" vertical="center"/>
    </xf>
    <xf numFmtId="183" fontId="7" fillId="0" borderId="21" xfId="27" applyNumberFormat="1" applyFont="1" applyBorder="1" applyAlignment="1">
      <alignment horizontal="center" vertical="center"/>
    </xf>
    <xf numFmtId="176" fontId="7" fillId="0" borderId="18" xfId="0" applyNumberFormat="1" applyFont="1" applyBorder="1"/>
    <xf numFmtId="176" fontId="7" fillId="0" borderId="0" xfId="0" applyNumberFormat="1" applyFont="1" applyBorder="1"/>
    <xf numFmtId="184" fontId="7" fillId="0" borderId="0" xfId="0" applyNumberFormat="1" applyFont="1"/>
    <xf numFmtId="176" fontId="18" fillId="0" borderId="0" xfId="0" applyNumberFormat="1" applyFont="1" applyAlignment="1">
      <alignment horizontal="center"/>
    </xf>
    <xf numFmtId="177" fontId="15" fillId="4" borderId="24" xfId="27" applyNumberFormat="1" applyFont="1" applyFill="1" applyBorder="1" applyAlignment="1">
      <alignment horizontal="center" vertical="center"/>
    </xf>
    <xf numFmtId="177" fontId="15" fillId="4" borderId="26" xfId="27" applyNumberFormat="1" applyFont="1" applyFill="1" applyBorder="1" applyAlignment="1">
      <alignment horizontal="center" vertical="center"/>
    </xf>
    <xf numFmtId="177" fontId="7" fillId="0" borderId="21" xfId="27" applyNumberFormat="1" applyFont="1" applyBorder="1" applyAlignment="1">
      <alignment horizontal="center" vertical="center"/>
    </xf>
    <xf numFmtId="185" fontId="7" fillId="0" borderId="19" xfId="27" applyNumberFormat="1" applyFont="1" applyBorder="1" applyAlignment="1">
      <alignment horizontal="center" vertical="center"/>
    </xf>
    <xf numFmtId="185" fontId="7" fillId="0" borderId="21" xfId="27" applyNumberFormat="1" applyFont="1" applyBorder="1" applyAlignment="1">
      <alignment horizontal="center" vertical="center"/>
    </xf>
    <xf numFmtId="0" fontId="16" fillId="0" borderId="18" xfId="27" applyFont="1" applyFill="1" applyBorder="1" applyAlignment="1">
      <alignment vertical="center" wrapText="1"/>
    </xf>
    <xf numFmtId="0" fontId="7" fillId="0" borderId="20" xfId="0" applyFont="1" applyBorder="1" applyAlignment="1">
      <alignment horizontal="center"/>
    </xf>
    <xf numFmtId="183" fontId="7" fillId="0" borderId="25" xfId="0" applyNumberFormat="1" applyFont="1" applyBorder="1" applyAlignment="1">
      <alignment horizontal="center"/>
    </xf>
    <xf numFmtId="183" fontId="7" fillId="0" borderId="27" xfId="0" applyNumberFormat="1" applyFont="1" applyBorder="1" applyAlignment="1">
      <alignment horizontal="center"/>
    </xf>
    <xf numFmtId="0" fontId="0" fillId="0" borderId="27" xfId="0" applyBorder="1"/>
    <xf numFmtId="183" fontId="7" fillId="0" borderId="20" xfId="0" applyNumberFormat="1" applyFont="1" applyBorder="1" applyAlignment="1">
      <alignment horizontal="center"/>
    </xf>
    <xf numFmtId="0" fontId="3" fillId="0" borderId="23" xfId="0" applyFont="1" applyBorder="1"/>
    <xf numFmtId="0" fontId="3" fillId="0" borderId="18" xfId="27" applyFont="1" applyBorder="1" applyAlignment="1">
      <alignment vertical="center" wrapText="1"/>
    </xf>
    <xf numFmtId="176" fontId="3" fillId="0" borderId="8" xfId="0" applyNumberFormat="1" applyFont="1" applyBorder="1"/>
    <xf numFmtId="0" fontId="3" fillId="0" borderId="18" xfId="0" applyFont="1" applyBorder="1"/>
    <xf numFmtId="176" fontId="3" fillId="0" borderId="18" xfId="0" applyNumberFormat="1" applyFont="1" applyBorder="1"/>
    <xf numFmtId="177" fontId="7" fillId="0" borderId="20" xfId="0" applyNumberFormat="1" applyFont="1" applyBorder="1" applyAlignment="1">
      <alignment horizontal="center"/>
    </xf>
    <xf numFmtId="177" fontId="0" fillId="0" borderId="27" xfId="0" applyNumberFormat="1" applyBorder="1"/>
    <xf numFmtId="177" fontId="0" fillId="0" borderId="20" xfId="0" applyNumberFormat="1" applyBorder="1"/>
    <xf numFmtId="0" fontId="7" fillId="0" borderId="21" xfId="0" applyFont="1" applyBorder="1" applyAlignment="1">
      <alignment horizontal="center"/>
    </xf>
    <xf numFmtId="0" fontId="0" fillId="0" borderId="26" xfId="0" applyBorder="1"/>
    <xf numFmtId="0" fontId="0" fillId="0" borderId="21" xfId="0" applyBorder="1"/>
    <xf numFmtId="0" fontId="8" fillId="3" borderId="0" xfId="0" applyFont="1" applyFill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Huizhou Emission Reduction Calculation Spreadsheet(2009.5.8)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0000FF"/>
      <color rgb="00C0C0C0"/>
      <color rgb="0000CC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"/>
  <sheetViews>
    <sheetView tabSelected="1" topLeftCell="A55" workbookViewId="0">
      <selection activeCell="I85" sqref="I85"/>
    </sheetView>
  </sheetViews>
  <sheetFormatPr defaultColWidth="9" defaultRowHeight="14.25"/>
  <cols>
    <col min="1" max="1" width="18.25" customWidth="1"/>
    <col min="2" max="2" width="13.5" customWidth="1"/>
    <col min="3" max="3" width="13.25" customWidth="1"/>
    <col min="4" max="4" width="12.25" customWidth="1"/>
    <col min="5" max="5" width="11.5833333333333" customWidth="1"/>
    <col min="6" max="14" width="11.5" customWidth="1"/>
    <col min="15" max="15" width="11.5" style="45" customWidth="1"/>
    <col min="16" max="17" width="11.5" customWidth="1"/>
    <col min="18" max="19" width="12.5833333333333"/>
  </cols>
  <sheetData>
    <row r="1" ht="15.75" spans="1:1">
      <c r="A1" s="3" t="s">
        <v>0</v>
      </c>
    </row>
    <row r="2" ht="15" spans="1:10">
      <c r="A2" s="46"/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ht="15" spans="1:10">
      <c r="A3" s="48">
        <v>2022</v>
      </c>
      <c r="B3" s="49">
        <f>BE_CH4_Xiantang!A63</f>
        <v>85599.3215465776</v>
      </c>
      <c r="C3" s="50"/>
      <c r="D3" s="50"/>
      <c r="E3" s="50"/>
      <c r="F3" s="50"/>
      <c r="G3" s="50"/>
      <c r="H3" s="50"/>
      <c r="I3" s="50"/>
      <c r="J3" s="99"/>
    </row>
    <row r="4" ht="15" spans="1:10">
      <c r="A4" s="48">
        <f>A3+1</f>
        <v>2023</v>
      </c>
      <c r="B4" s="49">
        <f>BE_CH4_Xiantang!A64</f>
        <v>98898.1540255553</v>
      </c>
      <c r="C4" s="50"/>
      <c r="D4" s="50"/>
      <c r="E4" s="50"/>
      <c r="F4" s="50"/>
      <c r="G4" s="50"/>
      <c r="H4" s="50"/>
      <c r="I4" s="50"/>
      <c r="J4" s="99"/>
    </row>
    <row r="5" ht="15" spans="1:10">
      <c r="A5" s="48">
        <f t="shared" ref="A5:A10" si="0">A4+1</f>
        <v>2024</v>
      </c>
      <c r="B5" s="49">
        <f>BE_CH4_Xiantang!A65</f>
        <v>114186.578805597</v>
      </c>
      <c r="C5" s="50"/>
      <c r="D5" s="50"/>
      <c r="E5" s="50"/>
      <c r="F5" s="50"/>
      <c r="G5" s="50"/>
      <c r="H5" s="50"/>
      <c r="I5" s="50"/>
      <c r="J5" s="99"/>
    </row>
    <row r="6" ht="15" spans="1:10">
      <c r="A6" s="48">
        <f t="shared" si="0"/>
        <v>2025</v>
      </c>
      <c r="B6" s="49">
        <f>BE_CH4_Xiantang!A66</f>
        <v>131756.872263954</v>
      </c>
      <c r="C6" s="50"/>
      <c r="D6" s="50"/>
      <c r="E6" s="50"/>
      <c r="F6" s="50"/>
      <c r="G6" s="50"/>
      <c r="H6" s="50"/>
      <c r="I6" s="50"/>
      <c r="J6" s="99"/>
    </row>
    <row r="7" ht="15" spans="1:10">
      <c r="A7" s="48">
        <f t="shared" si="0"/>
        <v>2026</v>
      </c>
      <c r="B7" s="49">
        <f>BE_CH4_Xiantang!A67</f>
        <v>151948.772293261</v>
      </c>
      <c r="C7" s="50"/>
      <c r="D7" s="50"/>
      <c r="E7" s="50"/>
      <c r="F7" s="50"/>
      <c r="G7" s="50"/>
      <c r="H7" s="50"/>
      <c r="I7" s="50"/>
      <c r="J7" s="99"/>
    </row>
    <row r="8" ht="15" spans="1:10">
      <c r="A8" s="48">
        <f t="shared" si="0"/>
        <v>2027</v>
      </c>
      <c r="B8" s="49">
        <f>BE_CH4_Xiantang!A68</f>
        <v>175140.024999263</v>
      </c>
      <c r="C8" s="50"/>
      <c r="D8" s="50"/>
      <c r="E8" s="50"/>
      <c r="F8" s="50"/>
      <c r="G8" s="50"/>
      <c r="H8" s="50"/>
      <c r="I8" s="50"/>
      <c r="J8" s="99"/>
    </row>
    <row r="9" ht="15" spans="1:10">
      <c r="A9" s="48">
        <f t="shared" si="0"/>
        <v>2028</v>
      </c>
      <c r="B9" s="49">
        <f>BE_CH4_Xiantang!A69</f>
        <v>201793.009300293</v>
      </c>
      <c r="C9" s="50"/>
      <c r="D9" s="50"/>
      <c r="E9" s="50"/>
      <c r="F9" s="50"/>
      <c r="G9" s="50"/>
      <c r="H9" s="50"/>
      <c r="I9" s="50"/>
      <c r="J9" s="99"/>
    </row>
    <row r="10" ht="15" spans="1:10">
      <c r="A10" s="48">
        <f t="shared" si="0"/>
        <v>2029</v>
      </c>
      <c r="B10" s="49">
        <f>BE_CH4_Xiantang!A70</f>
        <v>232426.546598836</v>
      </c>
      <c r="C10" s="50"/>
      <c r="D10" s="50"/>
      <c r="E10" s="50"/>
      <c r="F10" s="50"/>
      <c r="G10" s="50"/>
      <c r="H10" s="50"/>
      <c r="I10" s="50"/>
      <c r="J10" s="99"/>
    </row>
    <row r="11" ht="15" spans="1:10">
      <c r="A11" s="51"/>
      <c r="B11" s="51"/>
      <c r="C11" s="51"/>
      <c r="D11" s="51"/>
      <c r="E11" s="51"/>
      <c r="F11" s="51"/>
      <c r="G11" s="51"/>
      <c r="H11" s="51"/>
      <c r="I11" s="51"/>
      <c r="J11" s="100"/>
    </row>
    <row r="12" ht="15" spans="1:10">
      <c r="A12" s="32"/>
      <c r="B12" s="51"/>
      <c r="C12" s="51"/>
      <c r="D12" s="51"/>
      <c r="E12" s="51"/>
      <c r="F12" s="51"/>
      <c r="G12" s="51"/>
      <c r="H12" s="51"/>
      <c r="I12" s="51"/>
      <c r="J12" s="100"/>
    </row>
    <row r="13" ht="15" spans="1:10">
      <c r="A13" s="20" t="s">
        <v>2</v>
      </c>
      <c r="B13" s="52"/>
      <c r="C13" s="52"/>
      <c r="D13" s="51"/>
      <c r="E13" s="51"/>
      <c r="F13" s="51"/>
      <c r="G13" s="51"/>
      <c r="H13" s="51"/>
      <c r="I13" s="51"/>
      <c r="J13" s="100"/>
    </row>
    <row r="14" ht="15" spans="1:10">
      <c r="A14" s="20" t="s">
        <v>3</v>
      </c>
      <c r="B14" s="52"/>
      <c r="C14" s="52"/>
      <c r="D14" s="51"/>
      <c r="E14" s="51"/>
      <c r="F14" s="51"/>
      <c r="G14" s="51"/>
      <c r="H14" s="51"/>
      <c r="I14" s="51"/>
      <c r="J14" s="100"/>
    </row>
    <row r="15" spans="1:3">
      <c r="A15" s="20" t="s">
        <v>4</v>
      </c>
      <c r="B15" s="53"/>
      <c r="C15" s="53"/>
    </row>
    <row r="16" spans="1:3">
      <c r="A16" s="21"/>
      <c r="B16" s="54"/>
      <c r="C16" s="54"/>
    </row>
    <row r="17" ht="15" spans="1:9">
      <c r="A17" s="55"/>
      <c r="B17" s="56">
        <v>2022</v>
      </c>
      <c r="C17" s="56">
        <f>B17+1</f>
        <v>2023</v>
      </c>
      <c r="D17" s="56">
        <f t="shared" ref="D17:I17" si="1">C17+1</f>
        <v>2024</v>
      </c>
      <c r="E17" s="56">
        <f t="shared" si="1"/>
        <v>2025</v>
      </c>
      <c r="F17" s="56">
        <f t="shared" si="1"/>
        <v>2026</v>
      </c>
      <c r="G17" s="56">
        <f t="shared" si="1"/>
        <v>2027</v>
      </c>
      <c r="H17" s="56">
        <f t="shared" si="1"/>
        <v>2028</v>
      </c>
      <c r="I17" s="56">
        <f t="shared" si="1"/>
        <v>2029</v>
      </c>
    </row>
    <row r="18" ht="15" spans="1:9">
      <c r="A18" s="57" t="s">
        <v>5</v>
      </c>
      <c r="B18" s="58">
        <f>B3</f>
        <v>85599.3215465776</v>
      </c>
      <c r="C18" s="58">
        <f>B4</f>
        <v>98898.1540255553</v>
      </c>
      <c r="D18" s="58">
        <f>B5</f>
        <v>114186.578805597</v>
      </c>
      <c r="E18" s="58">
        <f>B6</f>
        <v>131756.872263954</v>
      </c>
      <c r="F18" s="58">
        <f>B7</f>
        <v>151948.772293261</v>
      </c>
      <c r="G18" s="58">
        <f>B8</f>
        <v>175140.024999263</v>
      </c>
      <c r="H18" s="58">
        <f>B9</f>
        <v>201793.009300293</v>
      </c>
      <c r="I18" s="58">
        <f>B10</f>
        <v>232426.546598836</v>
      </c>
    </row>
    <row r="19" ht="15" spans="1:9">
      <c r="A19" s="59" t="s">
        <v>6</v>
      </c>
      <c r="B19" s="58">
        <f>0.9*B18/28</f>
        <v>2751.40676399714</v>
      </c>
      <c r="C19" s="58">
        <f t="shared" ref="C19:I19" si="2">0.9*C18/28</f>
        <v>3178.86923653571</v>
      </c>
      <c r="D19" s="58">
        <f t="shared" si="2"/>
        <v>3670.28289017991</v>
      </c>
      <c r="E19" s="58">
        <f t="shared" si="2"/>
        <v>4235.04232276995</v>
      </c>
      <c r="F19" s="58">
        <f t="shared" si="2"/>
        <v>4884.06768085482</v>
      </c>
      <c r="G19" s="58">
        <f t="shared" si="2"/>
        <v>5629.50080354773</v>
      </c>
      <c r="H19" s="58">
        <f t="shared" si="2"/>
        <v>6486.20387036655</v>
      </c>
      <c r="I19" s="58">
        <f t="shared" si="2"/>
        <v>7470.85328353401</v>
      </c>
    </row>
    <row r="20" ht="15" spans="1:9">
      <c r="A20" s="60" t="s">
        <v>7</v>
      </c>
      <c r="B20" s="58">
        <f>INT((1-0.1)*0.8*B19*28)</f>
        <v>55468</v>
      </c>
      <c r="C20" s="58">
        <f t="shared" ref="C20:I20" si="3">INT((1-0.1)*0.8*C19*28)</f>
        <v>64086</v>
      </c>
      <c r="D20" s="58">
        <f t="shared" si="3"/>
        <v>73992</v>
      </c>
      <c r="E20" s="58">
        <f t="shared" si="3"/>
        <v>85378</v>
      </c>
      <c r="F20" s="58">
        <f t="shared" si="3"/>
        <v>98462</v>
      </c>
      <c r="G20" s="58">
        <f t="shared" si="3"/>
        <v>113490</v>
      </c>
      <c r="H20" s="58">
        <f t="shared" si="3"/>
        <v>130761</v>
      </c>
      <c r="I20" s="58">
        <f t="shared" si="3"/>
        <v>150612</v>
      </c>
    </row>
    <row r="21" ht="15" spans="1:9">
      <c r="A21" s="61"/>
      <c r="B21" s="62"/>
      <c r="C21" s="62"/>
      <c r="D21" s="62"/>
      <c r="E21" s="62"/>
      <c r="F21" s="62"/>
      <c r="G21" s="62"/>
      <c r="H21" s="62"/>
      <c r="I21" s="62"/>
    </row>
    <row r="22" ht="17.25" customHeight="1" spans="1:8">
      <c r="A22" s="63" t="s">
        <v>8</v>
      </c>
      <c r="B22" s="64" t="s">
        <v>9</v>
      </c>
      <c r="C22" s="64" t="s">
        <v>10</v>
      </c>
      <c r="D22" s="25"/>
      <c r="E22" s="25"/>
      <c r="F22" s="65"/>
      <c r="G22" s="66"/>
      <c r="H22" s="66"/>
    </row>
    <row r="23" ht="15" spans="1:12">
      <c r="A23" s="50">
        <v>2022</v>
      </c>
      <c r="B23" s="67">
        <f>ROUNDDOWN(B20,0)</f>
        <v>55468</v>
      </c>
      <c r="C23" s="58">
        <f>ROUNDDOWN(B67*0.50885/1000*(1+0.03),0)</f>
        <v>6115</v>
      </c>
      <c r="D23" s="68">
        <f>B19</f>
        <v>2751.40676399714</v>
      </c>
      <c r="E23" s="69">
        <f>D23*341/365</f>
        <v>2570.49234663842</v>
      </c>
      <c r="F23" s="69">
        <f>E23*0.2</f>
        <v>514.098469327684</v>
      </c>
      <c r="G23" s="69">
        <f>B23*341/365</f>
        <v>51820.7890410959</v>
      </c>
      <c r="H23" s="69">
        <f>C23*341/365</f>
        <v>5712.91780821918</v>
      </c>
      <c r="I23" s="69">
        <f>G23+H23</f>
        <v>57533.7068493151</v>
      </c>
      <c r="J23" s="69">
        <v>10901641.6486897</v>
      </c>
      <c r="K23" s="101">
        <f>J23/1000</f>
        <v>10901.6416486897</v>
      </c>
      <c r="L23" s="69">
        <f>K23*'Grid emission factor'!$C$9*1.03</f>
        <v>5713.71936352383</v>
      </c>
    </row>
    <row r="24" ht="15" spans="1:12">
      <c r="A24" s="50">
        <f>A23+1</f>
        <v>2023</v>
      </c>
      <c r="B24" s="70">
        <f>C20</f>
        <v>64086</v>
      </c>
      <c r="C24" s="58">
        <f>ROUNDDOWN(D67*0.50885/1000*(1+0.03),0)</f>
        <v>7066</v>
      </c>
      <c r="D24" s="68">
        <f>C19</f>
        <v>3178.86923653571</v>
      </c>
      <c r="E24" s="69">
        <f>D24</f>
        <v>3178.86923653571</v>
      </c>
      <c r="F24" s="69">
        <f t="shared" ref="F24:F30" si="4">E24*0.2</f>
        <v>635.773847307141</v>
      </c>
      <c r="G24" s="69">
        <f>B24</f>
        <v>64086</v>
      </c>
      <c r="H24" s="69">
        <f>C24</f>
        <v>7066</v>
      </c>
      <c r="I24" s="69">
        <f t="shared" ref="I24:I30" si="5">G24+H24</f>
        <v>71152</v>
      </c>
      <c r="J24" s="69">
        <v>13481811.4942363</v>
      </c>
      <c r="K24" s="101">
        <f t="shared" ref="K24:K30" si="6">J24/1000</f>
        <v>13481.8114942363</v>
      </c>
      <c r="L24" s="69">
        <f>K24*'Grid emission factor'!$C$9*1.03</f>
        <v>7066.02637220738</v>
      </c>
    </row>
    <row r="25" ht="15" spans="1:15">
      <c r="A25" s="50">
        <f t="shared" ref="A25:A30" si="7">A24+1</f>
        <v>2024</v>
      </c>
      <c r="B25" s="70">
        <f>D20</f>
        <v>73992</v>
      </c>
      <c r="C25" s="58">
        <f>ROUNDDOWN(F68*0.50885/1000*(1+0.03),0)</f>
        <v>8158</v>
      </c>
      <c r="D25" s="68">
        <f>D19</f>
        <v>3670.28289017991</v>
      </c>
      <c r="E25" s="69">
        <f>D25</f>
        <v>3670.28289017991</v>
      </c>
      <c r="F25" s="69">
        <f t="shared" si="4"/>
        <v>734.056578035983</v>
      </c>
      <c r="G25" s="69">
        <f t="shared" ref="G25:H29" si="8">B25</f>
        <v>73992</v>
      </c>
      <c r="H25" s="69">
        <f t="shared" si="8"/>
        <v>8158</v>
      </c>
      <c r="I25" s="69">
        <f t="shared" si="5"/>
        <v>82150</v>
      </c>
      <c r="J25" s="69">
        <v>15565931.9003166</v>
      </c>
      <c r="K25" s="101">
        <f t="shared" si="6"/>
        <v>15565.9319003166</v>
      </c>
      <c r="L25" s="69">
        <f>K25*'Grid emission factor'!$C$9*1.03</f>
        <v>8158.34618090039</v>
      </c>
      <c r="O25"/>
    </row>
    <row r="26" ht="15" spans="1:12">
      <c r="A26" s="50">
        <f t="shared" si="7"/>
        <v>2025</v>
      </c>
      <c r="B26" s="70">
        <f>E20</f>
        <v>85378</v>
      </c>
      <c r="C26" s="58">
        <f>ROUNDDOWN(H67*0.50885/1000*(1+0.03),0)</f>
        <v>9413</v>
      </c>
      <c r="D26" s="68">
        <f>E19</f>
        <v>4235.04232276995</v>
      </c>
      <c r="E26" s="69">
        <f t="shared" ref="E26:E29" si="9">D26</f>
        <v>4235.04232276995</v>
      </c>
      <c r="F26" s="69">
        <f t="shared" si="4"/>
        <v>847.008464553991</v>
      </c>
      <c r="G26" s="69">
        <f t="shared" si="8"/>
        <v>85378</v>
      </c>
      <c r="H26" s="69">
        <f t="shared" si="8"/>
        <v>9413</v>
      </c>
      <c r="I26" s="69">
        <f t="shared" si="5"/>
        <v>94791</v>
      </c>
      <c r="J26" s="69">
        <v>17961116.9938904</v>
      </c>
      <c r="K26" s="101">
        <f t="shared" si="6"/>
        <v>17961.1169938904</v>
      </c>
      <c r="L26" s="69">
        <f>K26*'Grid emission factor'!$C$9*1.03</f>
        <v>9413.69981381138</v>
      </c>
    </row>
    <row r="27" ht="15" spans="1:12">
      <c r="A27" s="50">
        <f t="shared" si="7"/>
        <v>2026</v>
      </c>
      <c r="B27" s="70">
        <f>F20</f>
        <v>98462</v>
      </c>
      <c r="C27" s="58">
        <f>ROUNDDOWN(J68*0.50885/1000*(1+0.03),0)</f>
        <v>10856</v>
      </c>
      <c r="D27" s="68">
        <f>F19</f>
        <v>4884.06768085482</v>
      </c>
      <c r="E27" s="69">
        <f t="shared" si="9"/>
        <v>4884.06768085482</v>
      </c>
      <c r="F27" s="69">
        <f t="shared" si="4"/>
        <v>976.813536170965</v>
      </c>
      <c r="G27" s="69">
        <f t="shared" si="8"/>
        <v>98462</v>
      </c>
      <c r="H27" s="69">
        <f t="shared" si="8"/>
        <v>10856</v>
      </c>
      <c r="I27" s="69">
        <f t="shared" si="5"/>
        <v>109318</v>
      </c>
      <c r="J27" s="69">
        <v>20713679.8964825</v>
      </c>
      <c r="K27" s="101">
        <f t="shared" si="6"/>
        <v>20713.6798964825</v>
      </c>
      <c r="L27" s="69">
        <f>K27*'Grid emission factor'!$C$9*1.03</f>
        <v>10856.3606957849</v>
      </c>
    </row>
    <row r="28" ht="15" spans="1:12">
      <c r="A28" s="50">
        <f t="shared" si="7"/>
        <v>2027</v>
      </c>
      <c r="B28" s="70">
        <f>G20</f>
        <v>113490</v>
      </c>
      <c r="C28" s="58">
        <f>ROUNDDOWN(L67*0.50885/1000*(1+0.03),0)</f>
        <v>12513</v>
      </c>
      <c r="D28" s="68">
        <f>G19</f>
        <v>5629.50080354773</v>
      </c>
      <c r="E28" s="69">
        <f t="shared" si="9"/>
        <v>5629.50080354773</v>
      </c>
      <c r="F28" s="69">
        <f t="shared" si="4"/>
        <v>1125.90016070955</v>
      </c>
      <c r="G28" s="69">
        <f t="shared" si="8"/>
        <v>113490</v>
      </c>
      <c r="H28" s="69">
        <f t="shared" si="8"/>
        <v>12513</v>
      </c>
      <c r="I28" s="69">
        <f t="shared" si="5"/>
        <v>126003</v>
      </c>
      <c r="J28" s="69">
        <v>23875115.0150462</v>
      </c>
      <c r="K28" s="101">
        <f t="shared" si="6"/>
        <v>23875.1150150462</v>
      </c>
      <c r="L28" s="69">
        <f>K28*'Grid emission factor'!$C$9*1.03</f>
        <v>12513.3178436684</v>
      </c>
    </row>
    <row r="29" ht="15" spans="1:12">
      <c r="A29" s="50">
        <f t="shared" si="7"/>
        <v>2028</v>
      </c>
      <c r="B29" s="70">
        <f>H20</f>
        <v>130761</v>
      </c>
      <c r="C29" s="58">
        <f>ROUNDDOWN(N68*0.50885/1000*(1+0.03),0)</f>
        <v>14417</v>
      </c>
      <c r="D29" s="68">
        <f>H19</f>
        <v>6486.20387036655</v>
      </c>
      <c r="E29" s="69">
        <f t="shared" si="9"/>
        <v>6486.20387036655</v>
      </c>
      <c r="F29" s="69">
        <f t="shared" si="4"/>
        <v>1297.24077407331</v>
      </c>
      <c r="G29" s="69">
        <f t="shared" si="8"/>
        <v>130761</v>
      </c>
      <c r="H29" s="69">
        <f t="shared" si="8"/>
        <v>14417</v>
      </c>
      <c r="I29" s="69">
        <f t="shared" si="5"/>
        <v>145178</v>
      </c>
      <c r="J29" s="69">
        <v>27508453.914501</v>
      </c>
      <c r="K29" s="101">
        <f t="shared" si="6"/>
        <v>27508.453914501</v>
      </c>
      <c r="L29" s="69">
        <f>K29*'Grid emission factor'!$C$9*1.03</f>
        <v>14417.6070776256</v>
      </c>
    </row>
    <row r="30" ht="15" spans="1:12">
      <c r="A30" s="50">
        <f t="shared" si="7"/>
        <v>2029</v>
      </c>
      <c r="B30" s="70">
        <f>I20</f>
        <v>150612</v>
      </c>
      <c r="C30" s="58">
        <f>ROUNDDOWN(P67*0.50885/1000*(1+0.03),0)</f>
        <v>16606</v>
      </c>
      <c r="D30" s="68">
        <f>I19</f>
        <v>7470.85328353401</v>
      </c>
      <c r="E30" s="69">
        <f>D30*24/365</f>
        <v>491.234188506346</v>
      </c>
      <c r="F30" s="69">
        <f t="shared" si="4"/>
        <v>98.2468377012692</v>
      </c>
      <c r="G30" s="69">
        <f>B30*24/365</f>
        <v>9903.25479452055</v>
      </c>
      <c r="H30" s="69">
        <f>C30*24/365</f>
        <v>1091.90136986301</v>
      </c>
      <c r="I30" s="69">
        <f t="shared" si="5"/>
        <v>10995.1561643836</v>
      </c>
      <c r="J30" s="69">
        <v>2083359.28161174</v>
      </c>
      <c r="K30" s="101">
        <f t="shared" si="6"/>
        <v>2083.35928161174</v>
      </c>
      <c r="L30" s="69">
        <f>K30*'Grid emission factor'!$C$9*1.03</f>
        <v>1091.92089156158</v>
      </c>
    </row>
    <row r="31" ht="15" spans="1:12">
      <c r="A31" s="25"/>
      <c r="D31" s="71"/>
      <c r="E31" s="25"/>
      <c r="G31" s="72">
        <f>SUM(G23:G30)</f>
        <v>627893.043835616</v>
      </c>
      <c r="H31" s="72">
        <f t="shared" ref="H31:I31" si="10">SUM(H23:H30)</f>
        <v>69227.8191780822</v>
      </c>
      <c r="I31" s="72">
        <f t="shared" si="10"/>
        <v>697120.863013699</v>
      </c>
      <c r="J31" s="69"/>
      <c r="K31" s="101"/>
      <c r="L31" s="69"/>
    </row>
    <row r="32" ht="15" spans="1:12">
      <c r="A32" s="25"/>
      <c r="B32" s="25"/>
      <c r="C32" s="71"/>
      <c r="D32" s="71"/>
      <c r="E32" s="25"/>
      <c r="I32" s="69"/>
      <c r="J32" s="69"/>
      <c r="L32" s="69"/>
    </row>
    <row r="33" ht="15" spans="1:12">
      <c r="A33" s="63" t="s">
        <v>8</v>
      </c>
      <c r="B33" s="73" t="s">
        <v>11</v>
      </c>
      <c r="C33" s="73" t="s">
        <v>12</v>
      </c>
      <c r="D33" s="73" t="s">
        <v>13</v>
      </c>
      <c r="E33" s="25"/>
      <c r="J33" s="69"/>
      <c r="L33" s="69"/>
    </row>
    <row r="34" ht="15" spans="1:10">
      <c r="A34" s="50">
        <v>2022</v>
      </c>
      <c r="B34" s="74">
        <f>ROUNDDOWN(B23+C23,0)</f>
        <v>61583</v>
      </c>
      <c r="C34" s="50">
        <v>0</v>
      </c>
      <c r="D34" s="75">
        <f t="shared" ref="D34:D41" si="11">B34-C34</f>
        <v>61583</v>
      </c>
      <c r="E34" s="76"/>
      <c r="J34" s="69"/>
    </row>
    <row r="35" ht="15" spans="1:10">
      <c r="A35" s="50">
        <f>A34+1</f>
        <v>2023</v>
      </c>
      <c r="B35" s="74">
        <f t="shared" ref="B35:B41" si="12">ROUNDDOWN(B24+C24,0)</f>
        <v>71152</v>
      </c>
      <c r="C35" s="50">
        <v>0</v>
      </c>
      <c r="D35" s="75">
        <f t="shared" si="11"/>
        <v>71152</v>
      </c>
      <c r="E35" s="76"/>
      <c r="J35" s="69"/>
    </row>
    <row r="36" ht="15" spans="1:10">
      <c r="A36" s="50">
        <f t="shared" ref="A36:A41" si="13">A35+1</f>
        <v>2024</v>
      </c>
      <c r="B36" s="74">
        <f t="shared" si="12"/>
        <v>82150</v>
      </c>
      <c r="C36" s="50">
        <v>0</v>
      </c>
      <c r="D36" s="75">
        <f t="shared" si="11"/>
        <v>82150</v>
      </c>
      <c r="E36" s="76"/>
      <c r="J36" s="69"/>
    </row>
    <row r="37" ht="15" spans="1:10">
      <c r="A37" s="50">
        <f t="shared" si="13"/>
        <v>2025</v>
      </c>
      <c r="B37" s="74">
        <f t="shared" si="12"/>
        <v>94791</v>
      </c>
      <c r="C37" s="50">
        <v>0</v>
      </c>
      <c r="D37" s="75">
        <f t="shared" si="11"/>
        <v>94791</v>
      </c>
      <c r="E37" s="76"/>
      <c r="J37" s="69"/>
    </row>
    <row r="38" ht="15" spans="1:10">
      <c r="A38" s="50">
        <f t="shared" si="13"/>
        <v>2026</v>
      </c>
      <c r="B38" s="74">
        <f t="shared" si="12"/>
        <v>109318</v>
      </c>
      <c r="C38" s="50">
        <v>0</v>
      </c>
      <c r="D38" s="75">
        <f t="shared" si="11"/>
        <v>109318</v>
      </c>
      <c r="E38" s="76"/>
      <c r="J38" s="69"/>
    </row>
    <row r="39" ht="15" spans="1:10">
      <c r="A39" s="50">
        <f t="shared" si="13"/>
        <v>2027</v>
      </c>
      <c r="B39" s="74">
        <f t="shared" si="12"/>
        <v>126003</v>
      </c>
      <c r="C39" s="50">
        <v>0</v>
      </c>
      <c r="D39" s="75">
        <f t="shared" si="11"/>
        <v>126003</v>
      </c>
      <c r="E39" s="76"/>
      <c r="J39" s="69"/>
    </row>
    <row r="40" ht="15" spans="1:5">
      <c r="A40" s="50">
        <f t="shared" si="13"/>
        <v>2028</v>
      </c>
      <c r="B40" s="74">
        <f t="shared" si="12"/>
        <v>145178</v>
      </c>
      <c r="C40" s="50">
        <v>0</v>
      </c>
      <c r="D40" s="75">
        <f t="shared" si="11"/>
        <v>145178</v>
      </c>
      <c r="E40" s="76"/>
    </row>
    <row r="41" ht="15" spans="1:5">
      <c r="A41" s="50">
        <f t="shared" si="13"/>
        <v>2029</v>
      </c>
      <c r="B41" s="74">
        <f t="shared" si="12"/>
        <v>167218</v>
      </c>
      <c r="C41" s="50">
        <v>0</v>
      </c>
      <c r="D41" s="75">
        <f t="shared" si="11"/>
        <v>167218</v>
      </c>
      <c r="E41" s="76"/>
    </row>
    <row r="42" ht="15" spans="5:5">
      <c r="E42" s="76"/>
    </row>
    <row r="43" ht="15" spans="1:5">
      <c r="A43" s="25"/>
      <c r="B43" s="25"/>
      <c r="C43" s="25"/>
      <c r="D43" s="25"/>
      <c r="E43" s="25"/>
    </row>
    <row r="44" ht="90" spans="1:9">
      <c r="A44" s="63" t="s">
        <v>8</v>
      </c>
      <c r="B44" s="63" t="s">
        <v>14</v>
      </c>
      <c r="C44" s="63" t="s">
        <v>15</v>
      </c>
      <c r="D44" s="63" t="s">
        <v>16</v>
      </c>
      <c r="E44" s="63" t="s">
        <v>17</v>
      </c>
      <c r="F44" s="77"/>
      <c r="G44" s="78"/>
      <c r="H44" s="78"/>
      <c r="I44" s="78"/>
    </row>
    <row r="45" ht="15" spans="1:10">
      <c r="A45" s="50" t="s">
        <v>18</v>
      </c>
      <c r="B45" s="50">
        <v>0</v>
      </c>
      <c r="C45" s="74">
        <f>(B23+C23)*341/365</f>
        <v>57533.7068493151</v>
      </c>
      <c r="D45" s="50">
        <v>0</v>
      </c>
      <c r="E45" s="75">
        <f>C45-B45-D45</f>
        <v>57533.7068493151</v>
      </c>
      <c r="F45" s="77"/>
      <c r="G45" s="77"/>
      <c r="I45" s="77"/>
      <c r="J45" s="77"/>
    </row>
    <row r="46" ht="15" spans="1:10">
      <c r="A46" s="50">
        <f>2022+1</f>
        <v>2023</v>
      </c>
      <c r="B46" s="50">
        <v>0</v>
      </c>
      <c r="C46" s="74">
        <f t="shared" ref="C46:C51" si="14">B24+C24</f>
        <v>71152</v>
      </c>
      <c r="D46" s="50">
        <v>0</v>
      </c>
      <c r="E46" s="75">
        <f t="shared" ref="E46:E52" si="15">C46-B46-D46</f>
        <v>71152</v>
      </c>
      <c r="F46" s="77"/>
      <c r="G46" s="77"/>
      <c r="I46" s="77"/>
      <c r="J46" s="102"/>
    </row>
    <row r="47" ht="15" spans="1:10">
      <c r="A47" s="50">
        <f t="shared" ref="A47:A51" si="16">A46+1</f>
        <v>2024</v>
      </c>
      <c r="B47" s="50">
        <v>0</v>
      </c>
      <c r="C47" s="74">
        <f t="shared" si="14"/>
        <v>82150</v>
      </c>
      <c r="D47" s="50">
        <v>0</v>
      </c>
      <c r="E47" s="75">
        <f t="shared" si="15"/>
        <v>82150</v>
      </c>
      <c r="F47" s="77"/>
      <c r="G47" s="77"/>
      <c r="I47" s="77"/>
      <c r="J47" s="102"/>
    </row>
    <row r="48" ht="15" spans="1:10">
      <c r="A48" s="50">
        <f t="shared" si="16"/>
        <v>2025</v>
      </c>
      <c r="B48" s="50">
        <v>0</v>
      </c>
      <c r="C48" s="74">
        <f t="shared" si="14"/>
        <v>94791</v>
      </c>
      <c r="D48" s="50">
        <v>0</v>
      </c>
      <c r="E48" s="75">
        <f t="shared" si="15"/>
        <v>94791</v>
      </c>
      <c r="F48" s="77"/>
      <c r="G48" s="77"/>
      <c r="I48" s="77"/>
      <c r="J48" s="102"/>
    </row>
    <row r="49" ht="15" spans="1:10">
      <c r="A49" s="50">
        <f t="shared" si="16"/>
        <v>2026</v>
      </c>
      <c r="B49" s="50">
        <v>0</v>
      </c>
      <c r="C49" s="74">
        <f t="shared" si="14"/>
        <v>109318</v>
      </c>
      <c r="D49" s="50">
        <v>0</v>
      </c>
      <c r="E49" s="75">
        <f t="shared" si="15"/>
        <v>109318</v>
      </c>
      <c r="F49" s="77"/>
      <c r="G49" s="77"/>
      <c r="I49" s="77"/>
      <c r="J49" s="102"/>
    </row>
    <row r="50" ht="15" spans="1:10">
      <c r="A50" s="50">
        <f t="shared" si="16"/>
        <v>2027</v>
      </c>
      <c r="B50" s="50">
        <v>0</v>
      </c>
      <c r="C50" s="74">
        <f t="shared" si="14"/>
        <v>126003</v>
      </c>
      <c r="D50" s="50">
        <v>0</v>
      </c>
      <c r="E50" s="75">
        <f t="shared" si="15"/>
        <v>126003</v>
      </c>
      <c r="F50" s="77"/>
      <c r="G50" s="77"/>
      <c r="I50" s="77"/>
      <c r="J50" s="102"/>
    </row>
    <row r="51" ht="15" spans="1:10">
      <c r="A51" s="50">
        <f t="shared" si="16"/>
        <v>2028</v>
      </c>
      <c r="B51" s="50">
        <v>0</v>
      </c>
      <c r="C51" s="74">
        <f t="shared" si="14"/>
        <v>145178</v>
      </c>
      <c r="D51" s="50">
        <v>0</v>
      </c>
      <c r="E51" s="75">
        <f t="shared" si="15"/>
        <v>145178</v>
      </c>
      <c r="F51" s="77"/>
      <c r="G51" s="77"/>
      <c r="I51" s="77"/>
      <c r="J51" s="102"/>
    </row>
    <row r="52" ht="15" spans="1:10">
      <c r="A52" s="50" t="s">
        <v>19</v>
      </c>
      <c r="B52" s="50">
        <v>0</v>
      </c>
      <c r="C52" s="74">
        <f>(B30+C30)*24/365</f>
        <v>10995.1561643836</v>
      </c>
      <c r="D52" s="50">
        <v>0</v>
      </c>
      <c r="E52" s="75">
        <f t="shared" si="15"/>
        <v>10995.1561643836</v>
      </c>
      <c r="F52" s="77"/>
      <c r="G52" s="77"/>
      <c r="I52" s="77"/>
      <c r="J52" s="102"/>
    </row>
    <row r="53" ht="15" spans="1:9">
      <c r="A53" s="79" t="s">
        <v>20</v>
      </c>
      <c r="B53" s="80"/>
      <c r="C53" s="80"/>
      <c r="D53" s="81"/>
      <c r="E53" s="82">
        <f>SUM(E45:E52)</f>
        <v>697120.863013699</v>
      </c>
      <c r="F53" s="77"/>
      <c r="G53" s="77"/>
      <c r="I53" s="77"/>
    </row>
    <row r="54" ht="15.75" spans="1:9">
      <c r="A54" s="83" t="s">
        <v>21</v>
      </c>
      <c r="B54" s="84"/>
      <c r="C54" s="84"/>
      <c r="D54" s="84"/>
      <c r="E54" s="82">
        <f>E53/7</f>
        <v>99588.6947162427</v>
      </c>
      <c r="F54" s="77"/>
      <c r="G54" s="77"/>
      <c r="I54" s="76"/>
    </row>
    <row r="55" ht="15" spans="1:10">
      <c r="A55" s="22"/>
      <c r="B55" s="22"/>
      <c r="C55" s="85"/>
      <c r="F55" s="77"/>
      <c r="G55" s="77"/>
      <c r="J55" s="85"/>
    </row>
    <row r="56" ht="15" spans="1:10">
      <c r="A56" s="22"/>
      <c r="B56" s="22"/>
      <c r="C56" s="85"/>
      <c r="G56" s="77"/>
      <c r="J56" s="85"/>
    </row>
    <row r="57" ht="15" spans="1:10">
      <c r="A57" s="22"/>
      <c r="B57" s="22"/>
      <c r="C57" s="85"/>
      <c r="G57" s="77"/>
      <c r="J57" s="85"/>
    </row>
    <row r="58" ht="15" spans="1:10">
      <c r="A58" s="22"/>
      <c r="B58" s="22"/>
      <c r="C58" s="85"/>
      <c r="G58" s="77"/>
      <c r="J58" s="85"/>
    </row>
    <row r="59" ht="15" spans="1:10">
      <c r="A59" s="22"/>
      <c r="B59" s="22"/>
      <c r="C59" s="85"/>
      <c r="G59" s="77"/>
      <c r="J59" s="85"/>
    </row>
    <row r="60" ht="24.75" customHeight="1" spans="1:17">
      <c r="A60" s="86" t="s">
        <v>1</v>
      </c>
      <c r="B60" s="87">
        <v>2022</v>
      </c>
      <c r="C60" s="88"/>
      <c r="D60" s="87">
        <f>B60+1</f>
        <v>2023</v>
      </c>
      <c r="E60" s="88"/>
      <c r="F60" s="87">
        <f>D60+1</f>
        <v>2024</v>
      </c>
      <c r="G60" s="88"/>
      <c r="H60" s="87">
        <f>F60+1</f>
        <v>2025</v>
      </c>
      <c r="I60" s="88"/>
      <c r="J60" s="87">
        <f>H60+1</f>
        <v>2026</v>
      </c>
      <c r="K60" s="88"/>
      <c r="L60" s="87">
        <f>J60+1</f>
        <v>2027</v>
      </c>
      <c r="M60" s="88"/>
      <c r="N60" s="87">
        <f t="shared" ref="N60:P60" si="17">L60+1</f>
        <v>2028</v>
      </c>
      <c r="O60" s="103"/>
      <c r="P60" s="87">
        <f t="shared" si="17"/>
        <v>2029</v>
      </c>
      <c r="Q60" s="88"/>
    </row>
    <row r="61" ht="24.75" customHeight="1" spans="1:17">
      <c r="A61" s="89"/>
      <c r="B61" s="90"/>
      <c r="C61" s="91"/>
      <c r="D61" s="90"/>
      <c r="E61" s="91"/>
      <c r="F61" s="90"/>
      <c r="G61" s="91"/>
      <c r="H61" s="90"/>
      <c r="I61" s="91"/>
      <c r="J61" s="90"/>
      <c r="K61" s="91"/>
      <c r="L61" s="90"/>
      <c r="M61" s="91"/>
      <c r="N61" s="90"/>
      <c r="O61" s="104"/>
      <c r="P61" s="90"/>
      <c r="Q61" s="91"/>
    </row>
    <row r="62" ht="25.5" spans="1:17">
      <c r="A62" s="92" t="s">
        <v>22</v>
      </c>
      <c r="B62" s="93">
        <v>4000</v>
      </c>
      <c r="C62" s="94"/>
      <c r="D62" s="93">
        <v>4000</v>
      </c>
      <c r="E62" s="94"/>
      <c r="F62" s="93">
        <v>4000</v>
      </c>
      <c r="G62" s="94"/>
      <c r="H62" s="93">
        <v>4000</v>
      </c>
      <c r="I62" s="94"/>
      <c r="J62" s="93">
        <v>4000</v>
      </c>
      <c r="K62" s="94"/>
      <c r="L62" s="93">
        <v>4000</v>
      </c>
      <c r="M62" s="94"/>
      <c r="N62" s="93">
        <v>4000</v>
      </c>
      <c r="O62" s="105"/>
      <c r="P62" s="93">
        <v>4000</v>
      </c>
      <c r="Q62" s="94"/>
    </row>
    <row r="63" ht="24" customHeight="1" spans="1:17">
      <c r="A63" s="92" t="s">
        <v>23</v>
      </c>
      <c r="B63" s="95">
        <f>B64/B62</f>
        <v>3070.76647767538</v>
      </c>
      <c r="C63" s="96"/>
      <c r="D63" s="95">
        <f>D64/D62</f>
        <v>3547.84513006217</v>
      </c>
      <c r="E63" s="96"/>
      <c r="F63" s="95">
        <f>F64/F62</f>
        <v>4096.29786850437</v>
      </c>
      <c r="G63" s="96"/>
      <c r="H63" s="95">
        <f>H64/H62</f>
        <v>4726.60973523432</v>
      </c>
      <c r="I63" s="96"/>
      <c r="J63" s="95">
        <f>J64/J62</f>
        <v>5450.96839381119</v>
      </c>
      <c r="K63" s="96"/>
      <c r="L63" s="95">
        <f>L64/L62</f>
        <v>6282.92500395952</v>
      </c>
      <c r="M63" s="96"/>
      <c r="N63" s="95">
        <f>N64/N62</f>
        <v>7239.06681960552</v>
      </c>
      <c r="O63" s="96"/>
      <c r="P63" s="95">
        <f>P64/P62</f>
        <v>8338.00589680135</v>
      </c>
      <c r="Q63" s="96"/>
    </row>
    <row r="64" ht="25.5" spans="1:17">
      <c r="A64" s="92" t="s">
        <v>24</v>
      </c>
      <c r="B64" s="97">
        <f>B19/0.0007168*3.2</f>
        <v>12283065.9107015</v>
      </c>
      <c r="C64" s="98"/>
      <c r="D64" s="97">
        <f>C19/0.0007168*3.2</f>
        <v>14191380.5202487</v>
      </c>
      <c r="E64" s="98"/>
      <c r="F64" s="97">
        <f>D19/0.0007168*3.2</f>
        <v>16385191.4740175</v>
      </c>
      <c r="G64" s="98"/>
      <c r="H64" s="97">
        <f>E19/0.0007168*3.2</f>
        <v>18906438.9409373</v>
      </c>
      <c r="I64" s="98"/>
      <c r="J64" s="97">
        <f>F19/0.0007168*3.2</f>
        <v>21803873.5752448</v>
      </c>
      <c r="K64" s="98"/>
      <c r="L64" s="97">
        <f>G19/0.0007168*3.2</f>
        <v>25131700.0158381</v>
      </c>
      <c r="M64" s="98"/>
      <c r="N64" s="97">
        <f>H19/0.0007168*3.2</f>
        <v>28956267.2784221</v>
      </c>
      <c r="O64" s="105"/>
      <c r="P64" s="97">
        <f>I19/0.0007168*3.2</f>
        <v>33352023.5872054</v>
      </c>
      <c r="Q64" s="98"/>
    </row>
    <row r="65" ht="25.5" spans="1:17">
      <c r="A65" s="92" t="s">
        <v>25</v>
      </c>
      <c r="B65" s="106">
        <v>0.8</v>
      </c>
      <c r="C65" s="107"/>
      <c r="D65" s="106">
        <v>0.8</v>
      </c>
      <c r="E65" s="107"/>
      <c r="F65" s="106">
        <v>0.8</v>
      </c>
      <c r="G65" s="107"/>
      <c r="H65" s="106">
        <v>0.8</v>
      </c>
      <c r="I65" s="107"/>
      <c r="J65" s="106">
        <v>0.8</v>
      </c>
      <c r="K65" s="107"/>
      <c r="L65" s="106">
        <v>0.8</v>
      </c>
      <c r="M65" s="107"/>
      <c r="N65" s="106">
        <v>0.8</v>
      </c>
      <c r="O65" s="105"/>
      <c r="P65" s="106">
        <v>0.8</v>
      </c>
      <c r="Q65" s="107"/>
    </row>
    <row r="66" ht="25.5" spans="1:17">
      <c r="A66" s="92" t="s">
        <v>26</v>
      </c>
      <c r="B66" s="97">
        <f t="shared" ref="B66:F66" si="18">B64*0.05</f>
        <v>614153.295535076</v>
      </c>
      <c r="C66" s="98"/>
      <c r="D66" s="97">
        <f t="shared" si="18"/>
        <v>709569.026012434</v>
      </c>
      <c r="E66" s="98"/>
      <c r="F66" s="97">
        <f t="shared" si="18"/>
        <v>819259.573700874</v>
      </c>
      <c r="G66" s="98"/>
      <c r="H66" s="97">
        <f t="shared" ref="H66:L66" si="19">H64*0.05</f>
        <v>945321.947046865</v>
      </c>
      <c r="I66" s="98"/>
      <c r="J66" s="97">
        <f t="shared" si="19"/>
        <v>1090193.67876224</v>
      </c>
      <c r="K66" s="98"/>
      <c r="L66" s="97">
        <f t="shared" si="19"/>
        <v>1256585.0007919</v>
      </c>
      <c r="M66" s="98"/>
      <c r="N66" s="97">
        <f t="shared" ref="N66:P66" si="20">N64*0.05</f>
        <v>1447813.3639211</v>
      </c>
      <c r="O66" s="105"/>
      <c r="P66" s="97">
        <f t="shared" si="20"/>
        <v>1667601.17936027</v>
      </c>
      <c r="Q66" s="98"/>
    </row>
    <row r="67" ht="25.5" spans="1:17">
      <c r="A67" s="92" t="s">
        <v>27</v>
      </c>
      <c r="B67" s="97">
        <f t="shared" ref="B67:F67" si="21">B64-B66</f>
        <v>11668912.6151664</v>
      </c>
      <c r="C67" s="98"/>
      <c r="D67" s="97">
        <f t="shared" si="21"/>
        <v>13481811.4942363</v>
      </c>
      <c r="E67" s="98"/>
      <c r="F67" s="97">
        <f t="shared" si="21"/>
        <v>15565931.9003166</v>
      </c>
      <c r="G67" s="98"/>
      <c r="H67" s="97">
        <f t="shared" ref="H67:L67" si="22">H64-H66</f>
        <v>17961116.9938904</v>
      </c>
      <c r="I67" s="98"/>
      <c r="J67" s="97">
        <f t="shared" si="22"/>
        <v>20713679.8964825</v>
      </c>
      <c r="K67" s="98"/>
      <c r="L67" s="97">
        <f t="shared" si="22"/>
        <v>23875115.0150462</v>
      </c>
      <c r="M67" s="98"/>
      <c r="N67" s="97">
        <f t="shared" ref="N67:P67" si="23">N64-N66</f>
        <v>27508453.914501</v>
      </c>
      <c r="O67" s="105"/>
      <c r="P67" s="97">
        <f t="shared" si="23"/>
        <v>31684422.4078451</v>
      </c>
      <c r="Q67" s="98"/>
    </row>
    <row r="68" ht="15" spans="1:17">
      <c r="A68" s="108" t="s">
        <v>28</v>
      </c>
      <c r="B68" s="70">
        <f>B67*341/365</f>
        <v>10901641.6486897</v>
      </c>
      <c r="C68" s="109"/>
      <c r="D68" s="70">
        <f t="shared" ref="D68:F68" si="24">D67</f>
        <v>13481811.4942363</v>
      </c>
      <c r="E68" s="109"/>
      <c r="F68" s="70">
        <f t="shared" si="24"/>
        <v>15565931.9003166</v>
      </c>
      <c r="G68" s="109"/>
      <c r="H68" s="70">
        <f t="shared" ref="H68:L68" si="25">H67</f>
        <v>17961116.9938904</v>
      </c>
      <c r="I68" s="109"/>
      <c r="J68" s="70">
        <f t="shared" si="25"/>
        <v>20713679.8964825</v>
      </c>
      <c r="K68" s="109"/>
      <c r="L68" s="70">
        <f t="shared" si="25"/>
        <v>23875115.0150462</v>
      </c>
      <c r="M68" s="109"/>
      <c r="N68" s="70">
        <f>N67</f>
        <v>27508453.914501</v>
      </c>
      <c r="O68" s="119"/>
      <c r="P68" s="70">
        <f>P67*24/365</f>
        <v>2083359.28161174</v>
      </c>
      <c r="Q68" s="122"/>
    </row>
    <row r="69" ht="15" spans="1:17">
      <c r="A69" s="108" t="s">
        <v>29</v>
      </c>
      <c r="B69" s="110">
        <f>SUM(B68:Q68)</f>
        <v>132091110.144774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20"/>
      <c r="P69" s="112"/>
      <c r="Q69" s="123"/>
    </row>
    <row r="70" ht="25.5" spans="1:17">
      <c r="A70" s="108" t="s">
        <v>30</v>
      </c>
      <c r="B70" s="70">
        <f>B69/7</f>
        <v>18870158.5921106</v>
      </c>
      <c r="C70" s="113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121"/>
      <c r="P70" s="84"/>
      <c r="Q70" s="124"/>
    </row>
    <row r="73" ht="63" spans="1:5">
      <c r="A73" s="114" t="s">
        <v>8</v>
      </c>
      <c r="B73" s="115" t="s">
        <v>31</v>
      </c>
      <c r="C73" s="115" t="s">
        <v>32</v>
      </c>
      <c r="D73" s="92" t="s">
        <v>33</v>
      </c>
      <c r="E73" s="92" t="s">
        <v>23</v>
      </c>
    </row>
    <row r="74" ht="15.75" spans="1:5">
      <c r="A74" s="50" t="s">
        <v>18</v>
      </c>
      <c r="B74" s="116">
        <f>12283065.9107015*341/365/1000</f>
        <v>11475.4122617787</v>
      </c>
      <c r="C74" s="116">
        <v>2751.40676399714</v>
      </c>
      <c r="D74" s="116">
        <f>C74/0.0007168/0.5*341/365</f>
        <v>7172132.66361167</v>
      </c>
      <c r="E74" s="116">
        <v>2868.85306544467</v>
      </c>
    </row>
    <row r="75" ht="15.75" spans="1:5">
      <c r="A75" s="117">
        <v>2023</v>
      </c>
      <c r="B75" s="118">
        <f>14191380.5202487/1000</f>
        <v>14191.3805202487</v>
      </c>
      <c r="C75" s="118">
        <v>3178.86923653571</v>
      </c>
      <c r="D75" s="116">
        <f>C75/0.0007168/0.5</f>
        <v>8869612.82515544</v>
      </c>
      <c r="E75" s="116">
        <v>3547.84513006217</v>
      </c>
    </row>
    <row r="76" ht="15.75" spans="1:5">
      <c r="A76" s="117">
        <v>2024</v>
      </c>
      <c r="B76" s="118">
        <f>16385191.4740175/1000</f>
        <v>16385.1914740175</v>
      </c>
      <c r="C76" s="118">
        <v>3670.28289017991</v>
      </c>
      <c r="D76" s="116">
        <f>C76/0.0007168/0.5</f>
        <v>10240744.6712609</v>
      </c>
      <c r="E76" s="116">
        <v>4096.29786850437</v>
      </c>
    </row>
    <row r="77" ht="15.75" spans="1:5">
      <c r="A77" s="117">
        <v>2025</v>
      </c>
      <c r="B77" s="118">
        <f>18906438.9409373/1000</f>
        <v>18906.4389409373</v>
      </c>
      <c r="C77" s="118">
        <v>4235.04232276995</v>
      </c>
      <c r="D77" s="116">
        <f>C77/0.0007168/0.5</f>
        <v>11816524.3380858</v>
      </c>
      <c r="E77" s="116">
        <v>4726.60973523432</v>
      </c>
    </row>
    <row r="78" ht="15.75" spans="1:5">
      <c r="A78" s="117">
        <v>2026</v>
      </c>
      <c r="B78" s="118">
        <f>21803873.5752447/1000</f>
        <v>21803.8735752447</v>
      </c>
      <c r="C78" s="118">
        <v>4884.06768085482</v>
      </c>
      <c r="D78" s="116">
        <f>C78/0.0007168/0.5</f>
        <v>13627420.984528</v>
      </c>
      <c r="E78" s="116">
        <v>5450.96839381119</v>
      </c>
    </row>
    <row r="79" ht="15.75" spans="1:5">
      <c r="A79" s="117">
        <v>2027</v>
      </c>
      <c r="B79" s="118">
        <f>25131700.0158381/1000</f>
        <v>25131.7000158381</v>
      </c>
      <c r="C79" s="118">
        <v>5629.50080354773</v>
      </c>
      <c r="D79" s="116">
        <f>C79/0.0007168/0.5</f>
        <v>15707312.5098988</v>
      </c>
      <c r="E79" s="116">
        <v>6282.92500395952</v>
      </c>
    </row>
    <row r="80" ht="15.75" spans="1:5">
      <c r="A80" s="117">
        <v>2028</v>
      </c>
      <c r="B80" s="118">
        <f>28956267.2784221/1000</f>
        <v>28956.2672784221</v>
      </c>
      <c r="C80" s="118">
        <v>6486.20387036655</v>
      </c>
      <c r="D80" s="116">
        <f>C80/0.0007168/0.5</f>
        <v>18097667.0490138</v>
      </c>
      <c r="E80" s="116">
        <v>7239.06681960552</v>
      </c>
    </row>
    <row r="81" ht="15.75" spans="1:5">
      <c r="A81" s="50" t="s">
        <v>19</v>
      </c>
      <c r="B81" s="118">
        <f>33352023.5872054*24/365/1000</f>
        <v>2193.00977011762</v>
      </c>
      <c r="C81" s="118">
        <v>7470.85328353401</v>
      </c>
      <c r="D81" s="116">
        <f>C81/0.0007168/0.5*24/365</f>
        <v>1370631.10632351</v>
      </c>
      <c r="E81" s="116">
        <v>548.252442529404</v>
      </c>
    </row>
  </sheetData>
  <mergeCells count="67"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B70:C70"/>
    <mergeCell ref="A60:A61"/>
    <mergeCell ref="B60:C61"/>
    <mergeCell ref="D60:E61"/>
    <mergeCell ref="F60:G61"/>
    <mergeCell ref="H60:I61"/>
    <mergeCell ref="J60:K61"/>
    <mergeCell ref="L60:M61"/>
    <mergeCell ref="N60:O61"/>
    <mergeCell ref="P60:Q61"/>
  </mergeCells>
  <pageMargins left="0.75" right="0.75" top="1" bottom="1" header="0.5" footer="0.5"/>
  <pageSetup paperSize="9" orientation="portrait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N92"/>
  <sheetViews>
    <sheetView topLeftCell="A32" workbookViewId="0">
      <selection activeCell="N51" sqref="N51"/>
    </sheetView>
  </sheetViews>
  <sheetFormatPr defaultColWidth="9" defaultRowHeight="13.5"/>
  <cols>
    <col min="1" max="1" width="16.5833333333333" style="22" customWidth="1"/>
    <col min="2" max="2" width="13.5833333333333" style="22" customWidth="1"/>
    <col min="3" max="3" width="15.25" style="22" customWidth="1"/>
    <col min="4" max="4" width="14" style="22" customWidth="1"/>
    <col min="5" max="5" width="13" style="22" customWidth="1"/>
    <col min="6" max="6" width="9.33333333333333" style="22" customWidth="1"/>
    <col min="7" max="7" width="12.5833333333333" style="22"/>
    <col min="8" max="8" width="11.5" style="22"/>
    <col min="9" max="10" width="12.5833333333333" style="22"/>
    <col min="11" max="11" width="7.58333333333333" style="22" customWidth="1"/>
    <col min="12" max="12" width="11.3333333333333" style="22" customWidth="1"/>
    <col min="13" max="20" width="12.5833333333333" style="22"/>
    <col min="21" max="21" width="8.83333333333333" style="22" customWidth="1"/>
    <col min="22" max="26" width="12.5833333333333" style="22"/>
    <col min="27" max="16384" width="9" style="22"/>
  </cols>
  <sheetData>
    <row r="1" ht="14.25" customHeight="1" spans="1:16">
      <c r="A1" s="23" t="s">
        <v>34</v>
      </c>
      <c r="N1" s="40"/>
      <c r="O1" s="41"/>
      <c r="P1" s="41"/>
    </row>
    <row r="2" ht="14.25" spans="14:16">
      <c r="N2" s="42"/>
      <c r="O2" s="43"/>
      <c r="P2" s="43"/>
    </row>
    <row r="4" s="20" customFormat="1" ht="15.75" spans="1:2">
      <c r="A4" s="20" t="s">
        <v>35</v>
      </c>
      <c r="B4" s="125" t="s">
        <v>36</v>
      </c>
    </row>
    <row r="5" outlineLevel="1" spans="1:3">
      <c r="A5" s="21"/>
      <c r="B5" s="21"/>
      <c r="C5" s="21"/>
    </row>
    <row r="6" outlineLevel="1" spans="1:9">
      <c r="A6" s="21"/>
      <c r="B6" s="21" t="s">
        <v>37</v>
      </c>
      <c r="C6" s="21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1"/>
      <c r="I6" s="21"/>
    </row>
    <row r="7" outlineLevel="1" spans="2:5">
      <c r="B7" s="22" t="s">
        <v>43</v>
      </c>
      <c r="C7" s="22">
        <v>0.75</v>
      </c>
      <c r="D7" s="22" t="s">
        <v>44</v>
      </c>
      <c r="E7" s="22" t="s">
        <v>45</v>
      </c>
    </row>
    <row r="8" outlineLevel="1" spans="2:5">
      <c r="B8" s="22" t="s">
        <v>46</v>
      </c>
      <c r="C8" s="21">
        <v>0</v>
      </c>
      <c r="D8" s="22" t="s">
        <v>44</v>
      </c>
      <c r="E8" s="22" t="s">
        <v>47</v>
      </c>
    </row>
    <row r="9" ht="15.75" outlineLevel="1" spans="2:3">
      <c r="B9" s="22" t="s">
        <v>48</v>
      </c>
      <c r="C9" s="22">
        <v>28</v>
      </c>
    </row>
    <row r="10" outlineLevel="1" spans="2:5">
      <c r="B10" s="22" t="s">
        <v>49</v>
      </c>
      <c r="C10" s="22">
        <v>0.1</v>
      </c>
      <c r="E10" s="22" t="s">
        <v>45</v>
      </c>
    </row>
    <row r="11" outlineLevel="1" spans="2:5">
      <c r="B11" s="22" t="s">
        <v>50</v>
      </c>
      <c r="C11" s="22">
        <v>0.5</v>
      </c>
      <c r="E11" s="22" t="s">
        <v>45</v>
      </c>
    </row>
    <row r="12" ht="15.75" outlineLevel="1" spans="2:5">
      <c r="B12" s="22" t="s">
        <v>51</v>
      </c>
      <c r="C12" s="22">
        <v>0.5</v>
      </c>
      <c r="E12" s="22" t="s">
        <v>45</v>
      </c>
    </row>
    <row r="13" outlineLevel="1" spans="2:5">
      <c r="B13" s="22" t="s">
        <v>52</v>
      </c>
      <c r="C13" s="22">
        <v>1</v>
      </c>
      <c r="E13" s="22" t="s">
        <v>53</v>
      </c>
    </row>
    <row r="14" outlineLevel="1"/>
    <row r="15" s="20" customFormat="1" ht="15.75" outlineLevel="1" spans="2:2">
      <c r="B15" s="20" t="s">
        <v>54</v>
      </c>
    </row>
    <row r="16" outlineLevel="1" spans="3:3">
      <c r="C16" s="22">
        <f>C7*(1-C8)*C9*(1-C10)*16/12*C11*C12*C13</f>
        <v>6.3</v>
      </c>
    </row>
    <row r="17" outlineLevel="1"/>
    <row r="18" ht="14.25" outlineLevel="1" spans="2:5">
      <c r="B18" s="22" t="s">
        <v>55</v>
      </c>
      <c r="C18" s="22" t="s">
        <v>56</v>
      </c>
      <c r="E18" s="24"/>
    </row>
    <row r="19" ht="15" outlineLevel="1" spans="1:25">
      <c r="A19" s="25"/>
      <c r="B19" s="22" t="s">
        <v>57</v>
      </c>
      <c r="C19" s="22" t="s">
        <v>58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ht="15" outlineLevel="1" spans="1:1">
      <c r="A20" s="25"/>
    </row>
    <row r="21" outlineLevel="1" spans="5:10">
      <c r="E21" s="22" t="s">
        <v>59</v>
      </c>
      <c r="F21" s="22" t="s">
        <v>60</v>
      </c>
      <c r="G21" s="22" t="s">
        <v>61</v>
      </c>
      <c r="H21" s="22" t="s">
        <v>62</v>
      </c>
      <c r="I21" s="22" t="s">
        <v>63</v>
      </c>
      <c r="J21" s="22" t="s">
        <v>46</v>
      </c>
    </row>
    <row r="22" outlineLevel="1" spans="2:10">
      <c r="B22" s="22" t="s">
        <v>64</v>
      </c>
      <c r="E22" s="22" t="s">
        <v>65</v>
      </c>
      <c r="F22" s="22" t="s">
        <v>66</v>
      </c>
      <c r="G22" s="22" t="s">
        <v>67</v>
      </c>
      <c r="H22" s="22" t="s">
        <v>68</v>
      </c>
      <c r="I22" s="22" t="s">
        <v>69</v>
      </c>
      <c r="J22" s="22" t="s">
        <v>70</v>
      </c>
    </row>
    <row r="23" hidden="1" outlineLevel="1" spans="2:10">
      <c r="B23" s="26" t="s">
        <v>71</v>
      </c>
      <c r="C23" s="26"/>
      <c r="D23" s="26"/>
      <c r="E23" s="27"/>
      <c r="F23" s="27"/>
      <c r="G23" s="27"/>
      <c r="H23" s="27"/>
      <c r="I23" s="27"/>
      <c r="J23" s="26"/>
    </row>
    <row r="24" s="21" customFormat="1" outlineLevel="1" spans="2:25">
      <c r="B24" s="21" t="s">
        <v>72</v>
      </c>
      <c r="E24" s="28">
        <v>0.43</v>
      </c>
      <c r="F24" s="28">
        <v>0.4</v>
      </c>
      <c r="G24" s="28">
        <v>0.15</v>
      </c>
      <c r="H24" s="28">
        <v>0.24</v>
      </c>
      <c r="I24" s="28">
        <v>0.2</v>
      </c>
      <c r="J24" s="21">
        <v>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outlineLevel="1" spans="2:10">
      <c r="B25" s="21" t="s">
        <v>73</v>
      </c>
      <c r="C25" s="21"/>
      <c r="D25" s="21"/>
      <c r="E25" s="21">
        <v>0.035</v>
      </c>
      <c r="F25" s="21">
        <v>0.07</v>
      </c>
      <c r="G25" s="29">
        <v>0.4</v>
      </c>
      <c r="H25" s="21">
        <v>0.07</v>
      </c>
      <c r="I25" s="21">
        <v>0.17</v>
      </c>
      <c r="J25" s="21">
        <v>0</v>
      </c>
    </row>
    <row r="26" hidden="1" outlineLevel="1" spans="2:10">
      <c r="B26" s="26" t="s">
        <v>74</v>
      </c>
      <c r="C26" s="26"/>
      <c r="D26" s="26"/>
      <c r="E26" s="26">
        <v>0.03</v>
      </c>
      <c r="F26" s="26">
        <v>0.06</v>
      </c>
      <c r="G26" s="26">
        <v>0.185</v>
      </c>
      <c r="H26" s="26">
        <v>0.06</v>
      </c>
      <c r="I26" s="26">
        <v>0.1</v>
      </c>
      <c r="J26" s="26">
        <v>0</v>
      </c>
    </row>
    <row r="27" outlineLevel="1" spans="2:25">
      <c r="B27" s="22" t="s">
        <v>75</v>
      </c>
      <c r="E27" s="30">
        <v>0.176</v>
      </c>
      <c r="F27" s="30">
        <v>0.125</v>
      </c>
      <c r="G27" s="30">
        <v>0.39</v>
      </c>
      <c r="H27" s="30">
        <v>0.065</v>
      </c>
      <c r="I27" s="30">
        <v>0.202</v>
      </c>
      <c r="J27" s="30">
        <v>0.042</v>
      </c>
      <c r="K27" s="22">
        <f>SUM(E27:J27)</f>
        <v>1</v>
      </c>
      <c r="M27" s="21"/>
      <c r="N27" s="21"/>
      <c r="R27" s="21"/>
      <c r="S27" s="21"/>
      <c r="T27" s="21"/>
      <c r="U27" s="21"/>
      <c r="V27" s="21"/>
      <c r="W27" s="21"/>
      <c r="X27" s="21"/>
      <c r="Y27" s="21"/>
    </row>
    <row r="28" outlineLevel="1"/>
    <row r="29" outlineLevel="1"/>
    <row r="30" outlineLevel="1" spans="4:26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outlineLevel="1"/>
    <row r="32" s="20" customFormat="1" outlineLevel="1" spans="2:2">
      <c r="B32" s="20" t="s">
        <v>76</v>
      </c>
    </row>
    <row r="33" ht="15" outlineLevel="1" spans="3:22">
      <c r="C33" s="32" t="s">
        <v>77</v>
      </c>
      <c r="D33" s="32">
        <v>1</v>
      </c>
      <c r="E33" s="32">
        <v>2</v>
      </c>
      <c r="F33" s="32">
        <v>3</v>
      </c>
      <c r="G33" s="32">
        <v>4</v>
      </c>
      <c r="H33" s="32">
        <v>5</v>
      </c>
      <c r="I33" s="32">
        <v>6</v>
      </c>
      <c r="J33" s="32">
        <v>7</v>
      </c>
      <c r="K33" s="32">
        <v>8</v>
      </c>
      <c r="L33" s="32">
        <v>9</v>
      </c>
      <c r="M33" s="32">
        <v>10</v>
      </c>
      <c r="N33" s="32">
        <v>11</v>
      </c>
      <c r="O33" s="32">
        <v>12</v>
      </c>
      <c r="P33" s="32">
        <v>13</v>
      </c>
      <c r="Q33" s="32">
        <v>14</v>
      </c>
      <c r="R33" s="32">
        <v>15</v>
      </c>
      <c r="S33" s="32">
        <v>16</v>
      </c>
      <c r="T33" s="32">
        <v>17</v>
      </c>
      <c r="U33" s="22">
        <v>18</v>
      </c>
      <c r="V33" s="22">
        <v>19</v>
      </c>
    </row>
    <row r="34" ht="15" outlineLevel="1" spans="3:40">
      <c r="C34" s="32" t="s">
        <v>8</v>
      </c>
      <c r="D34" s="32">
        <v>2011</v>
      </c>
      <c r="E34" s="32">
        <f>D34+1</f>
        <v>2012</v>
      </c>
      <c r="F34" s="32">
        <f t="shared" ref="F34:V34" si="0">E34+1</f>
        <v>2013</v>
      </c>
      <c r="G34" s="32">
        <f t="shared" si="0"/>
        <v>2014</v>
      </c>
      <c r="H34" s="32">
        <f t="shared" si="0"/>
        <v>2015</v>
      </c>
      <c r="I34" s="32">
        <f t="shared" si="0"/>
        <v>2016</v>
      </c>
      <c r="J34" s="32">
        <f t="shared" si="0"/>
        <v>2017</v>
      </c>
      <c r="K34" s="32">
        <f t="shared" si="0"/>
        <v>2018</v>
      </c>
      <c r="L34" s="32">
        <f t="shared" si="0"/>
        <v>2019</v>
      </c>
      <c r="M34" s="32">
        <f t="shared" si="0"/>
        <v>2020</v>
      </c>
      <c r="N34" s="32">
        <f t="shared" si="0"/>
        <v>2021</v>
      </c>
      <c r="O34" s="32">
        <f t="shared" si="0"/>
        <v>2022</v>
      </c>
      <c r="P34" s="32">
        <f t="shared" si="0"/>
        <v>2023</v>
      </c>
      <c r="Q34" s="32">
        <f t="shared" si="0"/>
        <v>2024</v>
      </c>
      <c r="R34" s="32">
        <f t="shared" si="0"/>
        <v>2025</v>
      </c>
      <c r="S34" s="32">
        <f t="shared" si="0"/>
        <v>2026</v>
      </c>
      <c r="T34" s="32">
        <f t="shared" si="0"/>
        <v>2027</v>
      </c>
      <c r="U34" s="32">
        <f t="shared" si="0"/>
        <v>2028</v>
      </c>
      <c r="V34" s="32">
        <f t="shared" si="0"/>
        <v>2029</v>
      </c>
      <c r="W34" s="32"/>
      <c r="X34" s="32"/>
      <c r="Y34" s="32"/>
      <c r="Z34" s="32"/>
      <c r="AA34" s="32"/>
      <c r="AB34" s="32"/>
      <c r="AC34" s="32"/>
      <c r="AD34" s="32"/>
      <c r="AE34" s="32"/>
      <c r="AF34" s="32" t="s">
        <v>78</v>
      </c>
      <c r="AG34" s="32" t="s">
        <v>78</v>
      </c>
      <c r="AH34" s="32" t="s">
        <v>78</v>
      </c>
      <c r="AI34" s="32" t="s">
        <v>78</v>
      </c>
      <c r="AJ34" s="32" t="s">
        <v>78</v>
      </c>
      <c r="AK34" s="32" t="s">
        <v>78</v>
      </c>
      <c r="AL34" s="32" t="s">
        <v>78</v>
      </c>
      <c r="AM34" s="32" t="s">
        <v>78</v>
      </c>
      <c r="AN34" s="32" t="s">
        <v>78</v>
      </c>
    </row>
    <row r="35" ht="30" outlineLevel="1" spans="3:31">
      <c r="C35" s="32" t="s">
        <v>79</v>
      </c>
      <c r="D35" s="3">
        <v>6300</v>
      </c>
      <c r="E35" s="3">
        <v>41200</v>
      </c>
      <c r="F35" s="3">
        <v>45300</v>
      </c>
      <c r="G35" s="3">
        <v>49800</v>
      </c>
      <c r="H35" s="3">
        <v>54800</v>
      </c>
      <c r="I35" s="3">
        <v>60300</v>
      </c>
      <c r="J35" s="3">
        <v>66300</v>
      </c>
      <c r="K35" s="3">
        <v>72900</v>
      </c>
      <c r="L35" s="3">
        <v>83800</v>
      </c>
      <c r="M35" s="3">
        <v>96400</v>
      </c>
      <c r="N35" s="3">
        <v>110800</v>
      </c>
      <c r="O35" s="3">
        <v>127500</v>
      </c>
      <c r="P35" s="3">
        <v>146600</v>
      </c>
      <c r="Q35" s="3">
        <v>168600</v>
      </c>
      <c r="R35" s="3">
        <v>193900</v>
      </c>
      <c r="S35" s="3">
        <v>223000</v>
      </c>
      <c r="T35" s="3">
        <v>256400</v>
      </c>
      <c r="U35" s="3">
        <v>294860</v>
      </c>
      <c r="V35" s="3">
        <v>339089</v>
      </c>
      <c r="W35" s="44"/>
      <c r="X35" s="44"/>
      <c r="Y35" s="44"/>
      <c r="Z35" s="44"/>
      <c r="AA35" s="33"/>
      <c r="AB35" s="33"/>
      <c r="AC35" s="33"/>
      <c r="AD35" s="33"/>
      <c r="AE35" s="33"/>
    </row>
    <row r="36" ht="15.75" outlineLevel="1" spans="3:31">
      <c r="C36" s="32" t="s">
        <v>80</v>
      </c>
      <c r="D36" s="33">
        <f>D35*E27</f>
        <v>1108.8</v>
      </c>
      <c r="E36" s="33">
        <f>E35*E27</f>
        <v>7251.2</v>
      </c>
      <c r="F36" s="33">
        <f>F35*E27</f>
        <v>7972.8</v>
      </c>
      <c r="G36" s="33">
        <f>G35*E27</f>
        <v>8764.8</v>
      </c>
      <c r="H36" s="33">
        <f>H35*E27</f>
        <v>9644.8</v>
      </c>
      <c r="I36" s="33">
        <f>I35*E27</f>
        <v>10612.8</v>
      </c>
      <c r="J36" s="33">
        <f>J35*E27</f>
        <v>11668.8</v>
      </c>
      <c r="K36" s="33">
        <f>K35*E27</f>
        <v>12830.4</v>
      </c>
      <c r="L36" s="33">
        <f>L35*E27</f>
        <v>14748.8</v>
      </c>
      <c r="M36" s="33">
        <f>M35*E27</f>
        <v>16966.4</v>
      </c>
      <c r="N36" s="33">
        <f>N35*E27</f>
        <v>19500.8</v>
      </c>
      <c r="O36" s="33">
        <f>O35*E27</f>
        <v>22440</v>
      </c>
      <c r="P36" s="33">
        <f>P35*E27</f>
        <v>25801.6</v>
      </c>
      <c r="Q36" s="33">
        <f>Q35*E27</f>
        <v>29673.6</v>
      </c>
      <c r="R36" s="33">
        <f>R35*E27</f>
        <v>34126.4</v>
      </c>
      <c r="S36" s="33">
        <f>S35*E27</f>
        <v>39248</v>
      </c>
      <c r="T36" s="33">
        <f>T35*E27</f>
        <v>45126.4</v>
      </c>
      <c r="U36" s="33">
        <f>U35*E27</f>
        <v>51895.36</v>
      </c>
      <c r="V36" s="33">
        <f>V35*E27</f>
        <v>59679.664</v>
      </c>
      <c r="W36" s="33"/>
      <c r="X36" s="33"/>
      <c r="Y36" s="33"/>
      <c r="Z36" s="33"/>
      <c r="AA36" s="33"/>
      <c r="AB36" s="33"/>
      <c r="AC36" s="33"/>
      <c r="AD36" s="33"/>
      <c r="AE36" s="33"/>
    </row>
    <row r="37" ht="15.75" outlineLevel="1" spans="3:31">
      <c r="C37" s="32" t="s">
        <v>81</v>
      </c>
      <c r="D37" s="33">
        <f>D35*F27</f>
        <v>787.5</v>
      </c>
      <c r="E37" s="33">
        <f>E35*F27</f>
        <v>5150</v>
      </c>
      <c r="F37" s="33">
        <f>F35*F27</f>
        <v>5662.5</v>
      </c>
      <c r="G37" s="33">
        <f>G35*F27</f>
        <v>6225</v>
      </c>
      <c r="H37" s="33">
        <f>H35*F27</f>
        <v>6850</v>
      </c>
      <c r="I37" s="33">
        <f>I35*F27</f>
        <v>7537.5</v>
      </c>
      <c r="J37" s="33">
        <f>J35*F27</f>
        <v>8287.5</v>
      </c>
      <c r="K37" s="33">
        <f>K35*F27</f>
        <v>9112.5</v>
      </c>
      <c r="L37" s="33">
        <f>L35*F27</f>
        <v>10475</v>
      </c>
      <c r="M37" s="33">
        <f>M35*F27</f>
        <v>12050</v>
      </c>
      <c r="N37" s="33">
        <f>N35*F27</f>
        <v>13850</v>
      </c>
      <c r="O37" s="33">
        <f>O35*F27</f>
        <v>15937.5</v>
      </c>
      <c r="P37" s="33">
        <f>P35*F27</f>
        <v>18325</v>
      </c>
      <c r="Q37" s="33">
        <f>Q35*F27</f>
        <v>21075</v>
      </c>
      <c r="R37" s="33">
        <f>R35*F27</f>
        <v>24237.5</v>
      </c>
      <c r="S37" s="33">
        <f>S35*F27</f>
        <v>27875</v>
      </c>
      <c r="T37" s="33">
        <f>T35*F27</f>
        <v>32050</v>
      </c>
      <c r="U37" s="33">
        <f>U35*F27</f>
        <v>36857.5</v>
      </c>
      <c r="V37" s="33">
        <f>V35*F27</f>
        <v>42386.125</v>
      </c>
      <c r="W37" s="33"/>
      <c r="X37" s="33"/>
      <c r="Y37" s="33"/>
      <c r="Z37" s="33"/>
      <c r="AA37" s="33"/>
      <c r="AB37" s="33"/>
      <c r="AC37" s="33"/>
      <c r="AD37" s="33"/>
      <c r="AE37" s="33"/>
    </row>
    <row r="38" ht="15.75" outlineLevel="1" spans="3:31">
      <c r="C38" s="32" t="s">
        <v>82</v>
      </c>
      <c r="D38" s="33">
        <f>D35*G27</f>
        <v>2457</v>
      </c>
      <c r="E38" s="33">
        <f>E35*G27</f>
        <v>16068</v>
      </c>
      <c r="F38" s="33">
        <f>F35*G27</f>
        <v>17667</v>
      </c>
      <c r="G38" s="33">
        <f>G35*G27</f>
        <v>19422</v>
      </c>
      <c r="H38" s="33">
        <f>H35*G27</f>
        <v>21372</v>
      </c>
      <c r="I38" s="33">
        <f>I35*G27</f>
        <v>23517</v>
      </c>
      <c r="J38" s="33">
        <f>J35*G27</f>
        <v>25857</v>
      </c>
      <c r="K38" s="33">
        <f>K35*G27</f>
        <v>28431</v>
      </c>
      <c r="L38" s="33">
        <f>L35*G27</f>
        <v>32682</v>
      </c>
      <c r="M38" s="33">
        <f>M35*G27</f>
        <v>37596</v>
      </c>
      <c r="N38" s="33">
        <f>N35*G27</f>
        <v>43212</v>
      </c>
      <c r="O38" s="33">
        <f>O35*G27</f>
        <v>49725</v>
      </c>
      <c r="P38" s="33">
        <f>P35*G27</f>
        <v>57174</v>
      </c>
      <c r="Q38" s="33">
        <f>Q35*G27</f>
        <v>65754</v>
      </c>
      <c r="R38" s="33">
        <f>R35*G27</f>
        <v>75621</v>
      </c>
      <c r="S38" s="33">
        <f>S35*G27</f>
        <v>86970</v>
      </c>
      <c r="T38" s="33">
        <f>T35*G27</f>
        <v>99996</v>
      </c>
      <c r="U38" s="33">
        <f>U35*G27</f>
        <v>114995.4</v>
      </c>
      <c r="V38" s="33">
        <f>V35*G27</f>
        <v>132244.71</v>
      </c>
      <c r="W38" s="33"/>
      <c r="X38" s="33"/>
      <c r="Y38" s="33"/>
      <c r="Z38" s="33"/>
      <c r="AA38" s="33"/>
      <c r="AB38" s="33"/>
      <c r="AC38" s="33"/>
      <c r="AD38" s="33"/>
      <c r="AE38" s="33"/>
    </row>
    <row r="39" ht="15.75" outlineLevel="1" spans="3:31">
      <c r="C39" s="32" t="s">
        <v>83</v>
      </c>
      <c r="D39" s="33">
        <f>D35*H27</f>
        <v>409.5</v>
      </c>
      <c r="E39" s="33">
        <f>E35*H27</f>
        <v>2678</v>
      </c>
      <c r="F39" s="33">
        <f>F35*H27</f>
        <v>2944.5</v>
      </c>
      <c r="G39" s="33">
        <f>G35*H27</f>
        <v>3237</v>
      </c>
      <c r="H39" s="33">
        <f>H35*H27</f>
        <v>3562</v>
      </c>
      <c r="I39" s="33">
        <f>I35*H27</f>
        <v>3919.5</v>
      </c>
      <c r="J39" s="33">
        <f>J35*H27</f>
        <v>4309.5</v>
      </c>
      <c r="K39" s="33">
        <f>K35*H27</f>
        <v>4738.5</v>
      </c>
      <c r="L39" s="33">
        <f>L35*H27</f>
        <v>5447</v>
      </c>
      <c r="M39" s="33">
        <f>M35*H27</f>
        <v>6266</v>
      </c>
      <c r="N39" s="33">
        <f>N35*H27</f>
        <v>7202</v>
      </c>
      <c r="O39" s="33">
        <f>O35*H27</f>
        <v>8287.5</v>
      </c>
      <c r="P39" s="33">
        <f>P35*H27</f>
        <v>9529</v>
      </c>
      <c r="Q39" s="33">
        <f>Q35*H27</f>
        <v>10959</v>
      </c>
      <c r="R39" s="33">
        <f>R35*H27</f>
        <v>12603.5</v>
      </c>
      <c r="S39" s="33">
        <f>S35*H27</f>
        <v>14495</v>
      </c>
      <c r="T39" s="33">
        <f>T35*H27</f>
        <v>16666</v>
      </c>
      <c r="U39" s="33">
        <f>U35*H27</f>
        <v>19165.9</v>
      </c>
      <c r="V39" s="33">
        <f>V35*H27</f>
        <v>22040.785</v>
      </c>
      <c r="W39" s="33"/>
      <c r="X39" s="33"/>
      <c r="Y39" s="33"/>
      <c r="Z39" s="33"/>
      <c r="AA39" s="33"/>
      <c r="AB39" s="33"/>
      <c r="AC39" s="33"/>
      <c r="AD39" s="33"/>
      <c r="AE39" s="33"/>
    </row>
    <row r="40" ht="15.75" outlineLevel="1" spans="3:31">
      <c r="C40" s="32" t="s">
        <v>84</v>
      </c>
      <c r="D40" s="33">
        <f>D35*I27</f>
        <v>1272.6</v>
      </c>
      <c r="E40" s="33">
        <f>E35*I27</f>
        <v>8322.4</v>
      </c>
      <c r="F40" s="33">
        <f>F35*I27</f>
        <v>9150.6</v>
      </c>
      <c r="G40" s="33">
        <f>G35*I27</f>
        <v>10059.6</v>
      </c>
      <c r="H40" s="33">
        <f>H35*I27</f>
        <v>11069.6</v>
      </c>
      <c r="I40" s="33">
        <f>I35*I27</f>
        <v>12180.6</v>
      </c>
      <c r="J40" s="33">
        <f>J35*I27</f>
        <v>13392.6</v>
      </c>
      <c r="K40" s="33">
        <f>K35*I27</f>
        <v>14725.8</v>
      </c>
      <c r="L40" s="33">
        <f>L35*I27</f>
        <v>16927.6</v>
      </c>
      <c r="M40" s="33">
        <f>M35*I27</f>
        <v>19472.8</v>
      </c>
      <c r="N40" s="33">
        <f>N35*I27</f>
        <v>22381.6</v>
      </c>
      <c r="O40" s="33">
        <f>O35*I27</f>
        <v>25755</v>
      </c>
      <c r="P40" s="33">
        <f>P35*I27</f>
        <v>29613.2</v>
      </c>
      <c r="Q40" s="33">
        <f>Q35*I27</f>
        <v>34057.2</v>
      </c>
      <c r="R40" s="33">
        <f>R35*I27</f>
        <v>39167.8</v>
      </c>
      <c r="S40" s="33">
        <f>S35*I27</f>
        <v>45046</v>
      </c>
      <c r="T40" s="33">
        <f>T35*I27</f>
        <v>51792.8</v>
      </c>
      <c r="U40" s="33">
        <f>U35*I27</f>
        <v>59561.72</v>
      </c>
      <c r="V40" s="33">
        <f>V35*I27</f>
        <v>68495.978</v>
      </c>
      <c r="W40" s="33"/>
      <c r="X40" s="33"/>
      <c r="Y40" s="33"/>
      <c r="Z40" s="33"/>
      <c r="AA40" s="33"/>
      <c r="AB40" s="33"/>
      <c r="AC40" s="33"/>
      <c r="AD40" s="33"/>
      <c r="AE40" s="33"/>
    </row>
    <row r="41" ht="15.75" outlineLevel="1" spans="3:31">
      <c r="C41" s="32" t="s">
        <v>85</v>
      </c>
      <c r="D41" s="33">
        <f>D35*J27</f>
        <v>264.6</v>
      </c>
      <c r="E41" s="33">
        <f>E35*J27</f>
        <v>1730.4</v>
      </c>
      <c r="F41" s="33">
        <f>F35*J27</f>
        <v>1902.6</v>
      </c>
      <c r="G41" s="33">
        <f>G35*J27</f>
        <v>2091.6</v>
      </c>
      <c r="H41" s="33">
        <f>H35*J27</f>
        <v>2301.6</v>
      </c>
      <c r="I41" s="33">
        <f>I35*J27</f>
        <v>2532.6</v>
      </c>
      <c r="J41" s="33">
        <f>J35*J27</f>
        <v>2784.6</v>
      </c>
      <c r="K41" s="33">
        <f>K35*J27</f>
        <v>3061.8</v>
      </c>
      <c r="L41" s="33">
        <f>L35*J27</f>
        <v>3519.6</v>
      </c>
      <c r="M41" s="33">
        <f>M35*J27</f>
        <v>4048.8</v>
      </c>
      <c r="N41" s="33">
        <f>N35*J27</f>
        <v>4653.6</v>
      </c>
      <c r="O41" s="33">
        <f>O35*J27</f>
        <v>5355</v>
      </c>
      <c r="P41" s="33">
        <f>P35*J27</f>
        <v>6157.2</v>
      </c>
      <c r="Q41" s="33">
        <f>Q35*J27</f>
        <v>7081.2</v>
      </c>
      <c r="R41" s="33">
        <f>R35*J27</f>
        <v>8143.8</v>
      </c>
      <c r="S41" s="33">
        <f>S35*J27</f>
        <v>9366</v>
      </c>
      <c r="T41" s="33">
        <f>T35*J27</f>
        <v>10768.8</v>
      </c>
      <c r="U41" s="33">
        <f>U35*J27</f>
        <v>12384.12</v>
      </c>
      <c r="V41" s="33">
        <f>V35*J27</f>
        <v>14241.738</v>
      </c>
      <c r="W41" s="33"/>
      <c r="X41" s="33"/>
      <c r="Y41" s="33"/>
      <c r="Z41" s="33"/>
      <c r="AA41" s="33"/>
      <c r="AB41" s="33"/>
      <c r="AC41" s="33"/>
      <c r="AD41" s="33"/>
      <c r="AE41" s="33"/>
    </row>
    <row r="42" ht="15.75" outlineLevel="1" spans="3:31">
      <c r="C42" s="34" t="s">
        <v>86</v>
      </c>
      <c r="D42" s="34">
        <f>D35*$E27*$E24</f>
        <v>476.784</v>
      </c>
      <c r="E42" s="34">
        <f t="shared" ref="E42:S42" si="1">E35*$E27*$E24</f>
        <v>3118.016</v>
      </c>
      <c r="F42" s="34">
        <f t="shared" si="1"/>
        <v>3428.304</v>
      </c>
      <c r="G42" s="34">
        <f t="shared" si="1"/>
        <v>3768.864</v>
      </c>
      <c r="H42" s="34">
        <f t="shared" si="1"/>
        <v>4147.264</v>
      </c>
      <c r="I42" s="34">
        <f t="shared" si="1"/>
        <v>4563.504</v>
      </c>
      <c r="J42" s="34">
        <f t="shared" si="1"/>
        <v>5017.584</v>
      </c>
      <c r="K42" s="34">
        <f t="shared" si="1"/>
        <v>5517.072</v>
      </c>
      <c r="L42" s="34">
        <f t="shared" si="1"/>
        <v>6341.984</v>
      </c>
      <c r="M42" s="34">
        <f t="shared" si="1"/>
        <v>7295.552</v>
      </c>
      <c r="N42" s="34">
        <f t="shared" si="1"/>
        <v>8385.344</v>
      </c>
      <c r="O42" s="34">
        <f t="shared" si="1"/>
        <v>9649.2</v>
      </c>
      <c r="P42" s="34">
        <f t="shared" si="1"/>
        <v>11094.688</v>
      </c>
      <c r="Q42" s="34">
        <f t="shared" si="1"/>
        <v>12759.648</v>
      </c>
      <c r="R42" s="34">
        <f t="shared" si="1"/>
        <v>14674.352</v>
      </c>
      <c r="S42" s="34">
        <f t="shared" si="1"/>
        <v>16876.64</v>
      </c>
      <c r="T42" s="34">
        <f t="shared" ref="T42:V42" si="2">T35*$E27*$E24</f>
        <v>19404.352</v>
      </c>
      <c r="U42" s="34">
        <f t="shared" si="2"/>
        <v>22315.0048</v>
      </c>
      <c r="V42" s="34">
        <f t="shared" si="2"/>
        <v>25662.25552</v>
      </c>
      <c r="W42" s="34"/>
      <c r="X42" s="33"/>
      <c r="Y42" s="33"/>
      <c r="Z42" s="33"/>
      <c r="AA42" s="33"/>
      <c r="AB42" s="33"/>
      <c r="AC42" s="33"/>
      <c r="AD42" s="33"/>
      <c r="AE42" s="33"/>
    </row>
    <row r="43" ht="15.75" outlineLevel="1" spans="3:31">
      <c r="C43" s="34" t="s">
        <v>87</v>
      </c>
      <c r="D43" s="34">
        <f t="shared" ref="D43:V43" si="3">D35*$F27*$F24</f>
        <v>315</v>
      </c>
      <c r="E43" s="34">
        <f t="shared" si="3"/>
        <v>2060</v>
      </c>
      <c r="F43" s="34">
        <f t="shared" si="3"/>
        <v>2265</v>
      </c>
      <c r="G43" s="34">
        <f t="shared" si="3"/>
        <v>2490</v>
      </c>
      <c r="H43" s="34">
        <f t="shared" si="3"/>
        <v>2740</v>
      </c>
      <c r="I43" s="34">
        <f t="shared" si="3"/>
        <v>3015</v>
      </c>
      <c r="J43" s="34">
        <f t="shared" si="3"/>
        <v>3315</v>
      </c>
      <c r="K43" s="34">
        <f t="shared" si="3"/>
        <v>3645</v>
      </c>
      <c r="L43" s="34">
        <f t="shared" si="3"/>
        <v>4190</v>
      </c>
      <c r="M43" s="34">
        <f t="shared" si="3"/>
        <v>4820</v>
      </c>
      <c r="N43" s="34">
        <f t="shared" si="3"/>
        <v>5540</v>
      </c>
      <c r="O43" s="34">
        <f t="shared" si="3"/>
        <v>6375</v>
      </c>
      <c r="P43" s="34">
        <f t="shared" si="3"/>
        <v>7330</v>
      </c>
      <c r="Q43" s="34">
        <f t="shared" si="3"/>
        <v>8430</v>
      </c>
      <c r="R43" s="34">
        <f t="shared" si="3"/>
        <v>9695</v>
      </c>
      <c r="S43" s="34">
        <f t="shared" si="3"/>
        <v>11150</v>
      </c>
      <c r="T43" s="34">
        <f t="shared" si="3"/>
        <v>12820</v>
      </c>
      <c r="U43" s="34">
        <f t="shared" si="3"/>
        <v>14743</v>
      </c>
      <c r="V43" s="34">
        <f t="shared" si="3"/>
        <v>16954.45</v>
      </c>
      <c r="W43" s="34"/>
      <c r="X43" s="33"/>
      <c r="Y43" s="33"/>
      <c r="Z43" s="33"/>
      <c r="AA43" s="33"/>
      <c r="AB43" s="33"/>
      <c r="AC43" s="33"/>
      <c r="AD43" s="33"/>
      <c r="AE43" s="33"/>
    </row>
    <row r="44" ht="15.75" outlineLevel="1" spans="3:31">
      <c r="C44" s="34" t="s">
        <v>88</v>
      </c>
      <c r="D44" s="34">
        <f t="shared" ref="D44:V44" si="4">D35*$G27*$G24</f>
        <v>368.55</v>
      </c>
      <c r="E44" s="34">
        <f t="shared" si="4"/>
        <v>2410.2</v>
      </c>
      <c r="F44" s="34">
        <f t="shared" si="4"/>
        <v>2650.05</v>
      </c>
      <c r="G44" s="34">
        <f t="shared" si="4"/>
        <v>2913.3</v>
      </c>
      <c r="H44" s="34">
        <f t="shared" si="4"/>
        <v>3205.8</v>
      </c>
      <c r="I44" s="34">
        <f t="shared" si="4"/>
        <v>3527.55</v>
      </c>
      <c r="J44" s="34">
        <f t="shared" si="4"/>
        <v>3878.55</v>
      </c>
      <c r="K44" s="34">
        <f t="shared" si="4"/>
        <v>4264.65</v>
      </c>
      <c r="L44" s="34">
        <f t="shared" si="4"/>
        <v>4902.3</v>
      </c>
      <c r="M44" s="34">
        <f t="shared" si="4"/>
        <v>5639.4</v>
      </c>
      <c r="N44" s="34">
        <f t="shared" si="4"/>
        <v>6481.8</v>
      </c>
      <c r="O44" s="34">
        <f t="shared" si="4"/>
        <v>7458.75</v>
      </c>
      <c r="P44" s="34">
        <f t="shared" si="4"/>
        <v>8576.1</v>
      </c>
      <c r="Q44" s="34">
        <f t="shared" si="4"/>
        <v>9863.1</v>
      </c>
      <c r="R44" s="34">
        <f t="shared" si="4"/>
        <v>11343.15</v>
      </c>
      <c r="S44" s="34">
        <f t="shared" si="4"/>
        <v>13045.5</v>
      </c>
      <c r="T44" s="34">
        <f t="shared" si="4"/>
        <v>14999.4</v>
      </c>
      <c r="U44" s="34">
        <f t="shared" si="4"/>
        <v>17249.31</v>
      </c>
      <c r="V44" s="34">
        <f t="shared" si="4"/>
        <v>19836.7065</v>
      </c>
      <c r="W44" s="34"/>
      <c r="X44" s="33"/>
      <c r="Y44" s="33"/>
      <c r="Z44" s="33"/>
      <c r="AA44" s="33"/>
      <c r="AB44" s="33"/>
      <c r="AC44" s="33"/>
      <c r="AD44" s="33"/>
      <c r="AE44" s="33"/>
    </row>
    <row r="45" ht="15.75" outlineLevel="1" spans="3:31">
      <c r="C45" s="34" t="s">
        <v>89</v>
      </c>
      <c r="D45" s="34">
        <f t="shared" ref="D45:V45" si="5">D35*$H27*$H24</f>
        <v>98.28</v>
      </c>
      <c r="E45" s="34">
        <f t="shared" si="5"/>
        <v>642.72</v>
      </c>
      <c r="F45" s="34">
        <f t="shared" si="5"/>
        <v>706.68</v>
      </c>
      <c r="G45" s="34">
        <f t="shared" si="5"/>
        <v>776.88</v>
      </c>
      <c r="H45" s="34">
        <f t="shared" si="5"/>
        <v>854.88</v>
      </c>
      <c r="I45" s="34">
        <f t="shared" si="5"/>
        <v>940.68</v>
      </c>
      <c r="J45" s="34">
        <f t="shared" si="5"/>
        <v>1034.28</v>
      </c>
      <c r="K45" s="34">
        <f t="shared" si="5"/>
        <v>1137.24</v>
      </c>
      <c r="L45" s="34">
        <f t="shared" si="5"/>
        <v>1307.28</v>
      </c>
      <c r="M45" s="34">
        <f t="shared" si="5"/>
        <v>1503.84</v>
      </c>
      <c r="N45" s="34">
        <f t="shared" si="5"/>
        <v>1728.48</v>
      </c>
      <c r="O45" s="34">
        <f t="shared" si="5"/>
        <v>1989</v>
      </c>
      <c r="P45" s="34">
        <f t="shared" si="5"/>
        <v>2286.96</v>
      </c>
      <c r="Q45" s="34">
        <f t="shared" si="5"/>
        <v>2630.16</v>
      </c>
      <c r="R45" s="34">
        <f t="shared" si="5"/>
        <v>3024.84</v>
      </c>
      <c r="S45" s="34">
        <f t="shared" si="5"/>
        <v>3478.8</v>
      </c>
      <c r="T45" s="34">
        <f t="shared" si="5"/>
        <v>3999.84</v>
      </c>
      <c r="U45" s="34">
        <f t="shared" si="5"/>
        <v>4599.816</v>
      </c>
      <c r="V45" s="34">
        <f t="shared" si="5"/>
        <v>5289.7884</v>
      </c>
      <c r="W45" s="34"/>
      <c r="X45" s="33"/>
      <c r="Y45" s="33"/>
      <c r="Z45" s="33"/>
      <c r="AA45" s="33"/>
      <c r="AB45" s="33"/>
      <c r="AC45" s="33"/>
      <c r="AD45" s="33"/>
      <c r="AE45" s="33"/>
    </row>
    <row r="46" ht="15.75" outlineLevel="1" spans="3:31">
      <c r="C46" s="34" t="s">
        <v>90</v>
      </c>
      <c r="D46" s="34">
        <f t="shared" ref="D46:V46" si="6">D35*$I27*$I24</f>
        <v>254.52</v>
      </c>
      <c r="E46" s="34">
        <f t="shared" si="6"/>
        <v>1664.48</v>
      </c>
      <c r="F46" s="34">
        <f t="shared" si="6"/>
        <v>1830.12</v>
      </c>
      <c r="G46" s="34">
        <f t="shared" si="6"/>
        <v>2011.92</v>
      </c>
      <c r="H46" s="34">
        <f t="shared" si="6"/>
        <v>2213.92</v>
      </c>
      <c r="I46" s="34">
        <f t="shared" si="6"/>
        <v>2436.12</v>
      </c>
      <c r="J46" s="34">
        <f t="shared" si="6"/>
        <v>2678.52</v>
      </c>
      <c r="K46" s="34">
        <f t="shared" si="6"/>
        <v>2945.16</v>
      </c>
      <c r="L46" s="34">
        <f t="shared" si="6"/>
        <v>3385.52</v>
      </c>
      <c r="M46" s="34">
        <f t="shared" si="6"/>
        <v>3894.56</v>
      </c>
      <c r="N46" s="34">
        <f t="shared" si="6"/>
        <v>4476.32</v>
      </c>
      <c r="O46" s="34">
        <f t="shared" si="6"/>
        <v>5151</v>
      </c>
      <c r="P46" s="34">
        <f t="shared" si="6"/>
        <v>5922.64</v>
      </c>
      <c r="Q46" s="34">
        <f t="shared" si="6"/>
        <v>6811.44</v>
      </c>
      <c r="R46" s="34">
        <f t="shared" si="6"/>
        <v>7833.56</v>
      </c>
      <c r="S46" s="34">
        <f t="shared" si="6"/>
        <v>9009.2</v>
      </c>
      <c r="T46" s="34">
        <f t="shared" si="6"/>
        <v>10358.56</v>
      </c>
      <c r="U46" s="34">
        <f t="shared" si="6"/>
        <v>11912.344</v>
      </c>
      <c r="V46" s="34">
        <f t="shared" si="6"/>
        <v>13699.1956</v>
      </c>
      <c r="W46" s="34"/>
      <c r="X46" s="33"/>
      <c r="Y46" s="33"/>
      <c r="Z46" s="33"/>
      <c r="AA46" s="33"/>
      <c r="AB46" s="33"/>
      <c r="AC46" s="33"/>
      <c r="AD46" s="33"/>
      <c r="AE46" s="33"/>
    </row>
    <row r="47" outlineLevel="1" spans="3:20">
      <c r="C47" s="35"/>
      <c r="D47" s="34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="20" customFormat="1" ht="16.5" customHeight="1" outlineLevel="1" spans="2:21">
      <c r="B48" s="20" t="s">
        <v>91</v>
      </c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="20" customFormat="1" ht="16.5" customHeight="1" outlineLevel="1" spans="2:21">
      <c r="B49" s="20" t="s">
        <v>92</v>
      </c>
      <c r="D49" s="38">
        <v>0.9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4:21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</row>
    <row r="51" ht="15.75" spans="1:3">
      <c r="A51" s="22" t="s">
        <v>35</v>
      </c>
      <c r="B51" s="32" t="s">
        <v>93</v>
      </c>
      <c r="C51" s="34" t="s">
        <v>8</v>
      </c>
    </row>
    <row r="52" ht="15" spans="1:4">
      <c r="A52" s="39">
        <f t="shared" ref="A52:A70" si="7">SUM(D52:Y52)</f>
        <v>1295.48819759799</v>
      </c>
      <c r="B52" s="32">
        <v>1</v>
      </c>
      <c r="C52" s="32">
        <v>2011</v>
      </c>
      <c r="D52" s="22">
        <f t="shared" ref="D52:D70" si="8">$C$16*(D$42*EXP(-$E$25*($B52-D$33))*(1-EXP(-$E$25))+D$43*EXP(-$F$25*($B52-D$33))*(1-EXP(-$F$25))+D$44*EXP(-$G$25*($B52-D$33))*(1-EXP(-$G$25))+D$45*EXP(-$H$25*($B52-D$33))*(1-EXP(-$H$25))+D$46*EXP(-$I$25*($B52-D$33))*(1-EXP(-$I$25)))</f>
        <v>1295.48819759799</v>
      </c>
    </row>
    <row r="53" ht="15" spans="1:5">
      <c r="A53" s="39">
        <f t="shared" si="7"/>
        <v>9460.56511596561</v>
      </c>
      <c r="B53" s="32">
        <v>2</v>
      </c>
      <c r="C53" s="32">
        <f t="shared" ref="C53:C70" si="9">C52+1</f>
        <v>2012</v>
      </c>
      <c r="D53" s="22">
        <f t="shared" si="8"/>
        <v>988.483569769249</v>
      </c>
      <c r="E53" s="22">
        <f t="shared" ref="E53:E70" si="10">$C$16*(E$42*EXP(-$E$25*($B53-E$33))*(1-EXP(-$E$25))+E$43*EXP(-$F$25*($B53-E$33))*(1-EXP(-$F$25))+E$44*EXP(-$G$25*($B53-E$33))*(1-EXP(-$G$25))+E$45*EXP(-$H$25*($B53-E$33))*(1-EXP(-$H$25))+E$46*EXP(-$I$25*($B53-E$33))*(1-EXP(-$I$25)))</f>
        <v>8472.08154619636</v>
      </c>
    </row>
    <row r="54" ht="15" spans="1:6">
      <c r="A54" s="39">
        <f t="shared" si="7"/>
        <v>16551.2765855006</v>
      </c>
      <c r="B54" s="32">
        <v>3</v>
      </c>
      <c r="C54" s="32">
        <f t="shared" si="9"/>
        <v>2013</v>
      </c>
      <c r="D54" s="22">
        <f t="shared" si="8"/>
        <v>771.73080364629</v>
      </c>
      <c r="E54" s="22">
        <f t="shared" si="10"/>
        <v>6464.36874198302</v>
      </c>
      <c r="F54" s="22">
        <f t="shared" ref="F54:F70" si="11">$C$16*(F$42*EXP(-$E$25*($B54-F$33))*(1-EXP(-$E$25))+F$43*EXP(-$F$25*($B54-F$33))*(1-EXP(-$F$25))+F$44*EXP(-$G$25*($B54-F$33))*(1-EXP(-$G$25))+F$45*EXP(-$H$25*($B54-F$33))*(1-EXP(-$H$25))+F$46*EXP(-$I$25*($B54-F$33))*(1-EXP(-$I$25)))</f>
        <v>9315.17703987124</v>
      </c>
    </row>
    <row r="55" ht="15" spans="1:7">
      <c r="A55" s="39">
        <f t="shared" si="7"/>
        <v>23011.8524393433</v>
      </c>
      <c r="B55" s="32">
        <v>4</v>
      </c>
      <c r="C55" s="32">
        <f t="shared" si="9"/>
        <v>2014</v>
      </c>
      <c r="D55" s="22">
        <f t="shared" si="8"/>
        <v>616.784651858607</v>
      </c>
      <c r="E55" s="22">
        <f t="shared" si="10"/>
        <v>5046.87446194082</v>
      </c>
      <c r="F55" s="22">
        <f t="shared" si="11"/>
        <v>7107.66757310269</v>
      </c>
      <c r="G55" s="22">
        <f t="shared" ref="G55:G70" si="12">$C$16*(G$42*EXP(-$E$25*($B55-G$33))*(1-EXP(-$E$25))+G$43*EXP(-$F$25*($B55-G$33))*(1-EXP(-$F$25))+G$44*EXP(-$G$25*($B55-G$33))*(1-EXP(-$G$25))+G$45*EXP(-$H$25*($B55-G$33))*(1-EXP(-$H$25))+G$46*EXP(-$I$25*($B55-G$33))*(1-EXP(-$I$25)))</f>
        <v>10240.5257524412</v>
      </c>
    </row>
    <row r="56" ht="15" spans="1:8">
      <c r="A56" s="39">
        <f t="shared" si="7"/>
        <v>29169.5022058699</v>
      </c>
      <c r="B56" s="32">
        <v>5</v>
      </c>
      <c r="C56" s="32">
        <f t="shared" si="9"/>
        <v>2015</v>
      </c>
      <c r="D56" s="22">
        <f t="shared" si="8"/>
        <v>504.396163865207</v>
      </c>
      <c r="E56" s="22">
        <f t="shared" si="10"/>
        <v>4033.57581850391</v>
      </c>
      <c r="F56" s="22">
        <f t="shared" si="11"/>
        <v>5549.1119690757</v>
      </c>
      <c r="G56" s="22">
        <f t="shared" si="12"/>
        <v>7813.72726579501</v>
      </c>
      <c r="H56" s="22">
        <f t="shared" ref="H56:H70" si="13">$C$16*(H$42*EXP(-$E$25*($B56-H$33))*(1-EXP(-$E$25))+H$43*EXP(-$F$25*($B56-H$33))*(1-EXP(-$F$25))+H$44*EXP(-$G$25*($B56-H$33))*(1-EXP(-$G$25))+H$45*EXP(-$H$25*($B56-H$33))*(1-EXP(-$H$25))+H$46*EXP(-$I$25*($B56-H$33))*(1-EXP(-$I$25)))</f>
        <v>11268.6909886301</v>
      </c>
    </row>
    <row r="57" ht="15" spans="1:9">
      <c r="A57" s="39">
        <f t="shared" si="7"/>
        <v>35253.3329958074</v>
      </c>
      <c r="B57" s="32">
        <v>6</v>
      </c>
      <c r="C57" s="32">
        <f t="shared" si="9"/>
        <v>2016</v>
      </c>
      <c r="D57" s="22">
        <f t="shared" si="8"/>
        <v>421.507814769329</v>
      </c>
      <c r="E57" s="22">
        <f t="shared" si="10"/>
        <v>3298.59078591214</v>
      </c>
      <c r="F57" s="22">
        <f t="shared" si="11"/>
        <v>4434.97535384046</v>
      </c>
      <c r="G57" s="22">
        <f t="shared" si="12"/>
        <v>6100.34825739448</v>
      </c>
      <c r="H57" s="22">
        <f t="shared" si="13"/>
        <v>8598.23803545315</v>
      </c>
      <c r="I57" s="22">
        <f t="shared" ref="I57:I70" si="14">$C$16*(I$42*EXP(-$E$25*($B57-I$33))*(1-EXP(-$E$25))+I$43*EXP(-$F$25*($B57-I$33))*(1-EXP(-$F$25))+I$44*EXP(-$G$25*($B57-I$33))*(1-EXP(-$G$25))+I$45*EXP(-$H$25*($B57-I$33))*(1-EXP(-$H$25))+I$46*EXP(-$I$25*($B57-I$33))*(1-EXP(-$I$25)))</f>
        <v>12399.6727484379</v>
      </c>
    </row>
    <row r="58" ht="15" spans="1:10">
      <c r="A58" s="39">
        <f t="shared" si="7"/>
        <v>41425.6508143082</v>
      </c>
      <c r="B58" s="32">
        <v>7</v>
      </c>
      <c r="C58" s="32">
        <f t="shared" si="9"/>
        <v>2017</v>
      </c>
      <c r="D58" s="22">
        <f t="shared" si="8"/>
        <v>359.235155292636</v>
      </c>
      <c r="E58" s="22">
        <f t="shared" si="10"/>
        <v>2756.52729658672</v>
      </c>
      <c r="F58" s="22">
        <f t="shared" si="11"/>
        <v>3626.84860684029</v>
      </c>
      <c r="G58" s="22">
        <f t="shared" si="12"/>
        <v>4875.53581945375</v>
      </c>
      <c r="H58" s="22">
        <f t="shared" si="13"/>
        <v>6712.83302219312</v>
      </c>
      <c r="I58" s="22">
        <f t="shared" si="14"/>
        <v>9461.19988207709</v>
      </c>
      <c r="J58" s="22">
        <f t="shared" ref="J58:J70" si="15">$C$16*(J$42*EXP(-$E$25*($B58-J$33))*(1-EXP(-$E$25))+J$43*EXP(-$F$25*($B58-J$33))*(1-EXP(-$F$25))+J$44*EXP(-$G$25*($B58-J$33))*(1-EXP(-$G$25))+J$45*EXP(-$H$25*($B58-J$33))*(1-EXP(-$H$25))+J$46*EXP(-$I$25*($B58-J$33))*(1-EXP(-$I$25)))</f>
        <v>13633.4710318645</v>
      </c>
    </row>
    <row r="59" ht="15" spans="1:11">
      <c r="A59" s="39">
        <f t="shared" si="7"/>
        <v>47823.6434061449</v>
      </c>
      <c r="B59" s="32">
        <v>8</v>
      </c>
      <c r="C59" s="32">
        <f t="shared" si="9"/>
        <v>2018</v>
      </c>
      <c r="D59" s="22">
        <f t="shared" si="8"/>
        <v>311.510385523998</v>
      </c>
      <c r="E59" s="22">
        <f t="shared" si="10"/>
        <v>2349.28387270739</v>
      </c>
      <c r="F59" s="22">
        <f t="shared" si="11"/>
        <v>3030.84190619851</v>
      </c>
      <c r="G59" s="22">
        <f t="shared" si="12"/>
        <v>3987.13158102973</v>
      </c>
      <c r="H59" s="22">
        <f t="shared" si="13"/>
        <v>5365.04744791296</v>
      </c>
      <c r="I59" s="22">
        <f t="shared" si="14"/>
        <v>7386.56626347163</v>
      </c>
      <c r="J59" s="22">
        <f t="shared" si="15"/>
        <v>10402.6128056669</v>
      </c>
      <c r="K59" s="22">
        <f t="shared" ref="K59:K70" si="16">$C$16*(K$42*EXP(-$E$25*($B59-K$33))*(1-EXP(-$E$25))+K$43*EXP(-$F$25*($B59-K$33))*(1-EXP(-$F$25))+K$44*EXP(-$G$25*($B59-K$33))*(1-EXP(-$G$25))+K$45*EXP(-$H$25*($B59-K$33))*(1-EXP(-$H$25))+K$46*EXP(-$I$25*($B59-K$33))*(1-EXP(-$I$25)))</f>
        <v>14990.6491436338</v>
      </c>
    </row>
    <row r="60" ht="15" spans="1:12">
      <c r="A60" s="39">
        <f t="shared" si="7"/>
        <v>55309.0605430166</v>
      </c>
      <c r="B60" s="32">
        <v>9</v>
      </c>
      <c r="C60" s="32">
        <f t="shared" si="9"/>
        <v>2019</v>
      </c>
      <c r="D60" s="22">
        <f t="shared" si="8"/>
        <v>274.170168828754</v>
      </c>
      <c r="E60" s="22">
        <f t="shared" si="10"/>
        <v>2037.17902914107</v>
      </c>
      <c r="F60" s="22">
        <f t="shared" si="11"/>
        <v>2583.07183091371</v>
      </c>
      <c r="G60" s="22">
        <f t="shared" si="12"/>
        <v>3331.91891674803</v>
      </c>
      <c r="H60" s="22">
        <f t="shared" si="13"/>
        <v>4387.44599679577</v>
      </c>
      <c r="I60" s="22">
        <f t="shared" si="14"/>
        <v>5903.5102392181</v>
      </c>
      <c r="J60" s="22">
        <f t="shared" si="15"/>
        <v>8121.54798123</v>
      </c>
      <c r="K60" s="22">
        <f t="shared" si="16"/>
        <v>11438.1670216156</v>
      </c>
      <c r="L60" s="22">
        <f t="shared" ref="L60:L70" si="17">$C$16*(L$42*EXP(-$E$25*($B60-L$33))*(1-EXP(-$E$25))+L$43*EXP(-$F$25*($B60-L$33))*(1-EXP(-$F$25))+L$44*EXP(-$G$25*($B60-L$33))*(1-EXP(-$G$25))+L$45*EXP(-$H$25*($B60-L$33))*(1-EXP(-$H$25))+L$46*EXP(-$I$25*($B60-L$33))*(1-EXP(-$I$25)))</f>
        <v>17232.0493585256</v>
      </c>
    </row>
    <row r="61" ht="15" spans="1:13">
      <c r="A61" s="39">
        <f t="shared" si="7"/>
        <v>64003.523030803</v>
      </c>
      <c r="B61" s="32">
        <v>10</v>
      </c>
      <c r="C61" s="32">
        <f t="shared" si="9"/>
        <v>2020</v>
      </c>
      <c r="D61" s="22">
        <f t="shared" si="8"/>
        <v>244.341684273597</v>
      </c>
      <c r="E61" s="22">
        <f t="shared" si="10"/>
        <v>1792.98586599121</v>
      </c>
      <c r="F61" s="22">
        <f t="shared" si="11"/>
        <v>2239.90801019637</v>
      </c>
      <c r="G61" s="22">
        <f t="shared" si="12"/>
        <v>2839.66837040845</v>
      </c>
      <c r="H61" s="22">
        <f t="shared" si="13"/>
        <v>3666.44892846972</v>
      </c>
      <c r="I61" s="22">
        <f t="shared" si="14"/>
        <v>4827.79185413841</v>
      </c>
      <c r="J61" s="22">
        <f t="shared" si="15"/>
        <v>6490.92419336915</v>
      </c>
      <c r="K61" s="22">
        <f t="shared" si="16"/>
        <v>8930.02787076421</v>
      </c>
      <c r="L61" s="22">
        <f t="shared" si="17"/>
        <v>13148.4004994703</v>
      </c>
      <c r="M61" s="22">
        <f t="shared" ref="M61:M70" si="18">$C$16*(M$42*EXP(-$E$25*($B61-M$33))*(1-EXP(-$E$25))+M$43*EXP(-$F$25*($B61-M$33))*(1-EXP(-$F$25))+M$44*EXP(-$G$25*($B61-M$33))*(1-EXP(-$G$25))+M$45*EXP(-$H$25*($B61-M$33))*(1-EXP(-$H$25))+M$46*EXP(-$I$25*($B61-M$33))*(1-EXP(-$I$25)))</f>
        <v>19823.0257537216</v>
      </c>
    </row>
    <row r="62" ht="15" spans="1:14">
      <c r="A62" s="39">
        <f t="shared" si="7"/>
        <v>74030.9857296238</v>
      </c>
      <c r="B62" s="32">
        <v>11</v>
      </c>
      <c r="C62" s="32">
        <f t="shared" si="9"/>
        <v>2021</v>
      </c>
      <c r="D62" s="22">
        <f t="shared" si="8"/>
        <v>220.028978883484</v>
      </c>
      <c r="E62" s="22">
        <f t="shared" si="10"/>
        <v>1597.91704636067</v>
      </c>
      <c r="F62" s="22">
        <f t="shared" si="11"/>
        <v>1971.41407110199</v>
      </c>
      <c r="G62" s="22">
        <f t="shared" si="12"/>
        <v>2462.4154284278</v>
      </c>
      <c r="H62" s="22">
        <f t="shared" si="13"/>
        <v>3124.77563651372</v>
      </c>
      <c r="I62" s="22">
        <f t="shared" si="14"/>
        <v>4034.43194136358</v>
      </c>
      <c r="J62" s="22">
        <f t="shared" si="15"/>
        <v>5308.16915305765</v>
      </c>
      <c r="K62" s="22">
        <f t="shared" si="16"/>
        <v>7137.07954293531</v>
      </c>
      <c r="L62" s="22">
        <f t="shared" si="17"/>
        <v>10265.2446580253</v>
      </c>
      <c r="M62" s="22">
        <f t="shared" si="18"/>
        <v>15125.3676390088</v>
      </c>
      <c r="N62" s="22">
        <f t="shared" ref="N62:N70" si="19">$C$16*(N$42*EXP(-$E$25*($B62-N$33))*(1-EXP(-$E$25))+N$43*EXP(-$F$25*($B62-N$33))*(1-EXP(-$F$25))+N$44*EXP(-$G$25*($B62-N$33))*(1-EXP(-$G$25))+N$45*EXP(-$H$25*($B62-N$33))*(1-EXP(-$H$25))+N$46*EXP(-$I$25*($B62-N$33))*(1-EXP(-$I$25)))</f>
        <v>22784.1416339455</v>
      </c>
    </row>
    <row r="63" ht="15" spans="1:15">
      <c r="A63" s="39">
        <f t="shared" si="7"/>
        <v>85599.3215465776</v>
      </c>
      <c r="B63" s="32">
        <v>12</v>
      </c>
      <c r="C63" s="32">
        <f t="shared" si="9"/>
        <v>2022</v>
      </c>
      <c r="D63" s="22">
        <f t="shared" si="8"/>
        <v>199.83390966712</v>
      </c>
      <c r="E63" s="22">
        <f t="shared" si="10"/>
        <v>1438.9196714285</v>
      </c>
      <c r="F63" s="22">
        <f t="shared" si="11"/>
        <v>1756.93306311015</v>
      </c>
      <c r="G63" s="22">
        <f t="shared" si="12"/>
        <v>2167.24990597967</v>
      </c>
      <c r="H63" s="22">
        <f t="shared" si="13"/>
        <v>2709.64589312938</v>
      </c>
      <c r="I63" s="22">
        <f t="shared" si="14"/>
        <v>3438.39362922951</v>
      </c>
      <c r="J63" s="22">
        <f t="shared" si="15"/>
        <v>4435.86795542961</v>
      </c>
      <c r="K63" s="22">
        <f t="shared" si="16"/>
        <v>5836.58418186882</v>
      </c>
      <c r="L63" s="22">
        <f t="shared" si="17"/>
        <v>8204.21489297639</v>
      </c>
      <c r="M63" s="22">
        <f t="shared" si="18"/>
        <v>11808.7062653178</v>
      </c>
      <c r="N63" s="22">
        <f t="shared" si="19"/>
        <v>17384.7586556242</v>
      </c>
      <c r="O63" s="22">
        <f t="shared" ref="O63:O70" si="20">$C$16*(O$42*EXP(-$E$25*($B63-O$33))*(1-EXP(-$E$25))+O$43*EXP(-$F$25*($B63-O$33))*(1-EXP(-$F$25))+O$44*EXP(-$G$25*($B63-O$33))*(1-EXP(-$G$25))+O$45*EXP(-$H$25*($B63-O$33))*(1-EXP(-$H$25))+O$46*EXP(-$I$25*($B63-O$33))*(1-EXP(-$I$25)))</f>
        <v>26218.2135228164</v>
      </c>
    </row>
    <row r="64" ht="15" spans="1:16">
      <c r="A64" s="39">
        <f t="shared" si="7"/>
        <v>98898.1540255553</v>
      </c>
      <c r="B64" s="32">
        <v>13</v>
      </c>
      <c r="C64" s="32">
        <f t="shared" si="9"/>
        <v>2023</v>
      </c>
      <c r="D64" s="22">
        <f t="shared" si="8"/>
        <v>182.767578165125</v>
      </c>
      <c r="E64" s="22">
        <f t="shared" si="10"/>
        <v>1306.85032988656</v>
      </c>
      <c r="F64" s="22">
        <f t="shared" si="11"/>
        <v>1582.11313387648</v>
      </c>
      <c r="G64" s="22">
        <f t="shared" si="12"/>
        <v>1931.46283759129</v>
      </c>
      <c r="H64" s="22">
        <f t="shared" si="13"/>
        <v>2384.84527806598</v>
      </c>
      <c r="I64" s="22">
        <f t="shared" si="14"/>
        <v>2981.59940430113</v>
      </c>
      <c r="J64" s="22">
        <f t="shared" si="15"/>
        <v>3780.52234855583</v>
      </c>
      <c r="K64" s="22">
        <f t="shared" si="16"/>
        <v>4877.44757090224</v>
      </c>
      <c r="L64" s="22">
        <f t="shared" si="17"/>
        <v>6709.26960823878</v>
      </c>
      <c r="M64" s="22">
        <f t="shared" si="18"/>
        <v>9437.78419669361</v>
      </c>
      <c r="N64" s="22">
        <f t="shared" si="19"/>
        <v>13572.6623879379</v>
      </c>
      <c r="O64" s="22">
        <f t="shared" si="20"/>
        <v>20005.0246262824</v>
      </c>
      <c r="P64" s="22">
        <f t="shared" ref="P64:P70" si="21">$C$16*(P$42*EXP(-$E$25*($B64-P$33))*(1-EXP(-$E$25))+P$43*EXP(-$F$25*($B64-P$33))*(1-EXP(-$F$25))+P$44*EXP(-$G$25*($B64-P$33))*(1-EXP(-$G$25))+P$45*EXP(-$H$25*($B64-P$33))*(1-EXP(-$H$25))+P$46*EXP(-$I$25*($B64-P$33))*(1-EXP(-$I$25)))</f>
        <v>30145.8047250579</v>
      </c>
    </row>
    <row r="65" ht="15" spans="1:17">
      <c r="A65" s="39">
        <f t="shared" si="7"/>
        <v>114186.578805597</v>
      </c>
      <c r="B65" s="32">
        <v>14</v>
      </c>
      <c r="C65" s="32">
        <f t="shared" si="9"/>
        <v>2024</v>
      </c>
      <c r="D65" s="22">
        <f t="shared" si="8"/>
        <v>168.122655650357</v>
      </c>
      <c r="E65" s="22">
        <f t="shared" si="10"/>
        <v>1195.24193974653</v>
      </c>
      <c r="F65" s="22">
        <f t="shared" si="11"/>
        <v>1436.9009695112</v>
      </c>
      <c r="G65" s="22">
        <f t="shared" si="12"/>
        <v>1739.27669022183</v>
      </c>
      <c r="H65" s="22">
        <f t="shared" si="13"/>
        <v>2125.38480923701</v>
      </c>
      <c r="I65" s="22">
        <f t="shared" si="14"/>
        <v>2624.20018736093</v>
      </c>
      <c r="J65" s="22">
        <f t="shared" si="15"/>
        <v>3278.27596194303</v>
      </c>
      <c r="K65" s="22">
        <f t="shared" si="16"/>
        <v>4156.86393981478</v>
      </c>
      <c r="L65" s="22">
        <f t="shared" si="17"/>
        <v>5606.72299645552</v>
      </c>
      <c r="M65" s="22">
        <f t="shared" si="18"/>
        <v>7718.06193596919</v>
      </c>
      <c r="N65" s="22">
        <f t="shared" si="19"/>
        <v>10847.5776866561</v>
      </c>
      <c r="O65" s="22">
        <f t="shared" si="20"/>
        <v>15618.3615023654</v>
      </c>
      <c r="P65" s="22">
        <f t="shared" si="21"/>
        <v>23001.8557663765</v>
      </c>
      <c r="Q65" s="22">
        <f t="shared" ref="Q65:Q70" si="22">$C$16*(Q$42*EXP(-$E$25*($B65-Q$33))*(1-EXP(-$E$25))+Q$43*EXP(-$F$25*($B65-Q$33))*(1-EXP(-$F$25))+Q$44*EXP(-$G$25*($B65-Q$33))*(1-EXP(-$G$25))+Q$45*EXP(-$H$25*($B65-Q$33))*(1-EXP(-$H$25))+Q$46*EXP(-$I$25*($B65-Q$33))*(1-EXP(-$I$25)))</f>
        <v>34669.731764289</v>
      </c>
    </row>
    <row r="66" ht="15" spans="1:18">
      <c r="A66" s="39">
        <f t="shared" si="7"/>
        <v>131756.872263954</v>
      </c>
      <c r="B66" s="32">
        <v>15</v>
      </c>
      <c r="C66" s="32">
        <f t="shared" si="9"/>
        <v>2025</v>
      </c>
      <c r="D66" s="22">
        <f t="shared" si="8"/>
        <v>155.386720292086</v>
      </c>
      <c r="E66" s="22">
        <f t="shared" si="10"/>
        <v>1099.4687956817</v>
      </c>
      <c r="F66" s="22">
        <f t="shared" si="11"/>
        <v>1314.18591918733</v>
      </c>
      <c r="G66" s="22">
        <f t="shared" si="12"/>
        <v>1579.63947641628</v>
      </c>
      <c r="H66" s="22">
        <f t="shared" si="13"/>
        <v>1913.90286393888</v>
      </c>
      <c r="I66" s="22">
        <f t="shared" si="14"/>
        <v>2338.69897804729</v>
      </c>
      <c r="J66" s="22">
        <f t="shared" si="15"/>
        <v>2885.3146338645</v>
      </c>
      <c r="K66" s="22">
        <f t="shared" si="16"/>
        <v>3604.62017534912</v>
      </c>
      <c r="L66" s="22">
        <f t="shared" si="17"/>
        <v>4778.39777992426</v>
      </c>
      <c r="M66" s="22">
        <f t="shared" si="18"/>
        <v>6449.73862599418</v>
      </c>
      <c r="N66" s="22">
        <f t="shared" si="19"/>
        <v>8870.96745337538</v>
      </c>
      <c r="O66" s="22">
        <f t="shared" si="20"/>
        <v>12482.5465257099</v>
      </c>
      <c r="P66" s="22">
        <f t="shared" si="21"/>
        <v>17958.0533038962</v>
      </c>
      <c r="Q66" s="22">
        <f t="shared" si="22"/>
        <v>26453.7031528723</v>
      </c>
      <c r="R66" s="22">
        <f t="shared" ref="R66:R70" si="23">$C$16*(R$42*EXP(-$E$25*($B66-R$33))*(1-EXP(-$E$25))+R$43*EXP(-$F$25*($B66-R$33))*(1-EXP(-$F$25))+R$44*EXP(-$G$25*($B66-R$33))*(1-EXP(-$G$25))+R$45*EXP(-$H$25*($B66-R$33))*(1-EXP(-$H$25))+R$46*EXP(-$I$25*($B66-R$33))*(1-EXP(-$I$25)))</f>
        <v>39872.2478594047</v>
      </c>
    </row>
    <row r="67" ht="15" spans="1:19">
      <c r="A67" s="39">
        <f t="shared" si="7"/>
        <v>151948.772293261</v>
      </c>
      <c r="B67" s="32">
        <v>16</v>
      </c>
      <c r="C67" s="32">
        <f t="shared" si="9"/>
        <v>2026</v>
      </c>
      <c r="D67" s="22">
        <f t="shared" si="8"/>
        <v>144.183250844075</v>
      </c>
      <c r="E67" s="22">
        <f t="shared" si="10"/>
        <v>1016.17982159269</v>
      </c>
      <c r="F67" s="22">
        <f t="shared" si="11"/>
        <v>1208.88195253352</v>
      </c>
      <c r="G67" s="22">
        <f t="shared" si="12"/>
        <v>1444.73418930527</v>
      </c>
      <c r="H67" s="22">
        <f t="shared" si="13"/>
        <v>1738.23781742193</v>
      </c>
      <c r="I67" s="22">
        <f t="shared" si="14"/>
        <v>2105.99165502764</v>
      </c>
      <c r="J67" s="22">
        <f t="shared" si="15"/>
        <v>2571.40534402214</v>
      </c>
      <c r="K67" s="22">
        <f t="shared" si="16"/>
        <v>3172.54052501844</v>
      </c>
      <c r="L67" s="22">
        <f t="shared" si="17"/>
        <v>4143.58258839858</v>
      </c>
      <c r="M67" s="22">
        <f t="shared" si="18"/>
        <v>5496.86809050954</v>
      </c>
      <c r="N67" s="22">
        <f t="shared" si="19"/>
        <v>7413.18505975264</v>
      </c>
      <c r="O67" s="22">
        <f t="shared" si="20"/>
        <v>10208.0176020339</v>
      </c>
      <c r="P67" s="22">
        <f t="shared" si="21"/>
        <v>14352.4809464241</v>
      </c>
      <c r="Q67" s="22">
        <f t="shared" si="22"/>
        <v>20652.9862690102</v>
      </c>
      <c r="R67" s="22">
        <f t="shared" si="23"/>
        <v>30423.3276473424</v>
      </c>
      <c r="S67" s="22">
        <f>$C$16*(S$42*EXP(-$E$25*($B67-S$33))*(1-EXP(-$E$25))+S$43*EXP(-$F$25*($B67-S$33))*(1-EXP(-$F$25))+S$44*EXP(-$G$25*($B67-S$33))*(1-EXP(-$G$25))+S$45*EXP(-$H$25*($B67-S$33))*(1-EXP(-$H$25))+S$46*EXP(-$I$25*($B67-S$33))*(1-EXP(-$I$25)))</f>
        <v>45856.169534024</v>
      </c>
    </row>
    <row r="68" ht="15" spans="1:20">
      <c r="A68" s="39">
        <f t="shared" si="7"/>
        <v>175140.024999263</v>
      </c>
      <c r="B68" s="32">
        <v>17</v>
      </c>
      <c r="C68" s="32">
        <f t="shared" si="9"/>
        <v>2027</v>
      </c>
      <c r="D68" s="22">
        <f t="shared" si="8"/>
        <v>134.231298810284</v>
      </c>
      <c r="E68" s="22">
        <f t="shared" si="10"/>
        <v>942.912688059664</v>
      </c>
      <c r="F68" s="22">
        <f t="shared" si="11"/>
        <v>1117.30451257643</v>
      </c>
      <c r="G68" s="22">
        <f t="shared" si="12"/>
        <v>1328.96956371235</v>
      </c>
      <c r="H68" s="22">
        <f t="shared" si="13"/>
        <v>1589.78782276966</v>
      </c>
      <c r="I68" s="22">
        <f t="shared" si="14"/>
        <v>1912.69599252815</v>
      </c>
      <c r="J68" s="22">
        <f t="shared" si="15"/>
        <v>2315.5430634881</v>
      </c>
      <c r="K68" s="22">
        <f t="shared" si="16"/>
        <v>2827.38234659448</v>
      </c>
      <c r="L68" s="22">
        <f t="shared" si="17"/>
        <v>3646.8984361666</v>
      </c>
      <c r="M68" s="22">
        <f t="shared" si="18"/>
        <v>4766.60335944658</v>
      </c>
      <c r="N68" s="22">
        <f t="shared" si="19"/>
        <v>6317.9770168927</v>
      </c>
      <c r="O68" s="22">
        <f t="shared" si="20"/>
        <v>8530.51529890309</v>
      </c>
      <c r="P68" s="22">
        <f t="shared" si="21"/>
        <v>11737.2186702602</v>
      </c>
      <c r="Q68" s="22">
        <f t="shared" si="22"/>
        <v>16506.3321116446</v>
      </c>
      <c r="R68" s="22">
        <f t="shared" si="23"/>
        <v>23752.1591788914</v>
      </c>
      <c r="S68" s="22">
        <f>$C$16*(S$42*EXP(-$E$25*($B68-S$33))*(1-EXP(-$E$25))+S$43*EXP(-$F$25*($B68-S$33))*(1-EXP(-$F$25))+S$44*EXP(-$G$25*($B68-S$33))*(1-EXP(-$G$25))+S$45*EXP(-$H$25*($B68-S$33))*(1-EXP(-$H$25))+S$46*EXP(-$I$25*($B68-S$33))*(1-EXP(-$I$25)))</f>
        <v>34989.1803267528</v>
      </c>
      <c r="T68" s="22">
        <f>$C$16*(T$42*EXP(-$E$25*($B68-T$33))*(1-EXP(-$E$25))+T$43*EXP(-$F$25*($B68-T$33))*(1-EXP(-$F$25))+T$44*EXP(-$G$25*($B68-T$33))*(1-EXP(-$G$25))+T$45*EXP(-$H$25*($B68-T$33))*(1-EXP(-$H$25))+T$46*EXP(-$I$25*($B68-T$33))*(1-EXP(-$I$25)))</f>
        <v>52724.3133117657</v>
      </c>
    </row>
    <row r="69" ht="15" spans="1:21">
      <c r="A69" s="39">
        <f t="shared" si="7"/>
        <v>201793.009300293</v>
      </c>
      <c r="B69" s="32">
        <v>18</v>
      </c>
      <c r="C69" s="32">
        <f t="shared" si="9"/>
        <v>2028</v>
      </c>
      <c r="D69" s="22">
        <f t="shared" si="8"/>
        <v>125.317799287767</v>
      </c>
      <c r="E69" s="22">
        <f t="shared" si="10"/>
        <v>877.830081108525</v>
      </c>
      <c r="F69" s="22">
        <f t="shared" si="11"/>
        <v>1036.74623225978</v>
      </c>
      <c r="G69" s="22">
        <f t="shared" si="12"/>
        <v>1228.29502707078</v>
      </c>
      <c r="H69" s="22">
        <f t="shared" si="13"/>
        <v>1462.40024279993</v>
      </c>
      <c r="I69" s="22">
        <f t="shared" si="14"/>
        <v>1749.34681958048</v>
      </c>
      <c r="J69" s="22">
        <f t="shared" si="15"/>
        <v>2103.01400173493</v>
      </c>
      <c r="K69" s="22">
        <f t="shared" si="16"/>
        <v>2546.0496127946</v>
      </c>
      <c r="L69" s="22">
        <f t="shared" si="17"/>
        <v>3250.13224478214</v>
      </c>
      <c r="M69" s="22">
        <f t="shared" si="18"/>
        <v>4195.23877382411</v>
      </c>
      <c r="N69" s="22">
        <f t="shared" si="19"/>
        <v>5478.62709778715</v>
      </c>
      <c r="O69" s="22">
        <f t="shared" si="20"/>
        <v>7270.23528568429</v>
      </c>
      <c r="P69" s="22">
        <f t="shared" si="21"/>
        <v>9808.41994367994</v>
      </c>
      <c r="Q69" s="22">
        <f t="shared" si="22"/>
        <v>13498.6020996308</v>
      </c>
      <c r="R69" s="22">
        <f t="shared" si="23"/>
        <v>18983.2609516482</v>
      </c>
      <c r="S69" s="22">
        <f>$C$16*(S$42*EXP(-$E$25*($B69-S$33))*(1-EXP(-$E$25))+S$43*EXP(-$F$25*($B69-S$33))*(1-EXP(-$F$25))+S$44*EXP(-$G$25*($B69-S$33))*(1-EXP(-$G$25))+S$45*EXP(-$H$25*($B69-S$33))*(1-EXP(-$H$25))+S$46*EXP(-$I$25*($B69-S$33))*(1-EXP(-$I$25)))</f>
        <v>27316.8205100195</v>
      </c>
      <c r="T69" s="22">
        <f>$C$16*(T$42*EXP(-$E$25*($B69-T$33))*(1-EXP(-$E$25))+T$43*EXP(-$F$25*($B69-T$33))*(1-EXP(-$F$25))+T$44*EXP(-$G$25*($B69-T$33))*(1-EXP(-$G$25))+T$45*EXP(-$H$25*($B69-T$33))*(1-EXP(-$H$25))+T$46*EXP(-$I$25*($B69-T$33))*(1-EXP(-$I$25)))</f>
        <v>40229.7122680691</v>
      </c>
      <c r="U69" s="22">
        <f>$C$16*(U$42*EXP(-$E$25*($B69-U$33))*(1-EXP(-$E$25))+U$43*EXP(-$F$25*($B69-U$33))*(1-EXP(-$F$25))+U$44*EXP(-$G$25*($B69-U$33))*(1-EXP(-$G$25))+U$45*EXP(-$H$25*($B69-U$33))*(1-EXP(-$H$25))+U$46*EXP(-$I$25*($B69-U$33))*(1-EXP(-$I$25)))</f>
        <v>60632.9603085305</v>
      </c>
    </row>
    <row r="70" ht="15" spans="1:22">
      <c r="A70" s="39">
        <f t="shared" si="7"/>
        <v>232426.546598836</v>
      </c>
      <c r="B70" s="32">
        <v>19</v>
      </c>
      <c r="C70" s="32">
        <f t="shared" si="9"/>
        <v>2029</v>
      </c>
      <c r="D70" s="22">
        <f t="shared" si="8"/>
        <v>117.278453619674</v>
      </c>
      <c r="E70" s="22">
        <f t="shared" si="10"/>
        <v>819.53862391365</v>
      </c>
      <c r="F70" s="22">
        <f t="shared" si="11"/>
        <v>965.186958112044</v>
      </c>
      <c r="G70" s="22">
        <f t="shared" si="12"/>
        <v>1139.73426857697</v>
      </c>
      <c r="H70" s="22">
        <f t="shared" si="13"/>
        <v>1351.61782095339</v>
      </c>
      <c r="I70" s="22">
        <f t="shared" si="14"/>
        <v>1609.17398979628</v>
      </c>
      <c r="J70" s="22">
        <f t="shared" si="15"/>
        <v>1923.41117973774</v>
      </c>
      <c r="K70" s="22">
        <f t="shared" si="16"/>
        <v>2312.36381186239</v>
      </c>
      <c r="L70" s="22">
        <f t="shared" si="17"/>
        <v>2926.73467149778</v>
      </c>
      <c r="M70" s="22">
        <f t="shared" si="18"/>
        <v>3738.81561332933</v>
      </c>
      <c r="N70" s="22">
        <f t="shared" si="19"/>
        <v>4821.91344543268</v>
      </c>
      <c r="O70" s="22">
        <f t="shared" si="20"/>
        <v>6304.37684989044</v>
      </c>
      <c r="P70" s="22">
        <f t="shared" si="21"/>
        <v>8359.34504220641</v>
      </c>
      <c r="Q70" s="22">
        <f t="shared" si="22"/>
        <v>11280.3519952554</v>
      </c>
      <c r="R70" s="22">
        <f t="shared" si="23"/>
        <v>15524.1930434069</v>
      </c>
      <c r="S70" s="22">
        <f>$C$16*(S$42*EXP(-$E$25*($B70-S$33))*(1-EXP(-$E$25))+S$43*EXP(-$F$25*($B70-S$33))*(1-EXP(-$F$25))+S$44*EXP(-$G$25*($B70-S$33))*(1-EXP(-$G$25))+S$45*EXP(-$H$25*($B70-S$33))*(1-EXP(-$H$25))+S$46*EXP(-$I$25*($B70-S$33))*(1-EXP(-$I$25)))</f>
        <v>21832.2186292809</v>
      </c>
      <c r="T70" s="22">
        <f>$C$16*(T$42*EXP(-$E$25*($B70-T$33))*(1-EXP(-$E$25))+T$43*EXP(-$F$25*($B70-T$33))*(1-EXP(-$F$25))+T$44*EXP(-$G$25*($B70-T$33))*(1-EXP(-$G$25))+T$45*EXP(-$H$25*($B70-T$33))*(1-EXP(-$H$25))+T$46*EXP(-$I$25*($B70-T$33))*(1-EXP(-$I$25)))</f>
        <v>31408.2187388744</v>
      </c>
      <c r="U70" s="22">
        <f>$C$16*(U$42*EXP(-$E$25*($B70-U$33))*(1-EXP(-$E$25))+U$43*EXP(-$F$25*($B70-U$33))*(1-EXP(-$F$25))+U$44*EXP(-$G$25*($B70-U$33))*(1-EXP(-$G$25))+U$45*EXP(-$H$25*($B70-U$33))*(1-EXP(-$H$25))+U$46*EXP(-$I$25*($B70-U$33))*(1-EXP(-$I$25)))</f>
        <v>46264.1691082795</v>
      </c>
      <c r="V70" s="22">
        <f>$C$16*(V$42*EXP(-$E$25*($B70-V$33))*(1-EXP(-$E$25))+V$43*EXP(-$F$25*($B70-V$33))*(1-EXP(-$F$25))+V$44*EXP(-$G$25*($B70-V$33))*(1-EXP(-$G$25))+V$45*EXP(-$H$25*($B70-V$33))*(1-EXP(-$H$25))+V$46*EXP(-$I$25*($B70-V$33))*(1-EXP(-$I$25)))</f>
        <v>69727.9043548101</v>
      </c>
    </row>
    <row r="71" ht="15" spans="2:3">
      <c r="B71" s="32"/>
      <c r="C71" s="32"/>
    </row>
    <row r="72" ht="15" spans="2:3">
      <c r="B72" s="32"/>
      <c r="C72" s="32"/>
    </row>
    <row r="73" ht="15" spans="2:3">
      <c r="B73" s="32"/>
      <c r="C73" s="32"/>
    </row>
    <row r="74" ht="15" spans="2:3">
      <c r="B74" s="32"/>
      <c r="C74" s="32"/>
    </row>
    <row r="75" ht="15" spans="2:3">
      <c r="B75" s="32"/>
      <c r="C75" s="32"/>
    </row>
    <row r="76" ht="15" spans="2:3">
      <c r="B76" s="32"/>
      <c r="C76" s="32"/>
    </row>
    <row r="77" ht="15" spans="2:3">
      <c r="B77" s="32"/>
      <c r="C77" s="32"/>
    </row>
    <row r="78" ht="15" spans="2:3">
      <c r="B78" s="32"/>
      <c r="C78" s="32"/>
    </row>
    <row r="79" ht="15" spans="2:3">
      <c r="B79" s="32"/>
      <c r="C79" s="32"/>
    </row>
    <row r="80" ht="15" spans="2:3">
      <c r="B80" s="32"/>
      <c r="C80" s="32"/>
    </row>
    <row r="81" ht="15" spans="2:3">
      <c r="B81" s="32"/>
      <c r="C81" s="32"/>
    </row>
    <row r="82" ht="15" spans="2:3">
      <c r="B82" s="32"/>
      <c r="C82" s="32"/>
    </row>
    <row r="83" ht="15" spans="2:3">
      <c r="B83" s="32"/>
      <c r="C83" s="32"/>
    </row>
    <row r="84" ht="15" spans="2:3">
      <c r="B84" s="32"/>
      <c r="C84" s="32"/>
    </row>
    <row r="85" ht="15" spans="2:3">
      <c r="B85" s="32"/>
      <c r="C85" s="32"/>
    </row>
    <row r="86" ht="15" spans="2:3">
      <c r="B86" s="32"/>
      <c r="C86" s="32"/>
    </row>
    <row r="87" ht="15" spans="2:3">
      <c r="B87" s="32"/>
      <c r="C87" s="32"/>
    </row>
    <row r="88" ht="15" spans="2:3">
      <c r="B88" s="32"/>
      <c r="C88" s="32"/>
    </row>
    <row r="89" ht="15" spans="2:3">
      <c r="B89" s="32"/>
      <c r="C89" s="32"/>
    </row>
    <row r="90" ht="15" spans="2:3">
      <c r="B90" s="32"/>
      <c r="C90" s="32"/>
    </row>
    <row r="91" ht="15" spans="2:3">
      <c r="B91" s="32"/>
      <c r="C91" s="32"/>
    </row>
    <row r="92" ht="15" spans="3:3">
      <c r="C92" s="32"/>
    </row>
  </sheetData>
  <mergeCells count="1">
    <mergeCell ref="O1:P1"/>
  </mergeCells>
  <pageMargins left="0.787401575" right="0.787401575" top="0.984251969" bottom="0.984251969" header="0.5" footer="0.5"/>
  <pageSetup paperSize="9" orientation="portrait" horizontalDpi="1200" verticalDpi="12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J29" sqref="J29"/>
    </sheetView>
  </sheetViews>
  <sheetFormatPr defaultColWidth="9" defaultRowHeight="14.25" outlineLevelCol="2"/>
  <cols>
    <col min="1" max="1" width="12.5833333333333" customWidth="1"/>
    <col min="2" max="2" width="12.75" customWidth="1"/>
    <col min="3" max="3" width="23.5" customWidth="1"/>
  </cols>
  <sheetData>
    <row r="1" ht="15.75" spans="1:3">
      <c r="A1" s="1" t="s">
        <v>94</v>
      </c>
      <c r="B1" s="2"/>
      <c r="C1" s="2"/>
    </row>
    <row r="3" ht="15.75" spans="1:3">
      <c r="A3" s="3" t="s">
        <v>95</v>
      </c>
      <c r="B3" s="3"/>
      <c r="C3" s="3"/>
    </row>
    <row r="4" ht="15.75" spans="1:3">
      <c r="A4" s="4"/>
      <c r="B4" s="5"/>
      <c r="C4" s="5"/>
    </row>
    <row r="5" spans="1:3">
      <c r="A5" s="6" t="s">
        <v>96</v>
      </c>
      <c r="B5" s="7" t="s">
        <v>97</v>
      </c>
      <c r="C5" s="7" t="s">
        <v>98</v>
      </c>
    </row>
    <row r="6" ht="18.75" spans="1:3">
      <c r="A6" s="8" t="s">
        <v>99</v>
      </c>
      <c r="B6" s="9" t="s">
        <v>99</v>
      </c>
      <c r="C6" s="10" t="s">
        <v>100</v>
      </c>
    </row>
    <row r="7" ht="15.75" spans="1:3">
      <c r="A7" s="11"/>
      <c r="B7" s="12"/>
      <c r="C7" s="13"/>
    </row>
    <row r="8" ht="15" spans="1:3">
      <c r="A8" s="14" t="s">
        <v>101</v>
      </c>
      <c r="B8" s="15" t="s">
        <v>102</v>
      </c>
      <c r="C8" s="16" t="s">
        <v>103</v>
      </c>
    </row>
    <row r="9" ht="15.75" spans="1:3">
      <c r="A9" s="17">
        <v>0.8042</v>
      </c>
      <c r="B9" s="18">
        <v>0.2135</v>
      </c>
      <c r="C9" s="19">
        <f>0.5*A9+0.5*B9</f>
        <v>0.50885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Emission reduction</vt:lpstr>
      <vt:lpstr>BE_CH4_Xiantang</vt:lpstr>
      <vt:lpstr>Grid emission factor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sixty</cp:lastModifiedBy>
  <dcterms:created xsi:type="dcterms:W3CDTF">1996-12-17T01:32:00Z</dcterms:created>
  <cp:lastPrinted>2009-08-25T07:42:00Z</cp:lastPrinted>
  <dcterms:modified xsi:type="dcterms:W3CDTF">2022-08-30T06:45:08Z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987F8732A2284899812715ECED8ACB1B</vt:lpwstr>
  </property>
  <property fmtid="{D5CDD505-2E9C-101B-9397-08002B2CF9AE}" pid="3" name="KSOProductBuildVer">
    <vt:lpwstr>2052-11.1.0.12302</vt:lpwstr>
  </property>
</Properties>
</file>