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665"/>
  </bookViews>
  <sheets>
    <sheet name="Cover" sheetId="29" r:id="rId1"/>
    <sheet name="Monitor data &amp; calculation" sheetId="27" r:id="rId2"/>
    <sheet name="Grid emission factor" sheetId="26" r:id="rId3"/>
    <sheet name="MR Emission Reduction" sheetId="28" r:id="rId4"/>
    <sheet name="Comparison" sheetId="30" r:id="rId5"/>
  </sheets>
  <calcPr calcId="144525"/>
</workbook>
</file>

<file path=xl/sharedStrings.xml><?xml version="1.0" encoding="utf-8"?>
<sst xmlns="http://schemas.openxmlformats.org/spreadsheetml/2006/main" count="115" uniqueCount="96">
  <si>
    <t>Dongyuan Xiantang
Landfill Gas Power Generation Phase I Project</t>
  </si>
  <si>
    <t>Version No.</t>
  </si>
  <si>
    <t>01</t>
  </si>
  <si>
    <t>Date</t>
  </si>
  <si>
    <t xml:space="preserve">Crediting period </t>
  </si>
  <si>
    <t>to</t>
  </si>
  <si>
    <t xml:space="preserve">Monitoring period </t>
  </si>
  <si>
    <t>Ex ante emission reductions</t>
  </si>
  <si>
    <r>
      <rPr>
        <sz val="11"/>
        <color theme="1"/>
        <rFont val="Times New Roman"/>
        <charset val="134"/>
      </rPr>
      <t>tCO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e</t>
    </r>
  </si>
  <si>
    <t>Achieved emission reductions</t>
  </si>
  <si>
    <t>Year</t>
  </si>
  <si>
    <r>
      <rPr>
        <sz val="12"/>
        <rFont val="Times New Roman"/>
        <charset val="134"/>
      </rPr>
      <t>Amount of Landfill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tons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</si>
  <si>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 xml:space="preserve">LFG dry conditions                        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Nm</t>
    </r>
    <r>
      <rPr>
        <vertAlign val="superscript"/>
        <sz val="12"/>
        <rFont val="Times New Roman"/>
        <charset val="134"/>
      </rPr>
      <t>3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</si>
  <si>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V</t>
    </r>
    <r>
      <rPr>
        <sz val="9"/>
        <rFont val="Times New Roman"/>
        <charset val="134"/>
      </rPr>
      <t>i,t,db            (%)</t>
    </r>
  </si>
  <si>
    <r>
      <rPr>
        <sz val="12"/>
        <rFont val="Times New Roman"/>
        <charset val="134"/>
      </rPr>
      <t>Total combusted CH</t>
    </r>
    <r>
      <rPr>
        <vertAlign val="subscript"/>
        <sz val="12"/>
        <rFont val="Times New Roman"/>
        <charset val="134"/>
      </rPr>
      <t>4</t>
    </r>
    <r>
      <rPr>
        <sz val="12"/>
        <rFont val="Times New Roman"/>
        <charset val="134"/>
      </rPr>
      <t xml:space="preserve"> (m</t>
    </r>
    <r>
      <rPr>
        <vertAlign val="superscript"/>
        <sz val="12"/>
        <rFont val="Times New Roman"/>
        <charset val="134"/>
      </rPr>
      <t>3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</si>
  <si>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Monthly electricity report      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kwh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</si>
  <si>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 xml:space="preserve">Monthly electricity sales invoice         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kwh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</si>
  <si>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 xml:space="preserve">Conservative net electricity generated by landfill gas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kwh</t>
    </r>
    <r>
      <rPr>
        <sz val="12"/>
        <rFont val="宋体"/>
        <charset val="134"/>
      </rPr>
      <t>）</t>
    </r>
  </si>
  <si>
    <t>Operation time  (hours)</t>
  </si>
  <si>
    <r>
      <rPr>
        <sz val="12"/>
        <rFont val="Times New Roman"/>
        <charset val="134"/>
      </rPr>
      <t>Net combusted F</t>
    </r>
    <r>
      <rPr>
        <sz val="8"/>
        <rFont val="Times New Roman"/>
        <charset val="134"/>
      </rPr>
      <t>CH4,PJ,y</t>
    </r>
    <r>
      <rPr>
        <sz val="7"/>
        <rFont val="Times New Roman"/>
        <charset val="134"/>
      </rPr>
      <t xml:space="preserve">                             </t>
    </r>
    <r>
      <rPr>
        <sz val="12"/>
        <rFont val="Times New Roman"/>
        <charset val="134"/>
      </rPr>
      <t>(t CH</t>
    </r>
    <r>
      <rPr>
        <sz val="7"/>
        <rFont val="Times New Roman"/>
        <charset val="134"/>
      </rPr>
      <t>4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</si>
  <si>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F</t>
    </r>
    <r>
      <rPr>
        <sz val="8"/>
        <rFont val="Times New Roman"/>
        <charset val="134"/>
      </rPr>
      <t>CH4,BL,R,y</t>
    </r>
    <r>
      <rPr>
        <sz val="12"/>
        <rFont val="Times New Roman"/>
        <charset val="134"/>
      </rPr>
      <t xml:space="preserve">      (t CH</t>
    </r>
    <r>
      <rPr>
        <sz val="8"/>
        <rFont val="Times New Roman"/>
        <charset val="134"/>
      </rPr>
      <t>4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</si>
  <si>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BE</t>
    </r>
    <r>
      <rPr>
        <vertAlign val="subscript"/>
        <sz val="12"/>
        <rFont val="Times New Roman"/>
        <charset val="134"/>
      </rPr>
      <t>CH4</t>
    </r>
    <r>
      <rPr>
        <sz val="10"/>
        <rFont val="Times New Roman"/>
        <charset val="134"/>
      </rPr>
      <t xml:space="preserve">                 (t CO</t>
    </r>
    <r>
      <rPr>
        <sz val="8"/>
        <rFont val="Times New Roman"/>
        <charset val="134"/>
      </rPr>
      <t>2</t>
    </r>
    <r>
      <rPr>
        <sz val="10"/>
        <rFont val="Times New Roman"/>
        <charset val="134"/>
      </rPr>
      <t>e)</t>
    </r>
  </si>
  <si>
    <r>
      <rPr>
        <sz val="12"/>
        <rFont val="Times New Roman"/>
        <charset val="134"/>
      </rPr>
      <t>BE</t>
    </r>
    <r>
      <rPr>
        <vertAlign val="subscript"/>
        <sz val="12"/>
        <rFont val="Times New Roman"/>
        <charset val="134"/>
      </rPr>
      <t xml:space="preserve">EC </t>
    </r>
    <r>
      <rPr>
        <sz val="12"/>
        <rFont val="Times New Roman"/>
        <charset val="134"/>
      </rPr>
      <t xml:space="preserve">                  (t CO</t>
    </r>
    <r>
      <rPr>
        <sz val="8"/>
        <rFont val="Times New Roman"/>
        <charset val="134"/>
      </rPr>
      <t>2</t>
    </r>
    <r>
      <rPr>
        <sz val="12"/>
        <rFont val="Times New Roman"/>
        <charset val="134"/>
      </rPr>
      <t>e)</t>
    </r>
  </si>
  <si>
    <r>
      <rPr>
        <sz val="12"/>
        <rFont val="Times New Roman"/>
        <charset val="134"/>
      </rPr>
      <t>BE                    (t CO</t>
    </r>
    <r>
      <rPr>
        <sz val="8"/>
        <rFont val="Times New Roman"/>
        <charset val="134"/>
      </rPr>
      <t>2</t>
    </r>
    <r>
      <rPr>
        <sz val="12"/>
        <rFont val="Times New Roman"/>
        <charset val="134"/>
      </rPr>
      <t>e)</t>
    </r>
  </si>
  <si>
    <r>
      <rPr>
        <sz val="12"/>
        <rFont val="Times New Roman"/>
        <charset val="134"/>
      </rPr>
      <t xml:space="preserve">Monthly electricity  import report      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kwh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</si>
  <si>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 xml:space="preserve">Monthly electricity import invoice         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kwh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</si>
  <si>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Conservative  electricity import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kwh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</si>
  <si>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PE                (t CO</t>
    </r>
    <r>
      <rPr>
        <sz val="8"/>
        <rFont val="Times New Roman"/>
        <charset val="134"/>
      </rPr>
      <t>2</t>
    </r>
    <r>
      <rPr>
        <sz val="12"/>
        <rFont val="Times New Roman"/>
        <charset val="134"/>
      </rPr>
      <t>e)</t>
    </r>
  </si>
  <si>
    <r>
      <rPr>
        <sz val="12"/>
        <rFont val="Times New Roman"/>
        <charset val="134"/>
      </rPr>
      <t>ER                    (t CO</t>
    </r>
    <r>
      <rPr>
        <sz val="8"/>
        <rFont val="Times New Roman"/>
        <charset val="134"/>
      </rPr>
      <t>2</t>
    </r>
    <r>
      <rPr>
        <sz val="12"/>
        <rFont val="Times New Roman"/>
        <charset val="134"/>
      </rPr>
      <t>e)</t>
    </r>
  </si>
  <si>
    <t>25/01/2022-31/01/2022</t>
  </si>
  <si>
    <t>01/02/2022-28/02/2022</t>
  </si>
  <si>
    <t>01/03/2022-31/03/2022</t>
  </si>
  <si>
    <t>01/04/2022-30/04/2022</t>
  </si>
  <si>
    <t>01/05/2022-31/05/2022</t>
  </si>
  <si>
    <t>01/06/2022-30/06/2022</t>
  </si>
  <si>
    <t>01/07/2022-31/07/2022</t>
  </si>
  <si>
    <t>01/08/2022-31/08/2022</t>
  </si>
  <si>
    <t>01/09/2022-30/09/2022</t>
  </si>
  <si>
    <t>01/10/2022-31/10/2022</t>
  </si>
  <si>
    <t>01/11/2022-30/11/2022</t>
  </si>
  <si>
    <t>01/12/2022-31/12/2022</t>
  </si>
  <si>
    <t>Total 2022</t>
  </si>
  <si>
    <t>01/01/2023-31/01/2023</t>
  </si>
  <si>
    <t>01/02/2023-28/02/2023</t>
  </si>
  <si>
    <t xml:space="preserve">Total </t>
  </si>
  <si>
    <r>
      <rPr>
        <sz val="12"/>
        <rFont val="Times New Roman"/>
        <charset val="134"/>
      </rPr>
      <t xml:space="preserve">LFG  dry conditions average                         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Nm</t>
    </r>
    <r>
      <rPr>
        <vertAlign val="superscript"/>
        <sz val="12"/>
        <rFont val="Times New Roman"/>
        <charset val="134"/>
      </rPr>
      <t>3</t>
    </r>
    <r>
      <rPr>
        <sz val="12"/>
        <rFont val="Times New Roman"/>
        <charset val="134"/>
      </rPr>
      <t>/h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</si>
  <si>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>V</t>
    </r>
    <r>
      <rPr>
        <vertAlign val="subscript"/>
        <sz val="12"/>
        <color rgb="FF000000"/>
        <rFont val="Times New Roman"/>
        <charset val="134"/>
      </rPr>
      <t>i,t,db</t>
    </r>
  </si>
  <si>
    <t>Total hours in this monitoring period</t>
  </si>
  <si>
    <t>Generators  running time</t>
  </si>
  <si>
    <t>5,678.0 h (generator 1#)</t>
  </si>
  <si>
    <t>5,670.5 h (generator 2#)</t>
  </si>
  <si>
    <t>5,194.8 h (generator 3#)</t>
  </si>
  <si>
    <t>4,786.3 h (generator 4#)</t>
  </si>
  <si>
    <t xml:space="preserve"> </t>
  </si>
  <si>
    <t>Calculation of CM emission factor of  China Southern Power Grid Power Grid</t>
  </si>
  <si>
    <r>
      <rPr>
        <sz val="12"/>
        <rFont val="Times New Roman"/>
        <charset val="134"/>
      </rPr>
      <t>EF</t>
    </r>
    <r>
      <rPr>
        <sz val="8"/>
        <rFont val="Times New Roman"/>
        <charset val="134"/>
      </rPr>
      <t xml:space="preserve">grid,CM,y </t>
    </r>
    <r>
      <rPr>
        <sz val="12"/>
        <rFont val="Times New Roman"/>
        <charset val="134"/>
      </rPr>
      <t>= W</t>
    </r>
    <r>
      <rPr>
        <sz val="8"/>
        <rFont val="Times New Roman"/>
        <charset val="134"/>
      </rPr>
      <t>OM</t>
    </r>
    <r>
      <rPr>
        <sz val="12"/>
        <rFont val="Times New Roman"/>
        <charset val="134"/>
      </rPr>
      <t>* EF</t>
    </r>
    <r>
      <rPr>
        <sz val="8"/>
        <rFont val="Times New Roman"/>
        <charset val="134"/>
      </rPr>
      <t>OM,y</t>
    </r>
    <r>
      <rPr>
        <sz val="12"/>
        <rFont val="Times New Roman"/>
        <charset val="134"/>
      </rPr>
      <t xml:space="preserve"> + W</t>
    </r>
    <r>
      <rPr>
        <sz val="8"/>
        <rFont val="Times New Roman"/>
        <charset val="134"/>
      </rPr>
      <t>BM</t>
    </r>
    <r>
      <rPr>
        <sz val="12"/>
        <rFont val="Times New Roman"/>
        <charset val="134"/>
      </rPr>
      <t>*EF</t>
    </r>
    <r>
      <rPr>
        <sz val="8"/>
        <rFont val="Times New Roman"/>
        <charset val="134"/>
      </rPr>
      <t>BM, y</t>
    </r>
    <r>
      <rPr>
        <sz val="12"/>
        <rFont val="Times New Roman"/>
        <charset val="134"/>
      </rPr>
      <t xml:space="preserve"> = W</t>
    </r>
    <r>
      <rPr>
        <sz val="8"/>
        <rFont val="Times New Roman"/>
        <charset val="134"/>
      </rPr>
      <t>OM</t>
    </r>
    <r>
      <rPr>
        <sz val="12"/>
        <rFont val="Times New Roman"/>
        <charset val="134"/>
      </rPr>
      <t>* EF</t>
    </r>
    <r>
      <rPr>
        <sz val="8"/>
        <rFont val="Times New Roman"/>
        <charset val="134"/>
      </rPr>
      <t>grid, OMsimply, y</t>
    </r>
    <r>
      <rPr>
        <sz val="12"/>
        <rFont val="Times New Roman"/>
        <charset val="134"/>
      </rPr>
      <t xml:space="preserve"> + W</t>
    </r>
    <r>
      <rPr>
        <sz val="8"/>
        <rFont val="Times New Roman"/>
        <charset val="134"/>
      </rPr>
      <t>BM</t>
    </r>
    <r>
      <rPr>
        <sz val="12"/>
        <rFont val="Times New Roman"/>
        <charset val="134"/>
      </rPr>
      <t xml:space="preserve"> *EF</t>
    </r>
    <r>
      <rPr>
        <sz val="8"/>
        <rFont val="Times New Roman"/>
        <charset val="134"/>
      </rPr>
      <t>grid,BM, y</t>
    </r>
    <r>
      <rPr>
        <sz val="12"/>
        <rFont val="Times New Roman"/>
        <charset val="134"/>
      </rPr>
      <t xml:space="preserve"> </t>
    </r>
  </si>
  <si>
    <t>OM</t>
  </si>
  <si>
    <t>BM</t>
  </si>
  <si>
    <t>CM</t>
  </si>
  <si>
    <r>
      <rPr>
        <sz val="11"/>
        <rFont val="Arial"/>
        <charset val="134"/>
      </rPr>
      <t>(tCO</t>
    </r>
    <r>
      <rPr>
        <vertAlign val="subscript"/>
        <sz val="11"/>
        <rFont val="Arial"/>
        <charset val="134"/>
      </rPr>
      <t>2</t>
    </r>
    <r>
      <rPr>
        <sz val="11"/>
        <rFont val="Arial"/>
        <charset val="134"/>
      </rPr>
      <t>e/MWh)</t>
    </r>
  </si>
  <si>
    <r>
      <rPr>
        <sz val="12"/>
        <rFont val="Arial"/>
        <charset val="134"/>
      </rPr>
      <t>(tCO</t>
    </r>
    <r>
      <rPr>
        <sz val="8"/>
        <rFont val="Arial"/>
        <charset val="134"/>
      </rPr>
      <t>2</t>
    </r>
    <r>
      <rPr>
        <sz val="12"/>
        <rFont val="Arial"/>
        <charset val="134"/>
      </rPr>
      <t>e/MWh)</t>
    </r>
  </si>
  <si>
    <t>A</t>
  </si>
  <si>
    <t>B</t>
  </si>
  <si>
    <t>C=0.5×A+0.5×B</t>
  </si>
  <si>
    <t>Monitor period</t>
  </si>
  <si>
    <t>Landfill amount (ton)</t>
  </si>
  <si>
    <t>25/01/2022-31/12/2022</t>
  </si>
  <si>
    <t>01/01/2023-28/02/2023</t>
  </si>
  <si>
    <r>
      <rPr>
        <sz val="11"/>
        <rFont val="Times New Roman"/>
        <charset val="134"/>
      </rPr>
      <t>BE</t>
    </r>
    <r>
      <rPr>
        <sz val="8"/>
        <rFont val="Times New Roman"/>
        <charset val="134"/>
      </rPr>
      <t>CH4,y</t>
    </r>
  </si>
  <si>
    <r>
      <rPr>
        <sz val="11"/>
        <rFont val="Times New Roman"/>
        <charset val="134"/>
      </rPr>
      <t>BE</t>
    </r>
    <r>
      <rPr>
        <b/>
        <sz val="6"/>
        <rFont val="Times New Roman"/>
        <charset val="134"/>
      </rPr>
      <t>EC,y</t>
    </r>
  </si>
  <si>
    <t>Total</t>
  </si>
  <si>
    <t>BEy</t>
  </si>
  <si>
    <t>PEy</t>
  </si>
  <si>
    <t>ERy</t>
  </si>
  <si>
    <r>
      <rPr>
        <sz val="11"/>
        <rFont val="Times New Roman"/>
        <charset val="134"/>
      </rPr>
      <t>Project activity emissions (tCO</t>
    </r>
    <r>
      <rPr>
        <sz val="8"/>
        <rFont val="Times New Roman"/>
        <charset val="134"/>
      </rPr>
      <t>2</t>
    </r>
    <r>
      <rPr>
        <sz val="11"/>
        <rFont val="Times New Roman"/>
        <charset val="134"/>
      </rPr>
      <t>e)</t>
    </r>
  </si>
  <si>
    <r>
      <rPr>
        <sz val="11"/>
        <rFont val="Times New Roman"/>
        <charset val="134"/>
      </rPr>
      <t>Baseline emissions (tCO</t>
    </r>
    <r>
      <rPr>
        <sz val="8"/>
        <rFont val="Times New Roman"/>
        <charset val="134"/>
      </rPr>
      <t>2</t>
    </r>
    <r>
      <rPr>
        <sz val="11"/>
        <rFont val="Times New Roman"/>
        <charset val="134"/>
      </rPr>
      <t>e)</t>
    </r>
  </si>
  <si>
    <r>
      <rPr>
        <sz val="11"/>
        <rFont val="Times New Roman"/>
        <charset val="134"/>
      </rPr>
      <t>Leakage (tCO</t>
    </r>
    <r>
      <rPr>
        <sz val="8"/>
        <rFont val="Times New Roman"/>
        <charset val="134"/>
      </rPr>
      <t>2</t>
    </r>
    <r>
      <rPr>
        <sz val="11"/>
        <rFont val="Times New Roman"/>
        <charset val="134"/>
      </rPr>
      <t>e)</t>
    </r>
  </si>
  <si>
    <r>
      <rPr>
        <sz val="11"/>
        <rFont val="Times New Roman"/>
        <charset val="134"/>
      </rPr>
      <t>Overall emission reductions (tCO</t>
    </r>
    <r>
      <rPr>
        <sz val="8"/>
        <rFont val="Times New Roman"/>
        <charset val="134"/>
      </rPr>
      <t>2</t>
    </r>
    <r>
      <rPr>
        <sz val="11"/>
        <rFont val="Times New Roman"/>
        <charset val="134"/>
      </rPr>
      <t>e)</t>
    </r>
  </si>
  <si>
    <r>
      <rPr>
        <sz val="11"/>
        <rFont val="Times New Roman"/>
        <charset val="134"/>
      </rPr>
      <t xml:space="preserve"> PD        ex ante (tCO</t>
    </r>
    <r>
      <rPr>
        <sz val="8"/>
        <rFont val="Times New Roman"/>
        <charset val="134"/>
      </rPr>
      <t>2</t>
    </r>
    <r>
      <rPr>
        <sz val="11"/>
        <rFont val="Times New Roman"/>
        <charset val="134"/>
      </rPr>
      <t>e)</t>
    </r>
  </si>
  <si>
    <t>Differential</t>
  </si>
  <si>
    <t>Sum</t>
  </si>
  <si>
    <t>Average</t>
  </si>
  <si>
    <t>Net electricity generated by landfill gas (MWh)</t>
  </si>
  <si>
    <r>
      <rPr>
        <sz val="12"/>
        <rFont val="Times New Roman"/>
        <charset val="134"/>
      </rPr>
      <t>Net combusted F</t>
    </r>
    <r>
      <rPr>
        <sz val="8"/>
        <rFont val="Times New Roman"/>
        <charset val="134"/>
      </rPr>
      <t>CH4,PJ,y</t>
    </r>
    <r>
      <rPr>
        <sz val="7"/>
        <rFont val="Times New Roman"/>
        <charset val="134"/>
      </rPr>
      <t xml:space="preserve"> </t>
    </r>
    <r>
      <rPr>
        <sz val="12"/>
        <rFont val="Times New Roman"/>
        <charset val="134"/>
      </rPr>
      <t>(t CH</t>
    </r>
    <r>
      <rPr>
        <sz val="7"/>
        <rFont val="Times New Roman"/>
        <charset val="134"/>
      </rPr>
      <t>4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</si>
  <si>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 xml:space="preserve">Total combusted </t>
    </r>
    <r>
      <rPr>
        <sz val="10"/>
        <rFont val="Times New Roman"/>
        <charset val="134"/>
      </rPr>
      <t>LFG  (m</t>
    </r>
    <r>
      <rPr>
        <vertAlign val="superscript"/>
        <sz val="10"/>
        <rFont val="Times New Roman"/>
        <charset val="134"/>
      </rPr>
      <t>3</t>
    </r>
    <r>
      <rPr>
        <sz val="10"/>
        <rFont val="Times New Roman"/>
        <charset val="134"/>
      </rPr>
      <t>)</t>
    </r>
  </si>
  <si>
    <t>Annual operation hours</t>
  </si>
  <si>
    <r>
      <rPr>
        <sz val="12"/>
        <rFont val="Times New Roman"/>
        <charset val="134"/>
      </rPr>
      <t>Net F</t>
    </r>
    <r>
      <rPr>
        <sz val="8"/>
        <rFont val="Times New Roman"/>
        <charset val="134"/>
      </rPr>
      <t>CH4,BL,y</t>
    </r>
    <r>
      <rPr>
        <sz val="7"/>
        <rFont val="Times New Roman"/>
        <charset val="134"/>
      </rPr>
      <t xml:space="preserve">             </t>
    </r>
    <r>
      <rPr>
        <sz val="12"/>
        <rFont val="Times New Roman"/>
        <charset val="134"/>
      </rPr>
      <t>(t CH</t>
    </r>
    <r>
      <rPr>
        <sz val="7"/>
        <rFont val="Times New Roman"/>
        <charset val="134"/>
      </rPr>
      <t>4</t>
    </r>
    <r>
      <rPr>
        <sz val="12"/>
        <rFont val="Times New Roman"/>
        <charset val="134"/>
      </rPr>
      <t>)</t>
    </r>
  </si>
  <si>
    <t>25/01/2022-28/02/2023</t>
  </si>
  <si>
    <t xml:space="preserve"> PD ex ante</t>
  </si>
  <si>
    <r>
      <rPr>
        <sz val="12"/>
        <rFont val="Times New Roman"/>
        <charset val="134"/>
      </rPr>
      <t>Total ERy                    25/01/2022-28/02/2023 (tCO</t>
    </r>
    <r>
      <rPr>
        <sz val="8"/>
        <rFont val="Times New Roman"/>
        <charset val="134"/>
      </rPr>
      <t>2</t>
    </r>
    <r>
      <rPr>
        <sz val="12"/>
        <rFont val="Times New Roman"/>
        <charset val="134"/>
      </rPr>
      <t>e)</t>
    </r>
  </si>
  <si>
    <t>Comparison of actual emission reductions with estimates during validation:</t>
  </si>
  <si>
    <r>
      <rPr>
        <b/>
        <sz val="10.5"/>
        <color rgb="FFFFFFFF"/>
        <rFont val="Franklin Gothic Book"/>
        <charset val="134"/>
      </rPr>
      <t>Ex-ante emissions reductions/removals (tCO</t>
    </r>
    <r>
      <rPr>
        <b/>
        <sz val="8"/>
        <color rgb="FFFFFFFF"/>
        <rFont val="Franklin Gothic Book"/>
        <charset val="134"/>
      </rPr>
      <t>2</t>
    </r>
    <r>
      <rPr>
        <b/>
        <sz val="10.5"/>
        <color rgb="FFFFFFFF"/>
        <rFont val="Franklin Gothic Book"/>
        <charset val="134"/>
      </rPr>
      <t>e)</t>
    </r>
  </si>
  <si>
    <r>
      <rPr>
        <b/>
        <sz val="10.5"/>
        <color rgb="FF3F3F3F"/>
        <rFont val="Franklin Gothic Book"/>
        <charset val="134"/>
      </rPr>
      <t>Achieved emissions reductions/removals (tCO</t>
    </r>
    <r>
      <rPr>
        <b/>
        <sz val="8"/>
        <color rgb="FF3F3F3F"/>
        <rFont val="Franklin Gothic Book"/>
        <charset val="134"/>
      </rPr>
      <t>2</t>
    </r>
    <r>
      <rPr>
        <b/>
        <sz val="10.5"/>
        <color rgb="FF3F3F3F"/>
        <rFont val="Franklin Gothic Book"/>
        <charset val="134"/>
      </rPr>
      <t>e)</t>
    </r>
  </si>
  <si>
    <t>Percent difference</t>
  </si>
  <si>
    <t>Justification for the difference</t>
  </si>
  <si>
    <t>The difference is in the normal range of fluctuation</t>
  </si>
</sst>
</file>

<file path=xl/styles.xml><?xml version="1.0" encoding="utf-8"?>
<styleSheet xmlns="http://schemas.openxmlformats.org/spreadsheetml/2006/main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#,##0_ "/>
    <numFmt numFmtId="178" formatCode="#,##0;[Red]#,##0"/>
    <numFmt numFmtId="179" formatCode="0_ "/>
    <numFmt numFmtId="180" formatCode="0.00_ "/>
    <numFmt numFmtId="181" formatCode="#,##0.00_ "/>
    <numFmt numFmtId="182" formatCode="#,##0.00_);[Red]\(#,##0.00\)"/>
    <numFmt numFmtId="183" formatCode="#,##0.000_);[Red]\(#,##0.000\)"/>
    <numFmt numFmtId="184" formatCode="#,##0.0_ "/>
    <numFmt numFmtId="185" formatCode="0.0000_ "/>
    <numFmt numFmtId="186" formatCode="0.00000_ "/>
    <numFmt numFmtId="187" formatCode="#,##0.0000000000_ "/>
    <numFmt numFmtId="188" formatCode="[$-809]dd\ mmmm\ yyyy;@"/>
  </numFmts>
  <fonts count="52">
    <font>
      <sz val="12"/>
      <name val="宋体"/>
      <charset val="134"/>
    </font>
    <font>
      <b/>
      <sz val="12"/>
      <name val="宋体"/>
      <charset val="134"/>
    </font>
    <font>
      <sz val="10.5"/>
      <color rgb="FF4F5150"/>
      <name val="Franklin Gothic Book"/>
      <charset val="134"/>
    </font>
    <font>
      <b/>
      <sz val="10.5"/>
      <color rgb="FFFFFFFF"/>
      <name val="Franklin Gothic Book"/>
      <charset val="134"/>
    </font>
    <font>
      <b/>
      <sz val="10.5"/>
      <color rgb="FF3F3F3F"/>
      <name val="Franklin Gothic Book"/>
      <charset val="134"/>
    </font>
    <font>
      <sz val="10.5"/>
      <color rgb="FF000000"/>
      <name val="Franklin Gothic Book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0.5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b/>
      <sz val="12"/>
      <name val="Times New Roman"/>
      <charset val="134"/>
    </font>
    <font>
      <b/>
      <sz val="11"/>
      <name val="Arial"/>
      <charset val="134"/>
    </font>
    <font>
      <sz val="12"/>
      <name val="Arial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sz val="10.5"/>
      <name val="Franklin Gothic Book"/>
      <charset val="134"/>
    </font>
    <font>
      <b/>
      <sz val="18"/>
      <color theme="1"/>
      <name val="Times New Roman"/>
      <charset val="134"/>
    </font>
    <font>
      <sz val="10.5"/>
      <color rgb="FF404040"/>
      <name val="Franklin Gothic Boo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color rgb="FFFFFFFF"/>
      <name val="Franklin Gothic Book"/>
      <charset val="134"/>
    </font>
    <font>
      <b/>
      <sz val="8"/>
      <color rgb="FF3F3F3F"/>
      <name val="Franklin Gothic Book"/>
      <charset val="134"/>
    </font>
    <font>
      <sz val="8"/>
      <name val="Times New Roman"/>
      <charset val="134"/>
    </font>
    <font>
      <b/>
      <sz val="6"/>
      <name val="Times New Roman"/>
      <charset val="134"/>
    </font>
    <font>
      <sz val="7"/>
      <name val="Times New Roman"/>
      <charset val="134"/>
    </font>
    <font>
      <sz val="10"/>
      <name val="Times New Roman"/>
      <charset val="134"/>
    </font>
    <font>
      <vertAlign val="superscript"/>
      <sz val="10"/>
      <name val="Times New Roman"/>
      <charset val="134"/>
    </font>
    <font>
      <vertAlign val="subscript"/>
      <sz val="11"/>
      <name val="Arial"/>
      <charset val="134"/>
    </font>
    <font>
      <sz val="8"/>
      <name val="Arial"/>
      <charset val="134"/>
    </font>
    <font>
      <vertAlign val="superscript"/>
      <sz val="12"/>
      <name val="Times New Roman"/>
      <charset val="134"/>
    </font>
    <font>
      <sz val="9"/>
      <name val="Times New Roman"/>
      <charset val="134"/>
    </font>
    <font>
      <vertAlign val="subscript"/>
      <sz val="12"/>
      <name val="Times New Roman"/>
      <charset val="134"/>
    </font>
    <font>
      <vertAlign val="subscript"/>
      <sz val="12"/>
      <color rgb="FF000000"/>
      <name val="Times New Roman"/>
      <charset val="134"/>
    </font>
    <font>
      <vertAlign val="subscript"/>
      <sz val="11"/>
      <color theme="1"/>
      <name val="Times New Roman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2B3957"/>
        <bgColor indexed="64"/>
      </patternFill>
    </fill>
    <fill>
      <patternFill patternType="solid">
        <fgColor rgb="FFCCD4E5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5" borderId="15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19" borderId="18" applyNumberFormat="0" applyAlignment="0" applyProtection="0">
      <alignment vertical="center"/>
    </xf>
    <xf numFmtId="0" fontId="32" fillId="19" borderId="14" applyNumberFormat="0" applyAlignment="0" applyProtection="0">
      <alignment vertical="center"/>
    </xf>
    <xf numFmtId="0" fontId="33" fillId="20" borderId="19" applyNumberFormat="0" applyAlignment="0" applyProtection="0">
      <alignment vertical="center"/>
    </xf>
    <xf numFmtId="0" fontId="0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3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justify"/>
    </xf>
    <xf numFmtId="0" fontId="3" fillId="3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3" fontId="3" fillId="3" borderId="2" xfId="0" applyNumberFormat="1" applyFont="1" applyFill="1" applyBorder="1" applyAlignment="1">
      <alignment horizontal="center" vertical="top" wrapText="1"/>
    </xf>
    <xf numFmtId="3" fontId="5" fillId="4" borderId="2" xfId="0" applyNumberFormat="1" applyFont="1" applyFill="1" applyBorder="1" applyAlignment="1">
      <alignment horizontal="center" vertical="top" wrapText="1"/>
    </xf>
    <xf numFmtId="10" fontId="5" fillId="4" borderId="2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6" fillId="0" borderId="0" xfId="0" applyFont="1"/>
    <xf numFmtId="0" fontId="7" fillId="5" borderId="3" xfId="0" applyFont="1" applyFill="1" applyBorder="1" applyAlignment="1">
      <alignment horizontal="center" vertical="center" wrapText="1"/>
    </xf>
    <xf numFmtId="0" fontId="6" fillId="5" borderId="3" xfId="27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177" fontId="6" fillId="0" borderId="3" xfId="27" applyNumberFormat="1" applyFont="1" applyBorder="1" applyAlignment="1">
      <alignment horizontal="center" vertical="center" wrapText="1"/>
    </xf>
    <xf numFmtId="0" fontId="6" fillId="0" borderId="3" xfId="27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0" borderId="0" xfId="0" applyFont="1"/>
    <xf numFmtId="176" fontId="7" fillId="0" borderId="5" xfId="0" applyNumberFormat="1" applyFont="1" applyBorder="1" applyAlignment="1">
      <alignment horizontal="center"/>
    </xf>
    <xf numFmtId="178" fontId="7" fillId="0" borderId="0" xfId="0" applyNumberFormat="1" applyFont="1"/>
    <xf numFmtId="176" fontId="7" fillId="0" borderId="0" xfId="0" applyNumberFormat="1" applyFont="1"/>
    <xf numFmtId="176" fontId="6" fillId="0" borderId="0" xfId="0" applyNumberFormat="1" applyFont="1"/>
    <xf numFmtId="0" fontId="7" fillId="5" borderId="3" xfId="0" applyFont="1" applyFill="1" applyBorder="1" applyAlignment="1">
      <alignment horizontal="center"/>
    </xf>
    <xf numFmtId="176" fontId="7" fillId="0" borderId="3" xfId="0" applyNumberFormat="1" applyFont="1" applyBorder="1" applyAlignment="1">
      <alignment horizontal="center"/>
    </xf>
    <xf numFmtId="179" fontId="7" fillId="0" borderId="3" xfId="0" applyNumberFormat="1" applyFont="1" applyBorder="1" applyAlignment="1">
      <alignment horizontal="center"/>
    </xf>
    <xf numFmtId="177" fontId="7" fillId="0" borderId="0" xfId="0" applyNumberFormat="1" applyFont="1"/>
    <xf numFmtId="0" fontId="8" fillId="0" borderId="0" xfId="0" applyFont="1"/>
    <xf numFmtId="0" fontId="6" fillId="0" borderId="0" xfId="0" applyFont="1" applyAlignment="1">
      <alignment vertical="center" wrapText="1"/>
    </xf>
    <xf numFmtId="180" fontId="7" fillId="0" borderId="3" xfId="0" applyNumberFormat="1" applyFont="1" applyBorder="1" applyAlignment="1">
      <alignment horizontal="center"/>
    </xf>
    <xf numFmtId="10" fontId="7" fillId="0" borderId="3" xfId="0" applyNumberFormat="1" applyFont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6" xfId="0" applyFont="1" applyFill="1" applyBorder="1"/>
    <xf numFmtId="176" fontId="7" fillId="6" borderId="6" xfId="0" applyNumberFormat="1" applyFont="1" applyFill="1" applyBorder="1"/>
    <xf numFmtId="176" fontId="7" fillId="6" borderId="3" xfId="0" applyNumberFormat="1" applyFont="1" applyFill="1" applyBorder="1" applyAlignment="1">
      <alignment horizontal="center"/>
    </xf>
    <xf numFmtId="176" fontId="7" fillId="6" borderId="7" xfId="0" applyNumberFormat="1" applyFont="1" applyFill="1" applyBorder="1" applyAlignment="1">
      <alignment horizontal="center"/>
    </xf>
    <xf numFmtId="10" fontId="9" fillId="6" borderId="7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6" fillId="6" borderId="6" xfId="0" applyFont="1" applyFill="1" applyBorder="1"/>
    <xf numFmtId="181" fontId="6" fillId="0" borderId="8" xfId="0" applyNumberFormat="1" applyFont="1" applyBorder="1" applyAlignment="1">
      <alignment horizontal="center"/>
    </xf>
    <xf numFmtId="177" fontId="6" fillId="0" borderId="8" xfId="0" applyNumberFormat="1" applyFont="1" applyBorder="1" applyAlignment="1">
      <alignment horizontal="center"/>
    </xf>
    <xf numFmtId="182" fontId="7" fillId="6" borderId="7" xfId="0" applyNumberFormat="1" applyFont="1" applyFill="1" applyBorder="1" applyAlignment="1">
      <alignment horizontal="center"/>
    </xf>
    <xf numFmtId="0" fontId="9" fillId="0" borderId="6" xfId="0" applyFont="1" applyBorder="1" applyAlignment="1">
      <alignment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10" fontId="9" fillId="0" borderId="7" xfId="0" applyNumberFormat="1" applyFont="1" applyBorder="1" applyAlignment="1">
      <alignment horizontal="center" vertical="center"/>
    </xf>
    <xf numFmtId="183" fontId="7" fillId="0" borderId="0" xfId="0" applyNumberFormat="1" applyFont="1"/>
    <xf numFmtId="177" fontId="6" fillId="0" borderId="0" xfId="0" applyNumberFormat="1" applyFont="1"/>
    <xf numFmtId="177" fontId="10" fillId="0" borderId="0" xfId="0" applyNumberFormat="1" applyFont="1" applyAlignment="1">
      <alignment horizontal="center"/>
    </xf>
    <xf numFmtId="0" fontId="11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0" fillId="7" borderId="0" xfId="0" applyFill="1"/>
    <xf numFmtId="0" fontId="12" fillId="8" borderId="0" xfId="0" applyFont="1" applyFill="1" applyAlignment="1">
      <alignment horizontal="left"/>
    </xf>
    <xf numFmtId="0" fontId="13" fillId="8" borderId="0" xfId="0" applyFont="1" applyFill="1"/>
    <xf numFmtId="0" fontId="14" fillId="8" borderId="9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185" fontId="7" fillId="8" borderId="3" xfId="0" applyNumberFormat="1" applyFont="1" applyFill="1" applyBorder="1" applyAlignment="1">
      <alignment horizontal="center" vertical="center" wrapText="1"/>
    </xf>
    <xf numFmtId="186" fontId="7" fillId="8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/>
    </xf>
    <xf numFmtId="184" fontId="0" fillId="0" borderId="0" xfId="0" applyNumberFormat="1"/>
    <xf numFmtId="0" fontId="6" fillId="7" borderId="3" xfId="27" applyFont="1" applyFill="1" applyBorder="1" applyAlignment="1">
      <alignment horizontal="center" vertical="center" wrapText="1"/>
    </xf>
    <xf numFmtId="177" fontId="9" fillId="7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180" fontId="9" fillId="0" borderId="10" xfId="0" applyNumberFormat="1" applyFont="1" applyBorder="1" applyAlignment="1">
      <alignment horizontal="center" vertical="center" wrapText="1"/>
    </xf>
    <xf numFmtId="177" fontId="9" fillId="0" borderId="7" xfId="0" applyNumberFormat="1" applyFont="1" applyBorder="1" applyAlignment="1">
      <alignment horizontal="center" vertical="center" wrapText="1"/>
    </xf>
    <xf numFmtId="177" fontId="6" fillId="9" borderId="11" xfId="50" applyNumberFormat="1" applyFont="1" applyFill="1" applyBorder="1" applyAlignment="1">
      <alignment horizontal="center" vertical="center" wrapText="1"/>
    </xf>
    <xf numFmtId="180" fontId="9" fillId="0" borderId="7" xfId="0" applyNumberFormat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181" fontId="9" fillId="0" borderId="3" xfId="0" applyNumberFormat="1" applyFont="1" applyBorder="1" applyAlignment="1">
      <alignment horizontal="center" vertical="center" wrapText="1"/>
    </xf>
    <xf numFmtId="185" fontId="0" fillId="0" borderId="0" xfId="0" applyNumberFormat="1"/>
    <xf numFmtId="184" fontId="6" fillId="7" borderId="3" xfId="27" applyNumberFormat="1" applyFont="1" applyFill="1" applyBorder="1" applyAlignment="1">
      <alignment horizontal="center" vertical="center" wrapText="1"/>
    </xf>
    <xf numFmtId="184" fontId="6" fillId="0" borderId="12" xfId="0" applyNumberFormat="1" applyFont="1" applyBorder="1" applyAlignment="1">
      <alignment horizontal="center"/>
    </xf>
    <xf numFmtId="181" fontId="6" fillId="0" borderId="3" xfId="0" applyNumberFormat="1" applyFont="1" applyBorder="1" applyAlignment="1">
      <alignment horizontal="center"/>
    </xf>
    <xf numFmtId="184" fontId="6" fillId="0" borderId="3" xfId="0" applyNumberFormat="1" applyFont="1" applyBorder="1" applyAlignment="1">
      <alignment horizontal="center"/>
    </xf>
    <xf numFmtId="177" fontId="6" fillId="0" borderId="3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77" fontId="0" fillId="0" borderId="0" xfId="0" applyNumberFormat="1" applyAlignment="1">
      <alignment horizontal="center"/>
    </xf>
    <xf numFmtId="187" fontId="0" fillId="0" borderId="0" xfId="0" applyNumberFormat="1"/>
    <xf numFmtId="0" fontId="16" fillId="0" borderId="0" xfId="0" applyFont="1" applyAlignment="1">
      <alignment horizontal="justify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7" fillId="7" borderId="0" xfId="0" applyFont="1" applyFill="1" applyAlignment="1">
      <alignment horizontal="center" wrapText="1"/>
    </xf>
    <xf numFmtId="0" fontId="17" fillId="7" borderId="0" xfId="0" applyFont="1" applyFill="1" applyAlignment="1">
      <alignment horizontal="center"/>
    </xf>
    <xf numFmtId="0" fontId="9" fillId="9" borderId="0" xfId="0" applyFont="1" applyFill="1"/>
    <xf numFmtId="0" fontId="9" fillId="9" borderId="0" xfId="0" applyFont="1" applyFill="1" applyAlignment="1">
      <alignment horizontal="center"/>
    </xf>
    <xf numFmtId="188" fontId="9" fillId="9" borderId="0" xfId="0" applyNumberFormat="1" applyFont="1" applyFill="1"/>
    <xf numFmtId="177" fontId="9" fillId="9" borderId="0" xfId="0" applyNumberFormat="1" applyFont="1" applyFill="1"/>
    <xf numFmtId="3" fontId="18" fillId="0" borderId="0" xfId="0" applyNumberFormat="1" applyFont="1"/>
    <xf numFmtId="0" fontId="9" fillId="9" borderId="0" xfId="0" applyFont="1" applyFill="1" applyAlignment="1" quotePrefix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Huizhou Emission Reduction Calculation Spreadsheet(2009.5.8)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colors>
    <mruColors>
      <color rgb="000000FF"/>
      <color rgb="00C0C0C0"/>
      <color rgb="00000000"/>
      <color rgb="00FFFF00"/>
      <color rgb="00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M16" sqref="M16"/>
    </sheetView>
  </sheetViews>
  <sheetFormatPr defaultColWidth="9" defaultRowHeight="14.25"/>
  <cols>
    <col min="2" max="2" width="6.75" customWidth="1"/>
    <col min="3" max="3" width="11.25" customWidth="1"/>
    <col min="4" max="4" width="11.0666666666667" customWidth="1"/>
    <col min="5" max="5" width="16"/>
    <col min="7" max="7" width="15" customWidth="1"/>
    <col min="11" max="11" width="12.5666666666667"/>
  </cols>
  <sheetData>
    <row r="1" ht="66" customHeight="1" spans="1:12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ht="15" spans="1:12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ht="15" spans="1:1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ht="15" spans="1:12">
      <c r="A4" s="88"/>
      <c r="B4" s="88"/>
      <c r="C4" s="88"/>
      <c r="D4" s="88" t="s">
        <v>1</v>
      </c>
      <c r="E4" s="93" t="s">
        <v>2</v>
      </c>
      <c r="F4" s="88"/>
      <c r="G4" s="88"/>
      <c r="H4" s="88"/>
      <c r="I4" s="88"/>
      <c r="J4" s="88"/>
      <c r="K4" s="88"/>
      <c r="L4" s="88"/>
    </row>
    <row r="5" ht="15" spans="1:12">
      <c r="A5" s="88"/>
      <c r="B5" s="88"/>
      <c r="C5" s="88"/>
      <c r="D5" s="88" t="s">
        <v>3</v>
      </c>
      <c r="E5" s="90">
        <v>45072</v>
      </c>
      <c r="F5" s="88"/>
      <c r="G5" s="88"/>
      <c r="H5" s="88"/>
      <c r="I5" s="88"/>
      <c r="J5" s="88"/>
      <c r="K5" s="88"/>
      <c r="L5" s="88"/>
    </row>
    <row r="6" ht="15" spans="1:12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ht="15" spans="1:12">
      <c r="A7" s="88"/>
      <c r="B7" s="88"/>
      <c r="C7" s="89" t="s">
        <v>4</v>
      </c>
      <c r="D7" s="89"/>
      <c r="E7" s="90">
        <v>44586</v>
      </c>
      <c r="F7" s="89" t="s">
        <v>5</v>
      </c>
      <c r="G7" s="90">
        <v>47142</v>
      </c>
      <c r="H7" s="88"/>
      <c r="I7" s="88"/>
      <c r="J7" s="88"/>
      <c r="K7" s="88"/>
      <c r="L7" s="88"/>
    </row>
    <row r="8" ht="15" spans="1:12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</row>
    <row r="9" ht="15" spans="1:12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</row>
    <row r="10" ht="15" spans="1:12">
      <c r="A10" s="88"/>
      <c r="B10" s="88"/>
      <c r="C10" s="89" t="s">
        <v>6</v>
      </c>
      <c r="D10" s="89"/>
      <c r="E10" s="90">
        <v>44586</v>
      </c>
      <c r="F10" s="89" t="s">
        <v>5</v>
      </c>
      <c r="G10" s="90">
        <v>44985</v>
      </c>
      <c r="H10" s="88"/>
      <c r="I10" s="88"/>
      <c r="J10" s="88"/>
      <c r="K10" s="88"/>
      <c r="L10" s="88"/>
    </row>
    <row r="11" ht="18.75" spans="1:12">
      <c r="A11" s="88"/>
      <c r="B11" s="88"/>
      <c r="C11" s="89" t="s">
        <v>7</v>
      </c>
      <c r="D11" s="89"/>
      <c r="E11" s="91">
        <f>'MR Emission Reduction'!E63</f>
        <v>69035.2821917808</v>
      </c>
      <c r="F11" s="88" t="s">
        <v>8</v>
      </c>
      <c r="G11" s="88"/>
      <c r="H11" s="88"/>
      <c r="I11" s="88"/>
      <c r="J11" s="88"/>
      <c r="K11" s="88"/>
      <c r="L11" s="88"/>
    </row>
    <row r="12" ht="18.75" spans="1:12">
      <c r="A12" s="88"/>
      <c r="B12" s="88"/>
      <c r="C12" s="89" t="s">
        <v>9</v>
      </c>
      <c r="D12" s="89"/>
      <c r="E12" s="91">
        <f>'MR Emission Reduction'!D29</f>
        <v>65256</v>
      </c>
      <c r="F12" s="88" t="s">
        <v>8</v>
      </c>
      <c r="G12" s="88"/>
      <c r="H12" s="88"/>
      <c r="I12" s="88"/>
      <c r="J12" s="88"/>
      <c r="K12" s="88"/>
      <c r="L12" s="88"/>
    </row>
    <row r="13" ht="15" spans="1:12">
      <c r="A13" s="88"/>
      <c r="B13" s="88"/>
      <c r="C13" s="88"/>
      <c r="D13" s="88">
        <v>2022</v>
      </c>
      <c r="E13" s="88">
        <f>'MR Emission Reduction'!D27</f>
        <v>56564</v>
      </c>
      <c r="F13" s="88"/>
      <c r="G13" s="88"/>
      <c r="H13" s="88"/>
      <c r="I13" s="88"/>
      <c r="J13" s="88"/>
      <c r="K13" s="88"/>
      <c r="L13" s="88"/>
    </row>
    <row r="14" ht="15" spans="4:5">
      <c r="D14">
        <v>2023</v>
      </c>
      <c r="E14" s="88">
        <f>'MR Emission Reduction'!D28</f>
        <v>8692</v>
      </c>
    </row>
    <row r="23" spans="11:11">
      <c r="K23" s="92"/>
    </row>
  </sheetData>
  <mergeCells count="5">
    <mergeCell ref="A1:L1"/>
    <mergeCell ref="C7:D7"/>
    <mergeCell ref="C10:D10"/>
    <mergeCell ref="C11:D11"/>
    <mergeCell ref="C12:D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6"/>
  <sheetViews>
    <sheetView zoomScale="84" zoomScaleNormal="84" topLeftCell="D1" workbookViewId="0">
      <selection activeCell="K19" sqref="K19"/>
    </sheetView>
  </sheetViews>
  <sheetFormatPr defaultColWidth="9" defaultRowHeight="14.25"/>
  <cols>
    <col min="1" max="1" width="19.5" style="60" customWidth="1"/>
    <col min="2" max="2" width="11.0666666666667" customWidth="1"/>
    <col min="3" max="4" width="12.25" customWidth="1"/>
    <col min="5" max="5" width="11.8166666666667" customWidth="1"/>
    <col min="6" max="6" width="13.8166666666667" customWidth="1"/>
    <col min="7" max="7" width="14.8166666666667" customWidth="1"/>
    <col min="8" max="8" width="15.5666666666667" customWidth="1"/>
    <col min="9" max="9" width="11.75" customWidth="1"/>
    <col min="10" max="11" width="12.5666666666667"/>
    <col min="12" max="12" width="13.125" style="61" customWidth="1"/>
    <col min="13" max="13" width="11.75" style="61" customWidth="1"/>
    <col min="14" max="14" width="9.31666666666667" customWidth="1"/>
    <col min="15" max="16" width="10.25" customWidth="1"/>
    <col min="17" max="17" width="12.3166666666667" customWidth="1"/>
    <col min="18" max="18" width="9.31666666666667" customWidth="1"/>
    <col min="19" max="19" width="10.75" customWidth="1"/>
    <col min="20" max="20" width="13.75"/>
  </cols>
  <sheetData>
    <row r="1" ht="78.75" spans="1:19">
      <c r="A1" s="62" t="s">
        <v>10</v>
      </c>
      <c r="B1" s="62" t="s">
        <v>11</v>
      </c>
      <c r="C1" s="62" t="s">
        <v>12</v>
      </c>
      <c r="D1" s="62" t="s">
        <v>13</v>
      </c>
      <c r="E1" s="63" t="s">
        <v>14</v>
      </c>
      <c r="F1" s="62" t="s">
        <v>15</v>
      </c>
      <c r="G1" s="62" t="s">
        <v>16</v>
      </c>
      <c r="H1" s="62" t="s">
        <v>17</v>
      </c>
      <c r="I1" s="62" t="s">
        <v>18</v>
      </c>
      <c r="J1" s="62" t="s">
        <v>19</v>
      </c>
      <c r="K1" s="62" t="s">
        <v>20</v>
      </c>
      <c r="L1" s="73" t="s">
        <v>21</v>
      </c>
      <c r="M1" s="73" t="s">
        <v>22</v>
      </c>
      <c r="N1" s="62" t="s">
        <v>23</v>
      </c>
      <c r="O1" s="62" t="s">
        <v>24</v>
      </c>
      <c r="P1" s="62" t="s">
        <v>25</v>
      </c>
      <c r="Q1" s="62" t="s">
        <v>26</v>
      </c>
      <c r="R1" s="62" t="s">
        <v>27</v>
      </c>
      <c r="S1" s="62" t="s">
        <v>28</v>
      </c>
    </row>
    <row r="2" ht="15.75" spans="1:19">
      <c r="A2" s="64" t="s">
        <v>29</v>
      </c>
      <c r="B2" s="65">
        <v>9042</v>
      </c>
      <c r="C2" s="65">
        <v>47154.2</v>
      </c>
      <c r="D2" s="66">
        <v>50.06</v>
      </c>
      <c r="E2" s="67">
        <f>C2*D2/100</f>
        <v>23605.39252</v>
      </c>
      <c r="F2" s="65">
        <v>66016</v>
      </c>
      <c r="G2" s="65">
        <v>66016</v>
      </c>
      <c r="H2" s="68">
        <f>MIN(G2,F2)</f>
        <v>66016</v>
      </c>
      <c r="I2" s="74">
        <v>139.5</v>
      </c>
      <c r="J2" s="75">
        <f>E2*0.0007168</f>
        <v>16.920345358336</v>
      </c>
      <c r="K2" s="75">
        <f>J2*0.2</f>
        <v>3.3840690716672</v>
      </c>
      <c r="L2" s="76">
        <f>0.9*J2*0.8*28</f>
        <v>341.114162424054</v>
      </c>
      <c r="M2" s="76">
        <f>H2/1000*'Grid emission factor'!C8*1.03</f>
        <v>34.600008848</v>
      </c>
      <c r="N2" s="77">
        <f>L2+M2</f>
        <v>375.714171272054</v>
      </c>
      <c r="O2" s="78">
        <v>1360</v>
      </c>
      <c r="P2" s="78">
        <v>1360</v>
      </c>
      <c r="Q2" s="68">
        <f>MAX(P2,O2)</f>
        <v>1360</v>
      </c>
      <c r="R2" s="83">
        <f>Q2/1000*0.50885*1.2</f>
        <v>0.8304432</v>
      </c>
      <c r="S2" s="77">
        <f>N2-R2</f>
        <v>374.883728072054</v>
      </c>
    </row>
    <row r="3" ht="15.75" spans="1:19">
      <c r="A3" s="64" t="s">
        <v>30</v>
      </c>
      <c r="B3" s="65">
        <v>9802</v>
      </c>
      <c r="C3" s="65">
        <v>188616.8</v>
      </c>
      <c r="D3" s="69">
        <v>51.04</v>
      </c>
      <c r="E3" s="67">
        <f t="shared" ref="E3:E13" si="0">C3*D3/100</f>
        <v>96270.01472</v>
      </c>
      <c r="F3" s="65">
        <v>264064</v>
      </c>
      <c r="G3" s="65">
        <v>264064</v>
      </c>
      <c r="H3" s="68">
        <f>MIN(G3,F3)</f>
        <v>264064</v>
      </c>
      <c r="I3" s="74">
        <v>586.5</v>
      </c>
      <c r="J3" s="75">
        <f>E3*0.0007168</f>
        <v>69.006346551296</v>
      </c>
      <c r="K3" s="75">
        <f t="shared" ref="K3:K17" si="1">J3*0.2</f>
        <v>13.8012693102592</v>
      </c>
      <c r="L3" s="76">
        <f>0.9*J3*0.8*28</f>
        <v>1391.16794647413</v>
      </c>
      <c r="M3" s="76">
        <f>H3/1000*'Grid emission factor'!C8*1.03</f>
        <v>138.400035392</v>
      </c>
      <c r="N3" s="77">
        <f>L3+M3</f>
        <v>1529.56798186613</v>
      </c>
      <c r="O3" s="79">
        <v>160</v>
      </c>
      <c r="P3" s="79">
        <v>160</v>
      </c>
      <c r="Q3" s="68">
        <f>MAX(P3,O3)</f>
        <v>160</v>
      </c>
      <c r="R3" s="83">
        <f t="shared" ref="R3:R13" si="2">Q3/1000*0.50885*1.2</f>
        <v>0.0976992</v>
      </c>
      <c r="S3" s="77">
        <f>N3-R3</f>
        <v>1529.47028266613</v>
      </c>
    </row>
    <row r="4" ht="15.75" spans="1:19">
      <c r="A4" s="64" t="s">
        <v>31</v>
      </c>
      <c r="B4" s="65">
        <v>10563</v>
      </c>
      <c r="C4" s="65">
        <v>528629</v>
      </c>
      <c r="D4" s="69">
        <v>52.92</v>
      </c>
      <c r="E4" s="67">
        <f t="shared" si="0"/>
        <v>279750.4668</v>
      </c>
      <c r="F4" s="65">
        <v>740080</v>
      </c>
      <c r="G4" s="65">
        <v>740080</v>
      </c>
      <c r="H4" s="68">
        <f>MIN(G4,F4)</f>
        <v>740080</v>
      </c>
      <c r="I4" s="76">
        <v>1562.5</v>
      </c>
      <c r="J4" s="75">
        <f t="shared" ref="J4:J13" si="3">E4*0.0007168</f>
        <v>200.52513460224</v>
      </c>
      <c r="K4" s="75">
        <f t="shared" si="1"/>
        <v>40.105026920448</v>
      </c>
      <c r="L4" s="76">
        <f t="shared" ref="L4:L13" si="4">0.9*J4*0.8*28</f>
        <v>4042.58671358116</v>
      </c>
      <c r="M4" s="76">
        <f>H4/1000*'Grid emission factor'!C8*1.03</f>
        <v>387.88739924</v>
      </c>
      <c r="N4" s="77">
        <f t="shared" ref="N4:N13" si="5">L4+M4</f>
        <v>4430.47411282116</v>
      </c>
      <c r="O4" s="79">
        <v>80</v>
      </c>
      <c r="P4" s="79">
        <v>80</v>
      </c>
      <c r="Q4" s="68">
        <f>MAX(P4,O4)</f>
        <v>80</v>
      </c>
      <c r="R4" s="83">
        <f t="shared" si="2"/>
        <v>0.0488496</v>
      </c>
      <c r="S4" s="77">
        <f t="shared" ref="S4:S13" si="6">N4-R4</f>
        <v>4430.42526322116</v>
      </c>
    </row>
    <row r="5" ht="15.75" spans="1:19">
      <c r="A5" s="64" t="s">
        <v>32</v>
      </c>
      <c r="B5" s="65">
        <v>11761</v>
      </c>
      <c r="C5" s="65">
        <v>644229</v>
      </c>
      <c r="D5" s="69">
        <v>54.98</v>
      </c>
      <c r="E5" s="67">
        <f t="shared" si="0"/>
        <v>354197.1042</v>
      </c>
      <c r="F5" s="65">
        <v>901920</v>
      </c>
      <c r="G5" s="65">
        <v>901920</v>
      </c>
      <c r="H5" s="68">
        <f t="shared" ref="H5:H13" si="7">MIN(G5,F5)</f>
        <v>901920</v>
      </c>
      <c r="I5" s="76">
        <v>1918</v>
      </c>
      <c r="J5" s="75">
        <f t="shared" si="3"/>
        <v>253.88848429056</v>
      </c>
      <c r="K5" s="75">
        <f t="shared" si="1"/>
        <v>50.777696858112</v>
      </c>
      <c r="L5" s="76">
        <f t="shared" si="4"/>
        <v>5118.39184329769</v>
      </c>
      <c r="M5" s="76">
        <f>H5/1000*'Grid emission factor'!C8*1.03</f>
        <v>472.71025176</v>
      </c>
      <c r="N5" s="77">
        <f t="shared" si="5"/>
        <v>5591.10209505769</v>
      </c>
      <c r="O5" s="79">
        <v>0</v>
      </c>
      <c r="P5" s="79">
        <v>0</v>
      </c>
      <c r="Q5" s="68">
        <f t="shared" ref="Q5:Q11" si="8">MAX(P5,O5)</f>
        <v>0</v>
      </c>
      <c r="R5" s="83">
        <f t="shared" si="2"/>
        <v>0</v>
      </c>
      <c r="S5" s="77">
        <f t="shared" si="6"/>
        <v>5591.10209505769</v>
      </c>
    </row>
    <row r="6" ht="15.75" spans="1:19">
      <c r="A6" s="64" t="s">
        <v>33</v>
      </c>
      <c r="B6" s="65">
        <v>10521</v>
      </c>
      <c r="C6" s="65">
        <v>681600</v>
      </c>
      <c r="D6" s="69">
        <v>53.97</v>
      </c>
      <c r="E6" s="67">
        <f t="shared" si="0"/>
        <v>367859.52</v>
      </c>
      <c r="F6" s="65">
        <v>954240</v>
      </c>
      <c r="G6" s="65">
        <v>954240</v>
      </c>
      <c r="H6" s="68">
        <f t="shared" si="7"/>
        <v>954240</v>
      </c>
      <c r="I6" s="76">
        <v>2010</v>
      </c>
      <c r="J6" s="75">
        <f t="shared" si="3"/>
        <v>263.681703936</v>
      </c>
      <c r="K6" s="75">
        <f t="shared" si="1"/>
        <v>52.7363407872</v>
      </c>
      <c r="L6" s="76">
        <f t="shared" si="4"/>
        <v>5315.82315134976</v>
      </c>
      <c r="M6" s="76">
        <f>H6/1000*'Grid emission factor'!C8*1.03</f>
        <v>500.13197472</v>
      </c>
      <c r="N6" s="77">
        <f t="shared" si="5"/>
        <v>5815.95512606976</v>
      </c>
      <c r="O6" s="79">
        <v>0</v>
      </c>
      <c r="P6" s="79">
        <v>0</v>
      </c>
      <c r="Q6" s="68">
        <f t="shared" si="8"/>
        <v>0</v>
      </c>
      <c r="R6" s="83">
        <f t="shared" si="2"/>
        <v>0</v>
      </c>
      <c r="S6" s="77">
        <f t="shared" si="6"/>
        <v>5815.95512606976</v>
      </c>
    </row>
    <row r="7" ht="15.75" spans="1:19">
      <c r="A7" s="64" t="s">
        <v>34</v>
      </c>
      <c r="B7" s="65">
        <v>11323</v>
      </c>
      <c r="C7" s="65">
        <v>686743</v>
      </c>
      <c r="D7" s="69">
        <v>55.08</v>
      </c>
      <c r="E7" s="67">
        <f t="shared" si="0"/>
        <v>378258.0444</v>
      </c>
      <c r="F7" s="65">
        <v>961440</v>
      </c>
      <c r="G7" s="65">
        <v>961440</v>
      </c>
      <c r="H7" s="68">
        <f t="shared" si="7"/>
        <v>961440</v>
      </c>
      <c r="I7" s="76">
        <v>2036.5</v>
      </c>
      <c r="J7" s="75">
        <f t="shared" si="3"/>
        <v>271.13536622592</v>
      </c>
      <c r="K7" s="75">
        <f t="shared" si="1"/>
        <v>54.227073245184</v>
      </c>
      <c r="L7" s="76">
        <f t="shared" si="4"/>
        <v>5466.08898311455</v>
      </c>
      <c r="M7" s="76">
        <f>H7/1000*'Grid emission factor'!C8*1.03</f>
        <v>503.90560632</v>
      </c>
      <c r="N7" s="77">
        <f t="shared" si="5"/>
        <v>5969.99458943455</v>
      </c>
      <c r="O7" s="79">
        <v>0</v>
      </c>
      <c r="P7" s="79">
        <v>0</v>
      </c>
      <c r="Q7" s="68">
        <f t="shared" si="8"/>
        <v>0</v>
      </c>
      <c r="R7" s="83">
        <f t="shared" si="2"/>
        <v>0</v>
      </c>
      <c r="S7" s="77">
        <f t="shared" si="6"/>
        <v>5969.99458943455</v>
      </c>
    </row>
    <row r="8" ht="15.75" spans="1:19">
      <c r="A8" s="64" t="s">
        <v>35</v>
      </c>
      <c r="B8" s="65">
        <v>10365</v>
      </c>
      <c r="C8" s="65">
        <v>712343</v>
      </c>
      <c r="D8" s="69">
        <v>54.26</v>
      </c>
      <c r="E8" s="67">
        <f t="shared" si="0"/>
        <v>386517.3118</v>
      </c>
      <c r="F8" s="65">
        <v>997280</v>
      </c>
      <c r="G8" s="65">
        <v>997280</v>
      </c>
      <c r="H8" s="68">
        <f t="shared" si="7"/>
        <v>997280</v>
      </c>
      <c r="I8" s="76">
        <v>2107.5</v>
      </c>
      <c r="J8" s="75">
        <f t="shared" si="3"/>
        <v>277.05560909824</v>
      </c>
      <c r="K8" s="75">
        <f t="shared" si="1"/>
        <v>55.411121819648</v>
      </c>
      <c r="L8" s="76">
        <f t="shared" si="4"/>
        <v>5585.44107942052</v>
      </c>
      <c r="M8" s="76">
        <f>H8/1000*'Grid emission factor'!C8*1.03</f>
        <v>522.68990584</v>
      </c>
      <c r="N8" s="77">
        <f t="shared" si="5"/>
        <v>6108.13098526052</v>
      </c>
      <c r="O8" s="79">
        <v>80</v>
      </c>
      <c r="P8" s="79">
        <v>80</v>
      </c>
      <c r="Q8" s="68">
        <f t="shared" si="8"/>
        <v>80</v>
      </c>
      <c r="R8" s="83">
        <f t="shared" si="2"/>
        <v>0.0488496</v>
      </c>
      <c r="S8" s="77">
        <f t="shared" si="6"/>
        <v>6108.08213566052</v>
      </c>
    </row>
    <row r="9" ht="15.75" spans="1:19">
      <c r="A9" s="64" t="s">
        <v>36</v>
      </c>
      <c r="B9" s="65">
        <v>10366</v>
      </c>
      <c r="C9" s="65">
        <v>686114</v>
      </c>
      <c r="D9" s="69">
        <v>55.97</v>
      </c>
      <c r="E9" s="67">
        <f t="shared" si="0"/>
        <v>384018.0058</v>
      </c>
      <c r="F9" s="65">
        <v>960560</v>
      </c>
      <c r="G9" s="65">
        <v>960560</v>
      </c>
      <c r="H9" s="68">
        <f t="shared" si="7"/>
        <v>960560</v>
      </c>
      <c r="I9" s="76">
        <v>2083</v>
      </c>
      <c r="J9" s="75">
        <f t="shared" si="3"/>
        <v>275.26410655744</v>
      </c>
      <c r="K9" s="75">
        <f t="shared" si="1"/>
        <v>55.052821311488</v>
      </c>
      <c r="L9" s="76">
        <f t="shared" si="4"/>
        <v>5549.32438819799</v>
      </c>
      <c r="M9" s="76">
        <f>H9/1000*'Grid emission factor'!C8*1.03</f>
        <v>503.44438468</v>
      </c>
      <c r="N9" s="77">
        <f t="shared" si="5"/>
        <v>6052.76877287799</v>
      </c>
      <c r="O9" s="79">
        <v>0</v>
      </c>
      <c r="P9" s="79">
        <v>0</v>
      </c>
      <c r="Q9" s="68">
        <f t="shared" si="8"/>
        <v>0</v>
      </c>
      <c r="R9" s="83">
        <f t="shared" si="2"/>
        <v>0</v>
      </c>
      <c r="S9" s="77">
        <f t="shared" si="6"/>
        <v>6052.76877287799</v>
      </c>
    </row>
    <row r="10" ht="15.75" spans="1:19">
      <c r="A10" s="64" t="s">
        <v>37</v>
      </c>
      <c r="B10" s="65">
        <v>10438</v>
      </c>
      <c r="C10" s="65">
        <v>689486</v>
      </c>
      <c r="D10" s="69">
        <v>54.73</v>
      </c>
      <c r="E10" s="67">
        <f t="shared" si="0"/>
        <v>377355.6878</v>
      </c>
      <c r="F10" s="65">
        <v>765280</v>
      </c>
      <c r="G10" s="65">
        <v>765280</v>
      </c>
      <c r="H10" s="68">
        <f t="shared" si="7"/>
        <v>765280</v>
      </c>
      <c r="I10" s="76">
        <v>1791</v>
      </c>
      <c r="J10" s="75">
        <f t="shared" si="3"/>
        <v>270.48855701504</v>
      </c>
      <c r="K10" s="75">
        <f t="shared" si="1"/>
        <v>54.097711403008</v>
      </c>
      <c r="L10" s="76">
        <f t="shared" si="4"/>
        <v>5453.04930942321</v>
      </c>
      <c r="M10" s="76">
        <f>H10/1000*'Grid emission factor'!C8*1.03</f>
        <v>401.09510984</v>
      </c>
      <c r="N10" s="77">
        <f t="shared" si="5"/>
        <v>5854.14441926321</v>
      </c>
      <c r="O10" s="79">
        <v>160</v>
      </c>
      <c r="P10" s="79">
        <v>160</v>
      </c>
      <c r="Q10" s="68">
        <f t="shared" si="8"/>
        <v>160</v>
      </c>
      <c r="R10" s="83">
        <f t="shared" si="2"/>
        <v>0.0976992</v>
      </c>
      <c r="S10" s="77">
        <f t="shared" si="6"/>
        <v>5854.04672006321</v>
      </c>
    </row>
    <row r="11" ht="15.75" spans="1:19">
      <c r="A11" s="64" t="s">
        <v>38</v>
      </c>
      <c r="B11" s="65">
        <v>9959</v>
      </c>
      <c r="C11" s="65">
        <v>598800</v>
      </c>
      <c r="D11" s="69">
        <v>53.99</v>
      </c>
      <c r="E11" s="67">
        <f t="shared" si="0"/>
        <v>323292.12</v>
      </c>
      <c r="F11" s="65">
        <v>638320</v>
      </c>
      <c r="G11" s="65">
        <v>638320</v>
      </c>
      <c r="H11" s="68">
        <f t="shared" si="7"/>
        <v>638320</v>
      </c>
      <c r="I11" s="76">
        <v>1334.5</v>
      </c>
      <c r="J11" s="75">
        <f t="shared" si="3"/>
        <v>231.735791616</v>
      </c>
      <c r="K11" s="75">
        <f t="shared" si="1"/>
        <v>46.3471583232</v>
      </c>
      <c r="L11" s="76">
        <f t="shared" si="4"/>
        <v>4671.79355897856</v>
      </c>
      <c r="M11" s="76">
        <f>H11/1000*'Grid emission factor'!C8*1.03</f>
        <v>334.55340596</v>
      </c>
      <c r="N11" s="77">
        <f t="shared" si="5"/>
        <v>5006.34696493856</v>
      </c>
      <c r="O11" s="79">
        <v>240</v>
      </c>
      <c r="P11" s="79">
        <v>240</v>
      </c>
      <c r="Q11" s="68">
        <f t="shared" si="8"/>
        <v>240</v>
      </c>
      <c r="R11" s="83">
        <f t="shared" si="2"/>
        <v>0.1465488</v>
      </c>
      <c r="S11" s="77">
        <f t="shared" si="6"/>
        <v>5006.20041613856</v>
      </c>
    </row>
    <row r="12" ht="15.75" spans="1:19">
      <c r="A12" s="64" t="s">
        <v>39</v>
      </c>
      <c r="B12" s="65">
        <v>9750</v>
      </c>
      <c r="C12" s="65">
        <v>617714</v>
      </c>
      <c r="D12" s="69">
        <v>52.12</v>
      </c>
      <c r="E12" s="67">
        <f t="shared" si="0"/>
        <v>321952.5368</v>
      </c>
      <c r="F12" s="65">
        <v>564800</v>
      </c>
      <c r="G12" s="65">
        <v>564800</v>
      </c>
      <c r="H12" s="68">
        <f t="shared" si="7"/>
        <v>564800</v>
      </c>
      <c r="I12" s="76">
        <v>1175.5</v>
      </c>
      <c r="J12" s="75">
        <f t="shared" si="3"/>
        <v>230.77557837824</v>
      </c>
      <c r="K12" s="75">
        <f t="shared" si="1"/>
        <v>46.155115675648</v>
      </c>
      <c r="L12" s="76">
        <f t="shared" si="4"/>
        <v>4652.43566010532</v>
      </c>
      <c r="M12" s="76">
        <f>H12/1000*'Grid emission factor'!C8*1.03</f>
        <v>296.0204344</v>
      </c>
      <c r="N12" s="77">
        <f t="shared" si="5"/>
        <v>4948.45609450532</v>
      </c>
      <c r="O12" s="79">
        <v>80</v>
      </c>
      <c r="P12" s="79">
        <v>80</v>
      </c>
      <c r="Q12" s="84">
        <v>80</v>
      </c>
      <c r="R12" s="85">
        <f t="shared" si="2"/>
        <v>0.0488496</v>
      </c>
      <c r="S12" s="77">
        <f t="shared" si="6"/>
        <v>4948.40724490532</v>
      </c>
    </row>
    <row r="13" ht="15.75" spans="1:19">
      <c r="A13" s="64" t="s">
        <v>40</v>
      </c>
      <c r="B13" s="65">
        <v>10660</v>
      </c>
      <c r="C13" s="65">
        <v>610464</v>
      </c>
      <c r="D13" s="69">
        <v>52.07</v>
      </c>
      <c r="E13" s="67">
        <f t="shared" si="0"/>
        <v>317868.6048</v>
      </c>
      <c r="F13" s="70">
        <v>554650</v>
      </c>
      <c r="G13" s="70">
        <v>554650</v>
      </c>
      <c r="H13" s="68">
        <f t="shared" si="7"/>
        <v>554650</v>
      </c>
      <c r="I13" s="76">
        <v>1182.5</v>
      </c>
      <c r="J13" s="75">
        <f t="shared" si="3"/>
        <v>227.84821592064</v>
      </c>
      <c r="K13" s="75">
        <f t="shared" si="1"/>
        <v>45.569643184128</v>
      </c>
      <c r="L13" s="76">
        <f t="shared" si="4"/>
        <v>4593.4200329601</v>
      </c>
      <c r="M13" s="76">
        <f>H13/1000*'Grid emission factor'!C8*1.03</f>
        <v>290.700662075</v>
      </c>
      <c r="N13" s="77">
        <f t="shared" si="5"/>
        <v>4884.1206950351</v>
      </c>
      <c r="O13" s="79">
        <v>0</v>
      </c>
      <c r="P13" s="79">
        <v>0</v>
      </c>
      <c r="Q13" s="84">
        <v>0</v>
      </c>
      <c r="R13" s="85">
        <f t="shared" si="2"/>
        <v>0</v>
      </c>
      <c r="S13" s="77">
        <f t="shared" si="6"/>
        <v>4884.1206950351</v>
      </c>
    </row>
    <row r="14" ht="15.75" spans="1:19">
      <c r="A14" s="64" t="s">
        <v>41</v>
      </c>
      <c r="B14" s="65">
        <f>SUM(B2:B13)</f>
        <v>124550</v>
      </c>
      <c r="C14" s="65">
        <f>SUM(C2:C13)</f>
        <v>6691893</v>
      </c>
      <c r="D14" s="69"/>
      <c r="E14" s="67">
        <f t="shared" ref="E14:J14" si="9">SUM(E2:E13)</f>
        <v>3610944.80964</v>
      </c>
      <c r="F14" s="65">
        <f t="shared" si="9"/>
        <v>8368650</v>
      </c>
      <c r="G14" s="65">
        <f t="shared" si="9"/>
        <v>8368650</v>
      </c>
      <c r="H14" s="65">
        <f t="shared" si="9"/>
        <v>8368650</v>
      </c>
      <c r="I14" s="65">
        <f t="shared" si="9"/>
        <v>17927</v>
      </c>
      <c r="J14" s="75">
        <f t="shared" si="9"/>
        <v>2588.32523954995</v>
      </c>
      <c r="K14" s="75">
        <f t="shared" si="1"/>
        <v>517.66504790999</v>
      </c>
      <c r="L14" s="65">
        <f t="shared" ref="L14:S14" si="10">SUM(L2:L13)</f>
        <v>52180.636829327</v>
      </c>
      <c r="M14" s="65">
        <f t="shared" si="10"/>
        <v>4386.139179075</v>
      </c>
      <c r="N14" s="65">
        <f>ROUNDDOWN(SUM(N2:N13),0)</f>
        <v>56566</v>
      </c>
      <c r="O14" s="65">
        <f>SUM(O2:O13)</f>
        <v>2160</v>
      </c>
      <c r="P14" s="65">
        <f t="shared" si="10"/>
        <v>2160</v>
      </c>
      <c r="Q14" s="65">
        <f t="shared" si="10"/>
        <v>2160</v>
      </c>
      <c r="R14" s="71">
        <f>ROUNDUP(SUM(R2:R13),0)</f>
        <v>2</v>
      </c>
      <c r="S14" s="65">
        <f t="shared" si="10"/>
        <v>56565.457069202</v>
      </c>
    </row>
    <row r="15" ht="15.75" spans="1:19">
      <c r="A15" s="64" t="s">
        <v>42</v>
      </c>
      <c r="B15" s="65">
        <v>10753</v>
      </c>
      <c r="C15" s="65">
        <v>558783</v>
      </c>
      <c r="D15" s="69">
        <v>52.9</v>
      </c>
      <c r="E15" s="67">
        <f>C15*D15/100</f>
        <v>295596.207</v>
      </c>
      <c r="F15" s="65">
        <v>470160</v>
      </c>
      <c r="G15" s="65">
        <v>470160</v>
      </c>
      <c r="H15" s="68">
        <f>MIN(G15,F15)</f>
        <v>470160</v>
      </c>
      <c r="I15" s="76">
        <v>1863</v>
      </c>
      <c r="J15" s="75">
        <f>E15*0.0007168</f>
        <v>211.8833611776</v>
      </c>
      <c r="K15" s="75">
        <f t="shared" si="1"/>
        <v>42.37667223552</v>
      </c>
      <c r="L15" s="76">
        <f>0.9*J15*0.8*28</f>
        <v>4271.56856134042</v>
      </c>
      <c r="M15" s="76">
        <f>H15/1000*'Grid emission factor'!C8*1.03</f>
        <v>246.41814348</v>
      </c>
      <c r="N15" s="77">
        <f>L15+M15</f>
        <v>4517.98670482042</v>
      </c>
      <c r="O15" s="79">
        <v>0</v>
      </c>
      <c r="P15" s="79">
        <v>0</v>
      </c>
      <c r="Q15" s="84">
        <v>0</v>
      </c>
      <c r="R15" s="85">
        <f>Q15/1000*0.50885*1.2</f>
        <v>0</v>
      </c>
      <c r="S15" s="77">
        <f>N15-R15</f>
        <v>4517.98670482042</v>
      </c>
    </row>
    <row r="16" ht="15.75" spans="1:20">
      <c r="A16" s="64" t="s">
        <v>43</v>
      </c>
      <c r="B16" s="65">
        <v>10681</v>
      </c>
      <c r="C16" s="65">
        <v>497902</v>
      </c>
      <c r="D16" s="69">
        <v>55.15</v>
      </c>
      <c r="E16" s="67">
        <f>C16*D16/100</f>
        <v>274592.953</v>
      </c>
      <c r="F16" s="70">
        <v>394400</v>
      </c>
      <c r="G16" s="70">
        <v>394400</v>
      </c>
      <c r="H16" s="68">
        <f>MIN(G16,F16)</f>
        <v>394400</v>
      </c>
      <c r="I16" s="76">
        <v>1539.5</v>
      </c>
      <c r="J16" s="75">
        <f>E16*0.0007168</f>
        <v>196.8282287104</v>
      </c>
      <c r="K16" s="75">
        <f t="shared" si="1"/>
        <v>39.36564574208</v>
      </c>
      <c r="L16" s="76">
        <f>0.9*J16*0.8*28</f>
        <v>3968.05709080166</v>
      </c>
      <c r="M16" s="76">
        <f>H16/1000*'Grid emission factor'!C8*1.03</f>
        <v>206.7111532</v>
      </c>
      <c r="N16" s="77">
        <f>L16+M16</f>
        <v>4174.76824400166</v>
      </c>
      <c r="O16" s="79">
        <v>0</v>
      </c>
      <c r="P16" s="79">
        <v>0</v>
      </c>
      <c r="Q16" s="84">
        <v>0</v>
      </c>
      <c r="R16" s="85">
        <f>Q16/1000*0.50885*1.2</f>
        <v>0</v>
      </c>
      <c r="S16" s="77">
        <f>N16-R16</f>
        <v>4174.76824400166</v>
      </c>
      <c r="T16" s="60"/>
    </row>
    <row r="17" ht="15.75" spans="1:19">
      <c r="A17" s="64" t="s">
        <v>44</v>
      </c>
      <c r="B17" s="65">
        <f>SUM(B14:B16)</f>
        <v>145984</v>
      </c>
      <c r="C17" s="65">
        <f>SUM(C14:C16)</f>
        <v>7748578</v>
      </c>
      <c r="D17" s="69"/>
      <c r="E17" s="67">
        <f t="shared" ref="E17:J17" si="11">SUM(E14:E16)</f>
        <v>4181133.96964</v>
      </c>
      <c r="F17" s="65">
        <f t="shared" si="11"/>
        <v>9233210</v>
      </c>
      <c r="G17" s="65">
        <f t="shared" si="11"/>
        <v>9233210</v>
      </c>
      <c r="H17" s="65">
        <f t="shared" si="11"/>
        <v>9233210</v>
      </c>
      <c r="I17" s="65">
        <f t="shared" si="11"/>
        <v>21329.5</v>
      </c>
      <c r="J17" s="75">
        <f t="shared" si="11"/>
        <v>2997.03682943795</v>
      </c>
      <c r="K17" s="75">
        <f t="shared" si="1"/>
        <v>599.40736588759</v>
      </c>
      <c r="L17" s="65">
        <f t="shared" ref="L17:Q17" si="12">SUM(L14:L16)</f>
        <v>60420.2624814691</v>
      </c>
      <c r="M17" s="65">
        <f t="shared" si="12"/>
        <v>4839.268475755</v>
      </c>
      <c r="N17" s="65">
        <f>ROUNDDOWN(SUM(N14:N16),0)</f>
        <v>65258</v>
      </c>
      <c r="O17" s="65">
        <f t="shared" si="12"/>
        <v>2160</v>
      </c>
      <c r="P17" s="65">
        <f t="shared" si="12"/>
        <v>2160</v>
      </c>
      <c r="Q17" s="65">
        <f t="shared" si="12"/>
        <v>2160</v>
      </c>
      <c r="R17" s="71">
        <f>ROUNDUP(SUM(R14:R16),0)</f>
        <v>2</v>
      </c>
      <c r="S17" s="65">
        <f>ROUNDDOWN(N17-R17,0)</f>
        <v>65256</v>
      </c>
    </row>
    <row r="18" spans="10:20">
      <c r="J18" s="80"/>
      <c r="K18" s="80"/>
      <c r="L18" s="81"/>
      <c r="M18"/>
      <c r="T18" s="60"/>
    </row>
    <row r="19" ht="65.25" spans="5:20">
      <c r="E19" s="62" t="s">
        <v>45</v>
      </c>
      <c r="F19" s="62" t="s">
        <v>46</v>
      </c>
      <c r="I19" s="62" t="s">
        <v>47</v>
      </c>
      <c r="J19" s="60"/>
      <c r="K19" s="60"/>
      <c r="L19"/>
      <c r="M19"/>
      <c r="T19" s="60"/>
    </row>
    <row r="20" ht="15" spans="5:20">
      <c r="E20" s="71">
        <f>C17/10344</f>
        <v>749.08913379737</v>
      </c>
      <c r="F20" s="72">
        <f>E17/C17</f>
        <v>0.539600165300007</v>
      </c>
      <c r="I20" s="65">
        <f>8760+59*24+7*24</f>
        <v>10344</v>
      </c>
      <c r="J20" s="60"/>
      <c r="K20" s="60"/>
      <c r="L20"/>
      <c r="M20"/>
      <c r="T20" s="60"/>
    </row>
    <row r="21" spans="12:20">
      <c r="L21"/>
      <c r="M21"/>
      <c r="T21" s="60"/>
    </row>
    <row r="22" ht="28.5" spans="9:20">
      <c r="I22" s="82" t="s">
        <v>48</v>
      </c>
      <c r="J22" s="82"/>
      <c r="K22" s="82"/>
      <c r="L22"/>
      <c r="M22"/>
      <c r="T22" s="60"/>
    </row>
    <row r="23" ht="28.5" spans="9:20">
      <c r="I23" s="82" t="s">
        <v>49</v>
      </c>
      <c r="J23" s="60"/>
      <c r="K23" s="60"/>
      <c r="L23"/>
      <c r="M23"/>
      <c r="T23" s="60"/>
    </row>
    <row r="24" ht="28.5" spans="9:20">
      <c r="I24" s="82" t="s">
        <v>50</v>
      </c>
      <c r="J24" s="60"/>
      <c r="K24" s="60"/>
      <c r="L24"/>
      <c r="M24"/>
      <c r="T24" s="60"/>
    </row>
    <row r="25" ht="28.5" spans="9:20">
      <c r="I25" s="82" t="s">
        <v>51</v>
      </c>
      <c r="J25" s="60"/>
      <c r="K25" s="60"/>
      <c r="L25"/>
      <c r="M25"/>
      <c r="T25" s="60"/>
    </row>
    <row r="26" ht="28.5" spans="9:20">
      <c r="I26" s="82" t="s">
        <v>52</v>
      </c>
      <c r="J26" s="60"/>
      <c r="K26" s="60"/>
      <c r="L26"/>
      <c r="M26"/>
      <c r="T26" s="60"/>
    </row>
    <row r="27" spans="10:20">
      <c r="J27" s="60"/>
      <c r="K27" s="60"/>
      <c r="L27"/>
      <c r="M27"/>
      <c r="T27" s="60"/>
    </row>
    <row r="28" spans="10:20">
      <c r="J28" s="60"/>
      <c r="K28" s="60"/>
      <c r="L28"/>
      <c r="M28"/>
      <c r="T28" s="60"/>
    </row>
    <row r="29" spans="10:20">
      <c r="J29" s="60"/>
      <c r="K29" s="60"/>
      <c r="L29"/>
      <c r="M29"/>
      <c r="T29" s="60"/>
    </row>
    <row r="30" spans="10:20">
      <c r="J30" s="60"/>
      <c r="K30" s="60"/>
      <c r="L30"/>
      <c r="M30"/>
      <c r="T30" s="60"/>
    </row>
    <row r="31" spans="10:20">
      <c r="J31" s="60"/>
      <c r="K31" s="60"/>
      <c r="L31"/>
      <c r="M31"/>
      <c r="T31" s="60"/>
    </row>
    <row r="32" spans="10:20">
      <c r="J32" s="60"/>
      <c r="K32" s="60"/>
      <c r="L32"/>
      <c r="M32"/>
      <c r="T32" s="60"/>
    </row>
    <row r="33" spans="10:20">
      <c r="J33" s="60"/>
      <c r="K33" s="60"/>
      <c r="L33"/>
      <c r="M33"/>
      <c r="T33" s="60"/>
    </row>
    <row r="34" spans="10:20">
      <c r="J34" s="60"/>
      <c r="K34" s="60"/>
      <c r="L34"/>
      <c r="M34"/>
      <c r="T34" s="60"/>
    </row>
    <row r="35" spans="10:20">
      <c r="J35" s="60"/>
      <c r="K35" s="60"/>
      <c r="L35"/>
      <c r="M35"/>
      <c r="T35" s="60"/>
    </row>
    <row r="36" spans="10:20">
      <c r="J36" s="60"/>
      <c r="K36" s="60"/>
      <c r="L36"/>
      <c r="M36"/>
      <c r="T36" s="60"/>
    </row>
    <row r="37" spans="10:20">
      <c r="J37" s="60"/>
      <c r="K37" s="60"/>
      <c r="L37"/>
      <c r="M37"/>
      <c r="T37" s="60"/>
    </row>
    <row r="38" spans="10:20">
      <c r="J38" s="60"/>
      <c r="K38" s="60"/>
      <c r="L38"/>
      <c r="M38"/>
      <c r="T38" s="60"/>
    </row>
    <row r="39" spans="10:20">
      <c r="J39" s="60"/>
      <c r="K39" s="60"/>
      <c r="L39"/>
      <c r="M39"/>
      <c r="T39" s="60"/>
    </row>
    <row r="40" spans="10:20">
      <c r="J40" s="60"/>
      <c r="K40" s="60"/>
      <c r="L40"/>
      <c r="M40"/>
      <c r="T40" s="60"/>
    </row>
    <row r="41" spans="10:20">
      <c r="J41" s="60"/>
      <c r="K41" s="60"/>
      <c r="L41"/>
      <c r="M41"/>
      <c r="T41" s="60"/>
    </row>
    <row r="42" spans="10:20">
      <c r="J42" s="60"/>
      <c r="K42" s="60"/>
      <c r="L42"/>
      <c r="M42"/>
      <c r="T42" s="60"/>
    </row>
    <row r="43" spans="10:20">
      <c r="J43" s="60"/>
      <c r="K43" s="60"/>
      <c r="L43"/>
      <c r="M43"/>
      <c r="T43" s="60"/>
    </row>
    <row r="44" spans="10:20">
      <c r="J44" s="60"/>
      <c r="K44" s="60"/>
      <c r="L44"/>
      <c r="M44"/>
      <c r="T44" s="60"/>
    </row>
    <row r="45" spans="10:20">
      <c r="J45" s="60"/>
      <c r="K45" s="60"/>
      <c r="L45"/>
      <c r="M45"/>
      <c r="T45" s="60"/>
    </row>
    <row r="46" spans="10:20">
      <c r="J46" s="60"/>
      <c r="K46" s="60"/>
      <c r="L46"/>
      <c r="M46"/>
      <c r="T46" s="60"/>
    </row>
    <row r="47" spans="10:20">
      <c r="J47" s="60"/>
      <c r="K47" s="60"/>
      <c r="L47"/>
      <c r="M47"/>
      <c r="T47" s="60"/>
    </row>
    <row r="48" spans="10:20">
      <c r="J48" s="60"/>
      <c r="K48" s="60"/>
      <c r="L48"/>
      <c r="M48"/>
      <c r="T48" s="60"/>
    </row>
    <row r="49" spans="10:20">
      <c r="J49" s="60"/>
      <c r="K49" s="60"/>
      <c r="L49"/>
      <c r="M49"/>
      <c r="T49" s="60"/>
    </row>
    <row r="50" spans="10:20">
      <c r="J50" s="60"/>
      <c r="K50" s="60"/>
      <c r="L50"/>
      <c r="M50"/>
      <c r="T50" s="60"/>
    </row>
    <row r="51" spans="10:20">
      <c r="J51" s="60"/>
      <c r="K51" s="60"/>
      <c r="L51"/>
      <c r="M51"/>
      <c r="T51" s="60"/>
    </row>
    <row r="52" spans="10:20">
      <c r="J52" s="60"/>
      <c r="K52" s="60"/>
      <c r="L52"/>
      <c r="M52"/>
      <c r="T52" s="60"/>
    </row>
    <row r="53" spans="10:20">
      <c r="J53" s="60"/>
      <c r="K53" s="60"/>
      <c r="L53"/>
      <c r="M53"/>
      <c r="T53" s="60"/>
    </row>
    <row r="54" spans="10:20">
      <c r="J54" s="60"/>
      <c r="K54" s="60"/>
      <c r="L54"/>
      <c r="M54"/>
      <c r="T54" s="60"/>
    </row>
    <row r="55" spans="10:20">
      <c r="J55" s="60"/>
      <c r="K55" s="60"/>
      <c r="L55"/>
      <c r="M55"/>
      <c r="T55" s="60"/>
    </row>
    <row r="56" spans="10:20">
      <c r="J56" s="60"/>
      <c r="K56" s="60"/>
      <c r="L56"/>
      <c r="M56"/>
      <c r="T56" s="60"/>
    </row>
    <row r="57" spans="10:20">
      <c r="J57" s="60"/>
      <c r="K57" s="60"/>
      <c r="L57"/>
      <c r="M57"/>
      <c r="T57" s="60"/>
    </row>
    <row r="58" spans="10:20">
      <c r="J58" s="60"/>
      <c r="K58" s="60"/>
      <c r="L58"/>
      <c r="M58"/>
      <c r="T58" s="60"/>
    </row>
    <row r="59" spans="10:20">
      <c r="J59" s="60"/>
      <c r="K59" s="60"/>
      <c r="L59"/>
      <c r="M59"/>
      <c r="T59" s="60"/>
    </row>
    <row r="60" spans="10:20">
      <c r="J60" s="60"/>
      <c r="K60" s="60"/>
      <c r="L60"/>
      <c r="M60"/>
      <c r="T60" s="60"/>
    </row>
    <row r="61" spans="10:20">
      <c r="J61" s="60"/>
      <c r="K61" s="60"/>
      <c r="L61"/>
      <c r="M61"/>
      <c r="T61" s="60"/>
    </row>
    <row r="62" spans="10:20">
      <c r="J62" s="60"/>
      <c r="K62" s="60"/>
      <c r="L62"/>
      <c r="M62"/>
      <c r="T62" s="60"/>
    </row>
    <row r="63" spans="10:20">
      <c r="J63" s="60"/>
      <c r="K63" s="60"/>
      <c r="L63"/>
      <c r="M63"/>
      <c r="T63" s="60"/>
    </row>
    <row r="64" spans="10:20">
      <c r="J64" s="60"/>
      <c r="K64" s="60"/>
      <c r="L64"/>
      <c r="M64"/>
      <c r="T64" s="60"/>
    </row>
    <row r="65" spans="10:20">
      <c r="J65" s="60"/>
      <c r="K65" s="60"/>
      <c r="L65"/>
      <c r="M65"/>
      <c r="T65" s="60"/>
    </row>
    <row r="66" spans="10:20">
      <c r="J66" s="60"/>
      <c r="K66" s="60"/>
      <c r="L66"/>
      <c r="M66"/>
      <c r="T66" s="60"/>
    </row>
    <row r="67" spans="10:20">
      <c r="J67" s="60"/>
      <c r="K67" s="60"/>
      <c r="L67"/>
      <c r="M67"/>
      <c r="T67" s="60"/>
    </row>
    <row r="68" spans="10:20">
      <c r="J68" s="60"/>
      <c r="K68" s="60"/>
      <c r="L68"/>
      <c r="M68"/>
      <c r="T68" s="60"/>
    </row>
    <row r="69" spans="10:20">
      <c r="J69" s="60"/>
      <c r="K69" s="60"/>
      <c r="L69"/>
      <c r="M69"/>
      <c r="T69" s="60"/>
    </row>
    <row r="70" spans="10:20">
      <c r="J70" s="60"/>
      <c r="K70" s="60"/>
      <c r="L70"/>
      <c r="M70"/>
      <c r="T70" s="60"/>
    </row>
    <row r="71" spans="10:20">
      <c r="J71" s="60"/>
      <c r="K71" s="60"/>
      <c r="L71"/>
      <c r="M71"/>
      <c r="T71" s="60"/>
    </row>
    <row r="72" spans="10:20">
      <c r="J72" s="60"/>
      <c r="K72" s="60"/>
      <c r="L72"/>
      <c r="M72"/>
      <c r="T72" s="60"/>
    </row>
    <row r="73" spans="10:20">
      <c r="J73" s="60"/>
      <c r="K73" s="60"/>
      <c r="L73"/>
      <c r="M73"/>
      <c r="T73" s="60"/>
    </row>
    <row r="74" spans="10:20">
      <c r="J74" s="60"/>
      <c r="K74" s="60"/>
      <c r="L74"/>
      <c r="M74"/>
      <c r="T74" s="60"/>
    </row>
    <row r="75" spans="10:20">
      <c r="J75" s="60"/>
      <c r="K75" s="60"/>
      <c r="L75"/>
      <c r="M75"/>
      <c r="T75" s="60"/>
    </row>
    <row r="76" spans="10:20">
      <c r="J76" s="60"/>
      <c r="K76" s="60"/>
      <c r="L76"/>
      <c r="M76"/>
      <c r="T76" s="60"/>
    </row>
    <row r="77" spans="10:20">
      <c r="J77" s="60"/>
      <c r="K77" s="60"/>
      <c r="L77"/>
      <c r="M77"/>
      <c r="T77" s="60"/>
    </row>
    <row r="78" spans="10:20">
      <c r="J78" s="60"/>
      <c r="K78" s="60"/>
      <c r="L78"/>
      <c r="M78"/>
      <c r="T78" s="60"/>
    </row>
    <row r="79" spans="10:20">
      <c r="J79" s="60"/>
      <c r="K79" s="60"/>
      <c r="L79"/>
      <c r="M79"/>
      <c r="T79" s="60"/>
    </row>
    <row r="80" spans="10:20">
      <c r="J80" s="60"/>
      <c r="K80" s="60"/>
      <c r="L80"/>
      <c r="M80"/>
      <c r="T80" s="60"/>
    </row>
    <row r="81" spans="10:20">
      <c r="J81" s="60"/>
      <c r="K81" s="60"/>
      <c r="L81"/>
      <c r="M81"/>
      <c r="T81" s="60"/>
    </row>
    <row r="82" spans="10:20">
      <c r="J82" s="60"/>
      <c r="K82" s="60"/>
      <c r="L82"/>
      <c r="M82"/>
      <c r="T82" s="60"/>
    </row>
    <row r="83" spans="10:20">
      <c r="J83" s="60"/>
      <c r="K83" s="60"/>
      <c r="L83"/>
      <c r="M83"/>
      <c r="T83" s="60"/>
    </row>
    <row r="84" spans="10:20">
      <c r="J84" s="60"/>
      <c r="K84" s="60"/>
      <c r="L84"/>
      <c r="M84"/>
      <c r="T84" s="60"/>
    </row>
    <row r="85" spans="10:20">
      <c r="J85" s="60"/>
      <c r="K85" s="60"/>
      <c r="L85"/>
      <c r="M85"/>
      <c r="T85" s="60"/>
    </row>
    <row r="86" spans="10:20">
      <c r="J86" s="60"/>
      <c r="K86" s="60"/>
      <c r="L86"/>
      <c r="M86"/>
      <c r="T86" s="60"/>
    </row>
    <row r="87" spans="10:20">
      <c r="J87" s="60"/>
      <c r="K87" s="60"/>
      <c r="L87"/>
      <c r="M87"/>
      <c r="T87" s="60"/>
    </row>
    <row r="88" spans="10:20">
      <c r="J88" s="60"/>
      <c r="K88" s="60"/>
      <c r="L88"/>
      <c r="M88"/>
      <c r="T88" s="60"/>
    </row>
    <row r="89" spans="10:20">
      <c r="J89" s="60"/>
      <c r="K89" s="60"/>
      <c r="L89"/>
      <c r="M89"/>
      <c r="T89" s="60"/>
    </row>
    <row r="90" spans="10:20">
      <c r="J90" s="60"/>
      <c r="K90" s="60"/>
      <c r="L90"/>
      <c r="M90"/>
      <c r="T90" s="60"/>
    </row>
    <row r="91" spans="10:20">
      <c r="J91" s="60"/>
      <c r="K91" s="60"/>
      <c r="L91"/>
      <c r="M91"/>
      <c r="T91" s="60"/>
    </row>
    <row r="92" spans="10:21">
      <c r="J92" s="60"/>
      <c r="K92" s="60"/>
      <c r="L92"/>
      <c r="M92"/>
      <c r="T92" s="60"/>
      <c r="U92" t="s">
        <v>53</v>
      </c>
    </row>
    <row r="93" spans="10:20">
      <c r="J93" s="60"/>
      <c r="K93" s="60"/>
      <c r="L93"/>
      <c r="M93"/>
      <c r="T93" s="60"/>
    </row>
    <row r="94" spans="10:20">
      <c r="J94" s="60"/>
      <c r="K94" s="60"/>
      <c r="L94"/>
      <c r="M94"/>
      <c r="T94" s="60"/>
    </row>
    <row r="95" spans="10:20">
      <c r="J95" s="60"/>
      <c r="K95" s="60"/>
      <c r="L95"/>
      <c r="M95"/>
      <c r="T95" s="60"/>
    </row>
    <row r="96" spans="10:20">
      <c r="J96" s="60"/>
      <c r="K96" s="60"/>
      <c r="L96"/>
      <c r="M96"/>
      <c r="T96" s="60"/>
    </row>
    <row r="97" spans="10:20">
      <c r="J97" s="60"/>
      <c r="K97" s="60"/>
      <c r="L97"/>
      <c r="M97"/>
      <c r="T97" s="60"/>
    </row>
    <row r="98" spans="10:20">
      <c r="J98" s="60"/>
      <c r="K98" s="60"/>
      <c r="L98"/>
      <c r="M98"/>
      <c r="T98" s="60"/>
    </row>
    <row r="99" spans="10:20">
      <c r="J99" s="60"/>
      <c r="K99" s="60"/>
      <c r="L99"/>
      <c r="M99"/>
      <c r="T99" s="60"/>
    </row>
    <row r="100" spans="10:20">
      <c r="J100" s="60"/>
      <c r="K100" s="60"/>
      <c r="L100"/>
      <c r="M100"/>
      <c r="T100" s="60"/>
    </row>
    <row r="101" spans="10:20">
      <c r="J101" s="60"/>
      <c r="K101" s="60"/>
      <c r="L101"/>
      <c r="M101"/>
      <c r="T101" s="60"/>
    </row>
    <row r="102" spans="10:20">
      <c r="J102" s="60"/>
      <c r="K102" s="60"/>
      <c r="L102"/>
      <c r="M102"/>
      <c r="T102" s="60"/>
    </row>
    <row r="103" spans="10:20">
      <c r="J103" s="60"/>
      <c r="K103" s="60"/>
      <c r="L103"/>
      <c r="M103"/>
      <c r="T103" s="60"/>
    </row>
    <row r="104" spans="10:20">
      <c r="J104" s="60"/>
      <c r="K104" s="60"/>
      <c r="L104"/>
      <c r="M104"/>
      <c r="T104" s="60"/>
    </row>
    <row r="105" s="59" customFormat="1" ht="33" customHeight="1" spans="1:20">
      <c r="A105" s="60"/>
      <c r="B105"/>
      <c r="C105"/>
      <c r="D105"/>
      <c r="E105"/>
      <c r="F105"/>
      <c r="G105"/>
      <c r="H105"/>
      <c r="I105"/>
      <c r="J105" s="60"/>
      <c r="K105" s="60"/>
      <c r="L105"/>
      <c r="M105"/>
      <c r="N105"/>
      <c r="O105"/>
      <c r="P105"/>
      <c r="Q105"/>
      <c r="R105"/>
      <c r="S105"/>
      <c r="T105" s="60"/>
    </row>
    <row r="106" s="59" customFormat="1" spans="1:20">
      <c r="A106" s="60"/>
      <c r="B106"/>
      <c r="C106"/>
      <c r="D106"/>
      <c r="E106"/>
      <c r="F106"/>
      <c r="G106"/>
      <c r="H106"/>
      <c r="I106"/>
      <c r="J106" s="60"/>
      <c r="K106" s="60"/>
      <c r="L106"/>
      <c r="M106"/>
      <c r="N106"/>
      <c r="O106"/>
      <c r="P106"/>
      <c r="Q106"/>
      <c r="R106"/>
      <c r="S106"/>
      <c r="T106" s="60"/>
    </row>
    <row r="107" spans="10:20">
      <c r="J107" s="60"/>
      <c r="K107" s="60"/>
      <c r="L107"/>
      <c r="M107"/>
      <c r="T107" s="60"/>
    </row>
    <row r="108" spans="10:20">
      <c r="J108" s="60"/>
      <c r="K108" s="60"/>
      <c r="L108"/>
      <c r="M108"/>
      <c r="T108" s="60"/>
    </row>
    <row r="109" spans="10:20">
      <c r="J109" s="60"/>
      <c r="K109" s="60"/>
      <c r="L109"/>
      <c r="M109"/>
      <c r="T109" s="60"/>
    </row>
    <row r="110" spans="10:20">
      <c r="J110" s="60"/>
      <c r="K110" s="60"/>
      <c r="L110"/>
      <c r="M110"/>
      <c r="T110" s="60"/>
    </row>
    <row r="111" spans="10:20">
      <c r="J111" s="60"/>
      <c r="K111" s="60"/>
      <c r="L111"/>
      <c r="M111"/>
      <c r="T111" s="60"/>
    </row>
    <row r="112" spans="10:20">
      <c r="J112" s="60"/>
      <c r="K112" s="60"/>
      <c r="L112"/>
      <c r="M112"/>
      <c r="T112" s="60"/>
    </row>
    <row r="113" spans="10:20">
      <c r="J113" s="60"/>
      <c r="K113" s="60"/>
      <c r="L113"/>
      <c r="M113"/>
      <c r="T113" s="60"/>
    </row>
    <row r="114" spans="12:13">
      <c r="L114"/>
      <c r="M114"/>
    </row>
    <row r="115" spans="12:13">
      <c r="L115"/>
      <c r="M115"/>
    </row>
    <row r="116" spans="12:13">
      <c r="L116"/>
      <c r="M116"/>
    </row>
    <row r="117" spans="12:13">
      <c r="L117"/>
      <c r="M117"/>
    </row>
    <row r="118" spans="12:13">
      <c r="L118"/>
      <c r="M118"/>
    </row>
    <row r="119" spans="12:13">
      <c r="L119"/>
      <c r="M119"/>
    </row>
    <row r="120" spans="12:13">
      <c r="L120"/>
      <c r="M120"/>
    </row>
    <row r="121" spans="12:13">
      <c r="L121"/>
      <c r="M121"/>
    </row>
    <row r="122" spans="12:13">
      <c r="L122"/>
      <c r="M122"/>
    </row>
    <row r="123" spans="12:13">
      <c r="L123"/>
      <c r="M123"/>
    </row>
    <row r="124" spans="12:13">
      <c r="L124"/>
      <c r="M124"/>
    </row>
    <row r="125" spans="12:13">
      <c r="L125"/>
      <c r="M125"/>
    </row>
    <row r="126" spans="12:13">
      <c r="L126"/>
      <c r="M126"/>
    </row>
    <row r="127" spans="12:13">
      <c r="L127"/>
      <c r="M127"/>
    </row>
    <row r="128" spans="12:13">
      <c r="L128"/>
      <c r="M128"/>
    </row>
    <row r="129" spans="12:13">
      <c r="L129"/>
      <c r="M129"/>
    </row>
    <row r="130" spans="12:13">
      <c r="L130"/>
      <c r="M130"/>
    </row>
    <row r="131" spans="12:13">
      <c r="L131"/>
      <c r="M131"/>
    </row>
    <row r="132" spans="12:13">
      <c r="L132"/>
      <c r="M132"/>
    </row>
    <row r="133" spans="12:13">
      <c r="L133"/>
      <c r="M133"/>
    </row>
    <row r="134" spans="12:13">
      <c r="L134"/>
      <c r="M134"/>
    </row>
    <row r="135" spans="12:13">
      <c r="L135"/>
      <c r="M135"/>
    </row>
    <row r="136" spans="12:13">
      <c r="L136"/>
      <c r="M136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C8" sqref="C8"/>
    </sheetView>
  </sheetViews>
  <sheetFormatPr defaultColWidth="9" defaultRowHeight="14.25" outlineLevelCol="4"/>
  <cols>
    <col min="1" max="1" width="21.5666666666667" customWidth="1"/>
    <col min="2" max="2" width="13.5" customWidth="1"/>
    <col min="3" max="3" width="23.5666666666667" customWidth="1"/>
  </cols>
  <sheetData>
    <row r="1" ht="53" customHeight="1" spans="1:5">
      <c r="A1" s="48" t="s">
        <v>54</v>
      </c>
      <c r="B1" s="49"/>
      <c r="C1" s="49"/>
      <c r="D1" s="50"/>
      <c r="E1" s="50"/>
    </row>
    <row r="2" ht="15.75" spans="1:3">
      <c r="A2" s="10" t="s">
        <v>55</v>
      </c>
      <c r="B2" s="10"/>
      <c r="C2" s="10"/>
    </row>
    <row r="4" ht="9" customHeight="1" spans="1:5">
      <c r="A4" s="51"/>
      <c r="B4" s="52"/>
      <c r="C4" s="52"/>
      <c r="D4" s="51"/>
      <c r="E4" s="51"/>
    </row>
    <row r="5" spans="1:3">
      <c r="A5" s="53" t="s">
        <v>56</v>
      </c>
      <c r="B5" s="53" t="s">
        <v>57</v>
      </c>
      <c r="C5" s="53" t="s">
        <v>58</v>
      </c>
    </row>
    <row r="6" ht="18.75" spans="1:5">
      <c r="A6" s="54" t="s">
        <v>59</v>
      </c>
      <c r="B6" s="54" t="s">
        <v>59</v>
      </c>
      <c r="C6" s="55" t="s">
        <v>60</v>
      </c>
      <c r="D6" s="51"/>
      <c r="E6" s="51"/>
    </row>
    <row r="7" ht="24" customHeight="1" spans="1:3">
      <c r="A7" s="56" t="s">
        <v>61</v>
      </c>
      <c r="B7" s="56" t="s">
        <v>62</v>
      </c>
      <c r="C7" s="56" t="s">
        <v>63</v>
      </c>
    </row>
    <row r="8" ht="26" customHeight="1" spans="1:5">
      <c r="A8" s="57">
        <v>0.8042</v>
      </c>
      <c r="B8" s="57">
        <v>0.2135</v>
      </c>
      <c r="C8" s="58">
        <f>0.5*A8+0.5*B8</f>
        <v>0.50885</v>
      </c>
      <c r="D8" s="51"/>
      <c r="E8" s="51"/>
    </row>
    <row r="9" ht="30" customHeight="1"/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opLeftCell="A16" workbookViewId="0">
      <selection activeCell="E46" sqref="E46"/>
    </sheetView>
  </sheetViews>
  <sheetFormatPr defaultColWidth="9" defaultRowHeight="15.75"/>
  <cols>
    <col min="1" max="1" width="17.8166666666667" style="10" customWidth="1"/>
    <col min="2" max="2" width="12.5666666666667" style="10"/>
    <col min="3" max="3" width="11.0666666666667" style="10"/>
    <col min="4" max="4" width="12.0666666666667" style="10" customWidth="1"/>
    <col min="5" max="5" width="11.0666666666667" style="10" customWidth="1"/>
    <col min="6" max="6" width="9" style="10"/>
    <col min="7" max="7" width="11.5" style="10" customWidth="1"/>
    <col min="8" max="8" width="12.5666666666667" style="10"/>
    <col min="9" max="9" width="11.75" style="10" customWidth="1"/>
    <col min="10" max="10" width="10.5" style="10" customWidth="1"/>
    <col min="11" max="11" width="14" style="10" customWidth="1"/>
    <col min="12" max="12" width="9.81666666666667" style="10"/>
    <col min="13" max="16" width="9" style="10"/>
    <col min="17" max="17" width="11.5" style="10"/>
    <col min="18" max="18" width="9.31666666666667" style="10"/>
    <col min="19" max="16384" width="9" style="10"/>
  </cols>
  <sheetData>
    <row r="1" ht="31.5" spans="1:2">
      <c r="A1" s="11" t="s">
        <v>64</v>
      </c>
      <c r="B1" s="12" t="s">
        <v>65</v>
      </c>
    </row>
    <row r="2" spans="1:2">
      <c r="A2" s="13" t="s">
        <v>66</v>
      </c>
      <c r="B2" s="14">
        <f>'Monitor data &amp; calculation'!B14</f>
        <v>124550</v>
      </c>
    </row>
    <row r="3" spans="1:2">
      <c r="A3" s="13" t="s">
        <v>67</v>
      </c>
      <c r="B3" s="14">
        <f>SUM('Monitor data &amp; calculation'!B15:B16)</f>
        <v>21434</v>
      </c>
    </row>
    <row r="4" spans="1:2">
      <c r="A4" s="15"/>
      <c r="B4" s="14"/>
    </row>
    <row r="5" spans="1:2">
      <c r="A5" s="15"/>
      <c r="B5" s="14"/>
    </row>
    <row r="6" spans="1:2">
      <c r="A6" s="15"/>
      <c r="B6" s="14"/>
    </row>
    <row r="7" spans="1:2">
      <c r="A7" s="15"/>
      <c r="B7" s="14"/>
    </row>
    <row r="8" spans="1:2">
      <c r="A8" s="15"/>
      <c r="B8" s="14"/>
    </row>
    <row r="9" spans="1:2">
      <c r="A9" s="15"/>
      <c r="B9" s="14"/>
    </row>
    <row r="14" ht="15" spans="1:5">
      <c r="A14" s="11" t="s">
        <v>64</v>
      </c>
      <c r="B14" s="16" t="s">
        <v>68</v>
      </c>
      <c r="C14" s="16" t="s">
        <v>69</v>
      </c>
      <c r="D14" s="17"/>
      <c r="E14" s="17"/>
    </row>
    <row r="15" ht="15" spans="1:12">
      <c r="A15" s="13" t="s">
        <v>66</v>
      </c>
      <c r="B15" s="18">
        <f>ROUNDDOWN('Monitor data &amp; calculation'!L14,0)</f>
        <v>52180</v>
      </c>
      <c r="C15" s="18">
        <f>ROUNDDOWN('Monitor data &amp; calculation'!M14,0)</f>
        <v>4386</v>
      </c>
      <c r="D15" s="19"/>
      <c r="E15" s="20"/>
      <c r="F15" s="20"/>
      <c r="G15" s="20"/>
      <c r="H15" s="20"/>
      <c r="I15" s="20"/>
      <c r="J15" s="20"/>
      <c r="K15" s="20"/>
      <c r="L15" s="20"/>
    </row>
    <row r="16" ht="15" spans="1:12">
      <c r="A16" s="13" t="s">
        <v>67</v>
      </c>
      <c r="B16" s="18">
        <f>ROUNDDOWN(SUM('Monitor data &amp; calculation'!L15:L16),0)</f>
        <v>8239</v>
      </c>
      <c r="C16" s="18">
        <f>ROUNDDOWN(SUM('Monitor data &amp; calculation'!M15:M16),0)</f>
        <v>453</v>
      </c>
      <c r="D16" s="19"/>
      <c r="E16" s="20"/>
      <c r="F16" s="20"/>
      <c r="G16" s="20"/>
      <c r="H16" s="20"/>
      <c r="I16" s="20"/>
      <c r="J16" s="20"/>
      <c r="K16" s="20"/>
      <c r="L16" s="20"/>
    </row>
    <row r="17" ht="15" spans="1:12">
      <c r="A17" s="13" t="s">
        <v>70</v>
      </c>
      <c r="B17" s="18">
        <f>ROUNDDOWN(SUM(B15:B16),0)</f>
        <v>60419</v>
      </c>
      <c r="C17" s="18">
        <f>ROUNDDOWN('Monitor data &amp; calculation'!M17,0)</f>
        <v>4839</v>
      </c>
      <c r="D17" s="19"/>
      <c r="E17" s="20"/>
      <c r="F17" s="20"/>
      <c r="G17" s="20"/>
      <c r="H17" s="20"/>
      <c r="I17" s="20"/>
      <c r="J17" s="20"/>
      <c r="K17" s="20"/>
      <c r="L17" s="20"/>
    </row>
    <row r="18" ht="15" spans="1:12">
      <c r="A18" s="13"/>
      <c r="B18" s="18"/>
      <c r="C18" s="18"/>
      <c r="D18" s="19"/>
      <c r="E18" s="20"/>
      <c r="F18" s="20"/>
      <c r="G18" s="20"/>
      <c r="H18" s="20"/>
      <c r="I18" s="20"/>
      <c r="J18" s="20"/>
      <c r="K18" s="20"/>
      <c r="L18" s="20"/>
    </row>
    <row r="19" ht="15" spans="1:12">
      <c r="A19" s="13"/>
      <c r="B19" s="18"/>
      <c r="C19" s="18"/>
      <c r="D19" s="19"/>
      <c r="E19" s="20"/>
      <c r="F19" s="20"/>
      <c r="G19" s="20"/>
      <c r="H19" s="20"/>
      <c r="I19" s="20"/>
      <c r="J19" s="20"/>
      <c r="K19" s="20"/>
      <c r="L19" s="20"/>
    </row>
    <row r="20" ht="15" spans="1:12">
      <c r="A20" s="13"/>
      <c r="B20" s="18"/>
      <c r="C20" s="18"/>
      <c r="D20" s="19"/>
      <c r="E20" s="20"/>
      <c r="F20" s="20"/>
      <c r="G20" s="20"/>
      <c r="H20" s="20"/>
      <c r="I20" s="20"/>
      <c r="J20" s="20"/>
      <c r="K20" s="20"/>
      <c r="L20" s="20"/>
    </row>
    <row r="21" ht="15" spans="1:12">
      <c r="A21" s="13"/>
      <c r="B21" s="18"/>
      <c r="C21" s="18"/>
      <c r="D21" s="19"/>
      <c r="E21" s="20"/>
      <c r="F21" s="20"/>
      <c r="G21" s="20"/>
      <c r="H21" s="20"/>
      <c r="I21" s="20"/>
      <c r="J21" s="20"/>
      <c r="K21" s="20"/>
      <c r="L21" s="20"/>
    </row>
    <row r="22" ht="15" spans="1:12">
      <c r="A22" s="13"/>
      <c r="B22" s="18"/>
      <c r="C22" s="18"/>
      <c r="D22" s="19"/>
      <c r="E22" s="20"/>
      <c r="F22" s="20"/>
      <c r="G22" s="20"/>
      <c r="H22" s="20"/>
      <c r="I22" s="20"/>
      <c r="J22" s="20"/>
      <c r="K22" s="20"/>
      <c r="L22" s="20"/>
    </row>
    <row r="23" spans="1:12">
      <c r="A23" s="17"/>
      <c r="D23" s="17"/>
      <c r="E23" s="17"/>
      <c r="G23" s="21"/>
      <c r="H23" s="21"/>
      <c r="I23" s="21"/>
      <c r="J23" s="20"/>
      <c r="K23" s="45"/>
      <c r="L23" s="20"/>
    </row>
    <row r="25" ht="15" spans="1:5">
      <c r="A25" s="17"/>
      <c r="B25" s="17"/>
      <c r="C25" s="17"/>
      <c r="D25" s="17"/>
      <c r="E25" s="17"/>
    </row>
    <row r="26" ht="15" spans="1:5">
      <c r="A26" s="11" t="s">
        <v>64</v>
      </c>
      <c r="B26" s="22" t="s">
        <v>71</v>
      </c>
      <c r="C26" s="22" t="s">
        <v>72</v>
      </c>
      <c r="D26" s="22" t="s">
        <v>73</v>
      </c>
      <c r="E26" s="17"/>
    </row>
    <row r="27" ht="15" spans="1:5">
      <c r="A27" s="13" t="s">
        <v>66</v>
      </c>
      <c r="B27" s="23">
        <f>ROUNDDOWN(B15+C15,0)</f>
        <v>56566</v>
      </c>
      <c r="C27" s="24">
        <f>ROUNDUP('Monitor data &amp; calculation'!R14,0)</f>
        <v>2</v>
      </c>
      <c r="D27" s="23">
        <f>ROUNDDOWN(B27-C27,0)</f>
        <v>56564</v>
      </c>
      <c r="E27" s="25"/>
    </row>
    <row r="28" ht="15" spans="1:5">
      <c r="A28" s="13" t="s">
        <v>67</v>
      </c>
      <c r="B28" s="23">
        <f>ROUNDDOWN(B16+C16,0)</f>
        <v>8692</v>
      </c>
      <c r="C28" s="24">
        <f>ROUNDUP('Monitor data &amp; calculation'!R15,0)</f>
        <v>0</v>
      </c>
      <c r="D28" s="23">
        <f>ROUNDDOWN(B28-C28,0)</f>
        <v>8692</v>
      </c>
      <c r="E28" s="25"/>
    </row>
    <row r="29" ht="15" spans="1:5">
      <c r="A29" s="13" t="s">
        <v>70</v>
      </c>
      <c r="B29" s="23">
        <f>SUM(B27:B28)</f>
        <v>65258</v>
      </c>
      <c r="C29" s="23">
        <f>SUM(C27:C28)</f>
        <v>2</v>
      </c>
      <c r="D29" s="23">
        <f>SUM(D27:D28)</f>
        <v>65256</v>
      </c>
      <c r="E29" s="25"/>
    </row>
    <row r="30" ht="15" spans="1:5">
      <c r="A30" s="13"/>
      <c r="B30" s="23"/>
      <c r="C30" s="13"/>
      <c r="D30" s="23"/>
      <c r="E30" s="25"/>
    </row>
    <row r="31" ht="15" spans="1:5">
      <c r="A31" s="13"/>
      <c r="B31" s="23"/>
      <c r="C31" s="13"/>
      <c r="D31" s="23"/>
      <c r="E31" s="25"/>
    </row>
    <row r="32" ht="15" spans="1:7">
      <c r="A32" s="13"/>
      <c r="B32" s="23"/>
      <c r="C32" s="13"/>
      <c r="D32" s="23"/>
      <c r="E32" s="25"/>
      <c r="G32" s="26"/>
    </row>
    <row r="33" ht="15" spans="1:5">
      <c r="A33" s="13"/>
      <c r="B33" s="23"/>
      <c r="C33" s="13"/>
      <c r="D33" s="23"/>
      <c r="E33" s="25"/>
    </row>
    <row r="34" ht="15" spans="1:5">
      <c r="A34" s="13"/>
      <c r="B34" s="23"/>
      <c r="C34" s="13"/>
      <c r="D34" s="23"/>
      <c r="E34" s="25"/>
    </row>
    <row r="35" spans="5:5">
      <c r="E35" s="25"/>
    </row>
    <row r="36" ht="15" spans="1:5">
      <c r="A36" s="17"/>
      <c r="B36" s="17"/>
      <c r="C36" s="17"/>
      <c r="D36" s="17"/>
      <c r="E36" s="17"/>
    </row>
    <row r="37" ht="60" spans="1:9">
      <c r="A37" s="11" t="s">
        <v>64</v>
      </c>
      <c r="B37" s="11" t="s">
        <v>74</v>
      </c>
      <c r="C37" s="11" t="s">
        <v>75</v>
      </c>
      <c r="D37" s="11" t="s">
        <v>76</v>
      </c>
      <c r="E37" s="11" t="s">
        <v>77</v>
      </c>
      <c r="F37" s="11" t="s">
        <v>78</v>
      </c>
      <c r="G37" s="11" t="s">
        <v>79</v>
      </c>
      <c r="H37" s="27"/>
      <c r="I37" s="27"/>
    </row>
    <row r="38" spans="1:10">
      <c r="A38" s="13" t="s">
        <v>66</v>
      </c>
      <c r="B38" s="28">
        <f>C27</f>
        <v>2</v>
      </c>
      <c r="C38" s="23">
        <f>ROUNDDOWN((B15+C15),0)</f>
        <v>56566</v>
      </c>
      <c r="D38" s="13">
        <v>0</v>
      </c>
      <c r="E38" s="23">
        <f>ROUNDDOWN((C38-B38-D38),0)</f>
        <v>56564</v>
      </c>
      <c r="F38" s="23">
        <v>57534</v>
      </c>
      <c r="G38" s="29">
        <v>0.0169</v>
      </c>
      <c r="I38" s="46"/>
      <c r="J38" s="46"/>
    </row>
    <row r="39" spans="1:10">
      <c r="A39" s="13" t="s">
        <v>67</v>
      </c>
      <c r="B39" s="13">
        <f>C28</f>
        <v>0</v>
      </c>
      <c r="C39" s="23">
        <f>B28</f>
        <v>8692</v>
      </c>
      <c r="D39" s="13">
        <v>0</v>
      </c>
      <c r="E39" s="23">
        <f>D28</f>
        <v>8692</v>
      </c>
      <c r="F39" s="23">
        <f>71152*59/365</f>
        <v>11501.2821917808</v>
      </c>
      <c r="G39" s="29">
        <v>0.2443</v>
      </c>
      <c r="I39" s="46"/>
      <c r="J39" s="47"/>
    </row>
    <row r="40" spans="1:10">
      <c r="A40" s="13"/>
      <c r="B40" s="13"/>
      <c r="C40" s="23"/>
      <c r="D40" s="13"/>
      <c r="E40" s="23"/>
      <c r="F40" s="23"/>
      <c r="G40" s="23"/>
      <c r="I40" s="46"/>
      <c r="J40" s="47"/>
    </row>
    <row r="41" spans="1:10">
      <c r="A41" s="13"/>
      <c r="B41" s="13"/>
      <c r="C41" s="23"/>
      <c r="D41" s="13"/>
      <c r="E41" s="23"/>
      <c r="F41" s="23"/>
      <c r="G41" s="23"/>
      <c r="I41" s="46"/>
      <c r="J41" s="47"/>
    </row>
    <row r="42" spans="1:10">
      <c r="A42" s="13"/>
      <c r="B42" s="13"/>
      <c r="C42" s="23"/>
      <c r="D42" s="13"/>
      <c r="E42" s="23"/>
      <c r="F42" s="23"/>
      <c r="G42" s="23"/>
      <c r="I42" s="46"/>
      <c r="J42" s="47"/>
    </row>
    <row r="43" spans="1:10">
      <c r="A43" s="13"/>
      <c r="B43" s="13"/>
      <c r="C43" s="23"/>
      <c r="D43" s="13"/>
      <c r="E43" s="23"/>
      <c r="F43" s="23"/>
      <c r="G43" s="23"/>
      <c r="I43" s="46"/>
      <c r="J43" s="47"/>
    </row>
    <row r="44" spans="1:10">
      <c r="A44" s="13"/>
      <c r="B44" s="13"/>
      <c r="C44" s="23"/>
      <c r="D44" s="13"/>
      <c r="E44" s="23"/>
      <c r="F44" s="23"/>
      <c r="G44" s="23"/>
      <c r="I44" s="46"/>
      <c r="J44" s="47"/>
    </row>
    <row r="45" spans="1:10">
      <c r="A45" s="13"/>
      <c r="B45" s="13"/>
      <c r="C45" s="23"/>
      <c r="D45" s="13"/>
      <c r="E45" s="23"/>
      <c r="F45" s="23"/>
      <c r="G45" s="23"/>
      <c r="I45" s="46"/>
      <c r="J45" s="47"/>
    </row>
    <row r="46" spans="1:9">
      <c r="A46" s="30" t="s">
        <v>80</v>
      </c>
      <c r="B46" s="31"/>
      <c r="C46" s="31"/>
      <c r="D46" s="32"/>
      <c r="E46" s="33">
        <f>SUM(E38:E45)</f>
        <v>65256</v>
      </c>
      <c r="F46" s="34">
        <f>SUM(F38:F45)</f>
        <v>69035.2821917808</v>
      </c>
      <c r="G46" s="35">
        <f>1-E46/F46</f>
        <v>0.0547442129849187</v>
      </c>
      <c r="I46" s="46"/>
    </row>
    <row r="47" spans="1:9">
      <c r="A47" s="36" t="s">
        <v>81</v>
      </c>
      <c r="B47" s="37"/>
      <c r="C47" s="37"/>
      <c r="D47" s="37"/>
      <c r="E47" s="34"/>
      <c r="F47" s="34"/>
      <c r="G47" s="34"/>
      <c r="I47" s="25"/>
    </row>
    <row r="51" ht="63" spans="1:6">
      <c r="A51" s="12" t="s">
        <v>64</v>
      </c>
      <c r="B51" s="12" t="s">
        <v>82</v>
      </c>
      <c r="C51" s="12" t="s">
        <v>83</v>
      </c>
      <c r="D51" s="12" t="s">
        <v>84</v>
      </c>
      <c r="E51" s="12" t="s">
        <v>85</v>
      </c>
      <c r="F51" s="12" t="s">
        <v>86</v>
      </c>
    </row>
    <row r="52" spans="1:6">
      <c r="A52" s="13" t="s">
        <v>87</v>
      </c>
      <c r="B52" s="38">
        <f>'Monitor data &amp; calculation'!H14/1000</f>
        <v>8368.65</v>
      </c>
      <c r="C52" s="39">
        <f>'Monitor data &amp; calculation'!J14</f>
        <v>2588.32523954995</v>
      </c>
      <c r="D52" s="39">
        <f>'Monitor data &amp; calculation'!E14</f>
        <v>3610944.80964</v>
      </c>
      <c r="E52" s="39">
        <f>'Monitor data &amp; calculation'!I14</f>
        <v>17927</v>
      </c>
      <c r="F52" s="38">
        <f>C52*0.2</f>
        <v>517.66504790999</v>
      </c>
    </row>
    <row r="53" spans="1:6">
      <c r="A53" s="13" t="s">
        <v>67</v>
      </c>
      <c r="B53" s="38">
        <f>SUM('Monitor data &amp; calculation'!F15:F16)/1000</f>
        <v>864.56</v>
      </c>
      <c r="C53" s="39">
        <f>SUM('Monitor data &amp; calculation'!J15:J16)</f>
        <v>408.711589888</v>
      </c>
      <c r="D53" s="39">
        <f>SUM('Monitor data &amp; calculation'!E15:E16)/1000</f>
        <v>570.18916</v>
      </c>
      <c r="E53" s="39">
        <f>SUM('Monitor data &amp; calculation'!I15:I16)</f>
        <v>3402.5</v>
      </c>
      <c r="F53" s="38">
        <f>C53*0.2</f>
        <v>81.7423179776</v>
      </c>
    </row>
    <row r="54" spans="1:6">
      <c r="A54" s="13"/>
      <c r="B54" s="39"/>
      <c r="C54" s="39"/>
      <c r="D54" s="39"/>
      <c r="E54" s="39"/>
      <c r="F54" s="39"/>
    </row>
    <row r="55" spans="1:6">
      <c r="A55" s="13"/>
      <c r="B55" s="39"/>
      <c r="C55" s="39"/>
      <c r="D55" s="39"/>
      <c r="E55" s="39"/>
      <c r="F55" s="39"/>
    </row>
    <row r="56" spans="1:6">
      <c r="A56" s="13"/>
      <c r="B56" s="39"/>
      <c r="C56" s="39"/>
      <c r="D56" s="39"/>
      <c r="E56" s="39"/>
      <c r="F56" s="39"/>
    </row>
    <row r="57" spans="1:6">
      <c r="A57" s="13"/>
      <c r="B57" s="39"/>
      <c r="C57" s="39"/>
      <c r="D57" s="39"/>
      <c r="E57" s="39"/>
      <c r="F57" s="39"/>
    </row>
    <row r="58" spans="1:6">
      <c r="A58" s="13"/>
      <c r="B58" s="39"/>
      <c r="C58" s="39"/>
      <c r="D58" s="39"/>
      <c r="E58" s="39"/>
      <c r="F58" s="39"/>
    </row>
    <row r="59" spans="1:6">
      <c r="A59" s="13"/>
      <c r="B59" s="39"/>
      <c r="C59" s="39"/>
      <c r="D59" s="39"/>
      <c r="E59" s="39"/>
      <c r="F59" s="39"/>
    </row>
    <row r="60" ht="15" spans="1:6">
      <c r="A60" s="30" t="s">
        <v>80</v>
      </c>
      <c r="B60" s="40">
        <f t="shared" ref="B60:F60" si="0">SUM(B52:B59)</f>
        <v>9233.21</v>
      </c>
      <c r="C60" s="34">
        <f t="shared" si="0"/>
        <v>2997.03682943795</v>
      </c>
      <c r="D60" s="34">
        <f t="shared" si="0"/>
        <v>3611514.9988</v>
      </c>
      <c r="E60" s="34">
        <f t="shared" si="0"/>
        <v>21329.5</v>
      </c>
      <c r="F60" s="40">
        <f t="shared" si="0"/>
        <v>599.40736588759</v>
      </c>
    </row>
    <row r="61" spans="1:6">
      <c r="A61" s="36" t="s">
        <v>81</v>
      </c>
      <c r="B61" s="34"/>
      <c r="C61" s="37"/>
      <c r="D61" s="37"/>
      <c r="E61" s="34"/>
      <c r="F61" s="34"/>
    </row>
    <row r="62" spans="4:6">
      <c r="D62" s="10" t="s">
        <v>64</v>
      </c>
      <c r="E62" s="10" t="s">
        <v>88</v>
      </c>
      <c r="F62" s="10" t="s">
        <v>79</v>
      </c>
    </row>
    <row r="63" ht="47.25" spans="1:6">
      <c r="A63" s="15" t="s">
        <v>89</v>
      </c>
      <c r="B63" s="41"/>
      <c r="C63" s="41"/>
      <c r="D63" s="42">
        <f>ROUNDDOWN(E46,0)</f>
        <v>65256</v>
      </c>
      <c r="E63" s="43">
        <f>F46</f>
        <v>69035.2821917808</v>
      </c>
      <c r="F63" s="44">
        <f>1-D63/E63</f>
        <v>0.0547442129849187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C29" sqref="C29"/>
    </sheetView>
  </sheetViews>
  <sheetFormatPr defaultColWidth="9" defaultRowHeight="14.25" outlineLevelRow="4" outlineLevelCol="4"/>
  <cols>
    <col min="1" max="1" width="19.0666666666667" customWidth="1"/>
    <col min="2" max="2" width="20.3166666666667" customWidth="1"/>
    <col min="3" max="3" width="18.25" customWidth="1"/>
    <col min="4" max="4" width="36.0666666666667" customWidth="1"/>
  </cols>
  <sheetData>
    <row r="1" spans="1:5">
      <c r="A1" s="1" t="s">
        <v>90</v>
      </c>
      <c r="B1" s="1"/>
      <c r="C1" s="1"/>
      <c r="D1" s="1"/>
      <c r="E1" s="2"/>
    </row>
    <row r="2" spans="1:5">
      <c r="A2" s="2"/>
      <c r="B2" s="2"/>
      <c r="C2" s="2"/>
      <c r="D2" s="2"/>
      <c r="E2" s="2"/>
    </row>
    <row r="3" ht="15" spans="1:1">
      <c r="A3" s="3"/>
    </row>
    <row r="4" ht="55.05" customHeight="1" spans="1:4">
      <c r="A4" s="4" t="s">
        <v>91</v>
      </c>
      <c r="B4" s="5" t="s">
        <v>92</v>
      </c>
      <c r="C4" s="5" t="s">
        <v>93</v>
      </c>
      <c r="D4" s="5" t="s">
        <v>94</v>
      </c>
    </row>
    <row r="5" ht="29.25" spans="1:4">
      <c r="A5" s="6">
        <f>Cover!E11</f>
        <v>69035.2821917808</v>
      </c>
      <c r="B5" s="7">
        <f>'MR Emission Reduction'!E46</f>
        <v>65256</v>
      </c>
      <c r="C5" s="8">
        <f>(1-B5/A5)*100%</f>
        <v>0.0547442129849187</v>
      </c>
      <c r="D5" s="9" t="s">
        <v>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Cover</vt:lpstr>
      <vt:lpstr>Monitor data &amp; calculation</vt:lpstr>
      <vt:lpstr>Grid emission factor</vt:lpstr>
      <vt:lpstr>MR Emission Reduction</vt:lpstr>
      <vt:lpstr>Comparison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郑照宁 Zheng Zhaoning</cp:lastModifiedBy>
  <dcterms:created xsi:type="dcterms:W3CDTF">1996-12-17T01:32:00Z</dcterms:created>
  <cp:lastPrinted>2009-08-25T07:42:00Z</cp:lastPrinted>
  <dcterms:modified xsi:type="dcterms:W3CDTF">2023-07-03T13:38:01Z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777AC7CDB7144D58A3C1DA5A6CB14DFB_13</vt:lpwstr>
  </property>
  <property fmtid="{D5CDD505-2E9C-101B-9397-08002B2CF9AE}" pid="3" name="KSOProductBuildVer">
    <vt:lpwstr>2052-11.1.0.14309</vt:lpwstr>
  </property>
</Properties>
</file>