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date1904="1" codeName="ThisWorkbook" defaultThemeVersion="124226"/>
  <mc:AlternateContent xmlns:mc="http://schemas.openxmlformats.org/markup-compatibility/2006">
    <mc:Choice Requires="x15">
      <x15ac:absPath xmlns:x15ac="http://schemas.microsoft.com/office/spreadsheetml/2010/11/ac" url="Z:\Rozeran\Eglence I-II\2ND MR\Round I\"/>
    </mc:Choice>
  </mc:AlternateContent>
  <xr:revisionPtr revIDLastSave="0" documentId="8_{341E97CD-C4A1-48B7-930D-48DD2317DFDA}" xr6:coauthVersionLast="47" xr6:coauthVersionMax="47" xr10:uidLastSave="{00000000-0000-0000-0000-000000000000}"/>
  <bookViews>
    <workbookView xWindow="-120" yWindow="-120" windowWidth="29040" windowHeight="15720" tabRatio="500" xr2:uid="{00000000-000D-0000-FFFF-FFFF00000000}"/>
  </bookViews>
  <sheets>
    <sheet name="ER" sheetId="4" r:id="rId1"/>
    <sheet name="Project Emissions" sheetId="3" r:id="rId2"/>
    <sheet name="Power Density" sheetId="2" r:id="rId3"/>
  </sheets>
  <definedNames>
    <definedName name="ectract?">#REF!</definedName>
    <definedName name="_xlnm.Extra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4" l="1"/>
  <c r="N36" i="4"/>
  <c r="N35" i="4"/>
  <c r="O39" i="4"/>
  <c r="N39" i="4"/>
  <c r="O38" i="4"/>
  <c r="M35" i="4"/>
  <c r="N38" i="4"/>
  <c r="O37" i="4"/>
  <c r="O36" i="4"/>
  <c r="O35" i="4"/>
  <c r="M39" i="4"/>
  <c r="K39" i="4"/>
  <c r="M38" i="4"/>
  <c r="K38" i="4"/>
  <c r="K37" i="4"/>
  <c r="K36" i="4"/>
  <c r="K35" i="4"/>
  <c r="M37" i="4"/>
  <c r="M36" i="4"/>
  <c r="G39" i="4"/>
  <c r="D40" i="4"/>
  <c r="F30" i="4"/>
  <c r="E30" i="4"/>
  <c r="D30" i="4"/>
  <c r="P32" i="4" l="1"/>
  <c r="P27" i="4"/>
  <c r="P15" i="4"/>
  <c r="P3" i="4"/>
  <c r="F29" i="4" l="1"/>
  <c r="F28" i="4" l="1"/>
  <c r="F27" i="4" l="1"/>
  <c r="F26" i="4" l="1"/>
  <c r="F25" i="4" l="1"/>
  <c r="F24" i="4"/>
  <c r="F23" i="4" l="1"/>
  <c r="F22" i="4"/>
  <c r="F21" i="4" l="1"/>
  <c r="F20" i="4"/>
  <c r="F19" i="4" l="1"/>
  <c r="F18" i="4" l="1"/>
  <c r="F17" i="4" l="1"/>
  <c r="F16" i="4" l="1"/>
  <c r="F15" i="4" l="1"/>
  <c r="F14" i="4" l="1"/>
  <c r="F13" i="4" l="1"/>
  <c r="F12" i="4" l="1"/>
  <c r="F11" i="4"/>
  <c r="F10" i="4" l="1"/>
  <c r="F9" i="4" l="1"/>
  <c r="F8" i="4" l="1"/>
  <c r="F7" i="4" l="1"/>
  <c r="F6" i="4"/>
  <c r="F5" i="4" l="1"/>
  <c r="F4" i="4" l="1"/>
  <c r="F3" i="4" l="1"/>
  <c r="D6" i="3"/>
  <c r="C6" i="3"/>
  <c r="B6" i="3"/>
  <c r="D4" i="3"/>
  <c r="D5" i="3"/>
  <c r="C14" i="2"/>
  <c r="C6" i="2"/>
  <c r="C12" i="2"/>
  <c r="C4" i="2"/>
  <c r="F32" i="4"/>
  <c r="E32" i="4"/>
  <c r="D32" i="4"/>
  <c r="H30" i="4"/>
  <c r="G30" i="4"/>
  <c r="H29" i="4"/>
  <c r="G29" i="4"/>
  <c r="H28" i="4"/>
  <c r="G28" i="4"/>
  <c r="H27" i="4"/>
  <c r="G27" i="4"/>
  <c r="I27" i="4" s="1"/>
  <c r="H26" i="4"/>
  <c r="G26" i="4"/>
  <c r="H25" i="4"/>
  <c r="G25" i="4"/>
  <c r="H24" i="4"/>
  <c r="G24" i="4"/>
  <c r="I24" i="4" s="1"/>
  <c r="H23" i="4"/>
  <c r="G23" i="4"/>
  <c r="H22" i="4"/>
  <c r="G22" i="4"/>
  <c r="H21" i="4"/>
  <c r="G21" i="4"/>
  <c r="H20" i="4"/>
  <c r="G20" i="4"/>
  <c r="I20" i="4" s="1"/>
  <c r="H19" i="4"/>
  <c r="G19" i="4"/>
  <c r="I19" i="4" s="1"/>
  <c r="H18" i="4"/>
  <c r="G18" i="4"/>
  <c r="H17" i="4"/>
  <c r="G17" i="4"/>
  <c r="H16" i="4"/>
  <c r="G16" i="4"/>
  <c r="H15" i="4"/>
  <c r="G15" i="4"/>
  <c r="I15" i="4" s="1"/>
  <c r="H14" i="4"/>
  <c r="G14" i="4"/>
  <c r="H13" i="4"/>
  <c r="G13" i="4"/>
  <c r="H12" i="4"/>
  <c r="G12" i="4"/>
  <c r="H11" i="4"/>
  <c r="G11" i="4"/>
  <c r="H10" i="4"/>
  <c r="G10" i="4"/>
  <c r="H9" i="4"/>
  <c r="G9" i="4"/>
  <c r="H8" i="4"/>
  <c r="G8" i="4"/>
  <c r="I8" i="4" s="1"/>
  <c r="H7" i="4"/>
  <c r="G7" i="4"/>
  <c r="I7" i="4" s="1"/>
  <c r="H6" i="4"/>
  <c r="G6" i="4"/>
  <c r="H5" i="4"/>
  <c r="G5" i="4"/>
  <c r="H4" i="4"/>
  <c r="G4" i="4"/>
  <c r="I4" i="4" s="1"/>
  <c r="H3" i="4"/>
  <c r="H32" i="4" s="1"/>
  <c r="G3" i="4"/>
  <c r="I3" i="4" s="1"/>
  <c r="D3" i="3"/>
  <c r="I6" i="4" l="1"/>
  <c r="I22" i="4"/>
  <c r="I26" i="4"/>
  <c r="I9" i="4"/>
  <c r="I13" i="4"/>
  <c r="I17" i="4"/>
  <c r="I25" i="4"/>
  <c r="I29" i="4"/>
  <c r="J27" i="4" s="1"/>
  <c r="I21" i="4"/>
  <c r="I28" i="4"/>
  <c r="I10" i="4"/>
  <c r="I18" i="4"/>
  <c r="I30" i="4"/>
  <c r="G32" i="4"/>
  <c r="C11" i="2"/>
  <c r="C3" i="2"/>
  <c r="I14" i="4"/>
  <c r="I11" i="4"/>
  <c r="I5" i="4"/>
  <c r="I12" i="4"/>
  <c r="I16" i="4"/>
  <c r="I23" i="4"/>
  <c r="I32" i="4" l="1"/>
  <c r="K27" i="4"/>
  <c r="D38" i="4" s="1"/>
  <c r="G37" i="4"/>
  <c r="J15" i="4"/>
  <c r="J3" i="4"/>
  <c r="K3" i="4" l="1"/>
  <c r="G35" i="4"/>
  <c r="J32" i="4"/>
  <c r="K15" i="4"/>
  <c r="D37" i="4" s="1"/>
  <c r="G36" i="4"/>
  <c r="D34" i="4"/>
  <c r="G38" i="4" l="1"/>
  <c r="D36" i="4"/>
  <c r="K32" i="4"/>
  <c r="D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D30" authorId="0" shapeId="0" xr:uid="{2A5CD23B-5C4D-4CD7-9520-4CDCCEA75B17}">
      <text>
        <r>
          <rPr>
            <b/>
            <sz val="11"/>
            <color indexed="81"/>
            <rFont val="Tahoma"/>
            <charset val="1"/>
          </rPr>
          <t>Dell:</t>
        </r>
        <r>
          <rPr>
            <sz val="11"/>
            <color indexed="81"/>
            <rFont val="Tahoma"/>
            <charset val="1"/>
          </rPr>
          <t xml:space="preserve">
The calculation in this row has been done by considering the first 9 days of the month which corresponds to 3/10 proportion.</t>
        </r>
      </text>
    </comment>
    <comment ref="E30" authorId="0" shapeId="0" xr:uid="{E41384A0-C994-4E5F-9C5E-FC9148303EED}">
      <text>
        <r>
          <rPr>
            <b/>
            <sz val="11"/>
            <color indexed="81"/>
            <rFont val="Tahoma"/>
            <charset val="1"/>
          </rPr>
          <t>Dell:</t>
        </r>
        <r>
          <rPr>
            <sz val="11"/>
            <color indexed="81"/>
            <rFont val="Tahoma"/>
            <charset val="1"/>
          </rPr>
          <t xml:space="preserve">
The calculation in this row has been done by considering the first 9 days of the month which corresponds to 3/10 proportion.</t>
        </r>
      </text>
    </comment>
    <comment ref="G30" authorId="0" shapeId="0" xr:uid="{4B0987FD-F6FF-4961-892F-25E5B6496428}">
      <text>
        <r>
          <rPr>
            <b/>
            <sz val="9"/>
            <color indexed="81"/>
            <rFont val="Tahoma"/>
            <family val="2"/>
            <charset val="162"/>
          </rPr>
          <t>Dell:</t>
        </r>
        <r>
          <rPr>
            <sz val="9"/>
            <color indexed="81"/>
            <rFont val="Tahoma"/>
            <family val="2"/>
            <charset val="162"/>
          </rPr>
          <t xml:space="preserve">
The calculation in this row has been done by considering the first 9 days of the month which corresponds to 3/10 proportion.</t>
        </r>
      </text>
    </comment>
    <comment ref="H30" authorId="0" shapeId="0" xr:uid="{03DA338F-313B-4A10-981B-C769351BEC48}">
      <text>
        <r>
          <rPr>
            <b/>
            <sz val="9"/>
            <color indexed="81"/>
            <rFont val="Tahoma"/>
            <family val="2"/>
            <charset val="162"/>
          </rPr>
          <t>Dell:</t>
        </r>
        <r>
          <rPr>
            <sz val="9"/>
            <color indexed="81"/>
            <rFont val="Tahoma"/>
            <family val="2"/>
            <charset val="162"/>
          </rPr>
          <t xml:space="preserve">
The calculation in this row has been done by considering the first 9 days of the month which corresponds to 3/10 proportion.</t>
        </r>
      </text>
    </comment>
  </commentList>
</comments>
</file>

<file path=xl/sharedStrings.xml><?xml version="1.0" encoding="utf-8"?>
<sst xmlns="http://schemas.openxmlformats.org/spreadsheetml/2006/main" count="113" uniqueCount="79">
  <si>
    <t xml:space="preserve">Total Energy Provided to the Grid </t>
  </si>
  <si>
    <t>Eglence I-II</t>
  </si>
  <si>
    <t>Year</t>
  </si>
  <si>
    <t>Months</t>
  </si>
  <si>
    <r>
      <t xml:space="preserve">SITE RECORDS
</t>
    </r>
    <r>
      <rPr>
        <b/>
        <sz val="8"/>
        <rFont val="Verdana"/>
        <family val="2"/>
        <charset val="162"/>
      </rPr>
      <t>(GROSS)(MWh)</t>
    </r>
  </si>
  <si>
    <r>
      <t xml:space="preserve">SITE RECORDS </t>
    </r>
    <r>
      <rPr>
        <b/>
        <sz val="8"/>
        <rFont val="Verdana"/>
        <family val="2"/>
        <charset val="162"/>
      </rPr>
      <t>(INTERNAL CONSUMPTION) (MWh)</t>
    </r>
  </si>
  <si>
    <r>
      <t xml:space="preserve">SITE RECORDS 
</t>
    </r>
    <r>
      <rPr>
        <b/>
        <sz val="8"/>
        <rFont val="Verdana"/>
        <family val="2"/>
        <charset val="162"/>
      </rPr>
      <t>(NET)(MWh)</t>
    </r>
  </si>
  <si>
    <r>
      <t xml:space="preserve">EPIAS RECORDS </t>
    </r>
    <r>
      <rPr>
        <b/>
        <sz val="8"/>
        <rFont val="Verdana"/>
        <family val="2"/>
        <charset val="162"/>
      </rPr>
      <t>(GROSS)(MWh)</t>
    </r>
  </si>
  <si>
    <r>
      <t xml:space="preserve">EPIAS RECORDS </t>
    </r>
    <r>
      <rPr>
        <b/>
        <sz val="8"/>
        <rFont val="Verdana"/>
        <family val="2"/>
        <charset val="162"/>
      </rPr>
      <t>(INTERNAL CONSUMPTION)</t>
    </r>
  </si>
  <si>
    <r>
      <t xml:space="preserve">EPIAS RECORDS </t>
    </r>
    <r>
      <rPr>
        <b/>
        <sz val="8"/>
        <rFont val="Verdana"/>
        <family val="2"/>
        <charset val="162"/>
      </rPr>
      <t>(NET)(MWh)</t>
    </r>
  </si>
  <si>
    <t>ELECTRICITY GENERATION</t>
  </si>
  <si>
    <r>
      <t xml:space="preserve">EMISSION REDUCTIONS </t>
    </r>
    <r>
      <rPr>
        <b/>
        <sz val="8"/>
        <rFont val="Verdana"/>
        <family val="2"/>
        <charset val="162"/>
      </rPr>
      <t xml:space="preserve">
(tCO2e)</t>
    </r>
  </si>
  <si>
    <t>date 1</t>
  </si>
  <si>
    <t>date 2</t>
  </si>
  <si>
    <t># number of days</t>
  </si>
  <si>
    <t>January</t>
  </si>
  <si>
    <t>February</t>
  </si>
  <si>
    <t>March</t>
  </si>
  <si>
    <t>April</t>
  </si>
  <si>
    <t>May</t>
  </si>
  <si>
    <t>June</t>
  </si>
  <si>
    <t>July</t>
  </si>
  <si>
    <t>August</t>
  </si>
  <si>
    <t>September</t>
  </si>
  <si>
    <t>October</t>
  </si>
  <si>
    <t>November</t>
  </si>
  <si>
    <t xml:space="preserve">December </t>
  </si>
  <si>
    <t>Grand Total</t>
  </si>
  <si>
    <t>Net Generation
(MWh)</t>
  </si>
  <si>
    <t>Net Electricity Generation</t>
  </si>
  <si>
    <t>Ex-ante Estimations in PD</t>
  </si>
  <si>
    <t>% Difference between Ex ante and Calcualted Values
EG</t>
  </si>
  <si>
    <t>% Difference between Ex ante and Calcualted Values
ER</t>
  </si>
  <si>
    <t>Emission Factor (tCO2/MWh)</t>
  </si>
  <si>
    <t>2021
(01/01/2021-31/12/2021)</t>
  </si>
  <si>
    <t>MWh</t>
  </si>
  <si>
    <t>Expected Generation (MWh) in 2021
(01/01/2021-31/12/2021)</t>
  </si>
  <si>
    <t>Expected Emission Reduction in 2021
(01/01/2021-31/12/2021) (tCO2)</t>
  </si>
  <si>
    <r>
      <t xml:space="preserve">Net Emission Reduction in 2021
</t>
    </r>
    <r>
      <rPr>
        <b/>
        <sz val="8"/>
        <rFont val="Verdana"/>
        <family val="2"/>
        <charset val="162"/>
      </rPr>
      <t>(01/01/2021-31/12/2021)</t>
    </r>
  </si>
  <si>
    <t>2022
(01/01/2022-31/12/2022)</t>
  </si>
  <si>
    <t>Expected Generation (MWh) in 2022
(01/01/2022-31/12/2022)</t>
  </si>
  <si>
    <t>Expected Emission Reduction in 2022
(01/01/2022-31/12/2022) (tCO2)</t>
  </si>
  <si>
    <r>
      <t xml:space="preserve">Net Emission Reduction in 2022
</t>
    </r>
    <r>
      <rPr>
        <b/>
        <sz val="8"/>
        <rFont val="Verdana"/>
        <family val="2"/>
        <charset val="162"/>
      </rPr>
      <t>(01/01/2022-31/12/2022)</t>
    </r>
  </si>
  <si>
    <t>2023
(01/01/2023-09/04/2023)</t>
  </si>
  <si>
    <t>Expected Generation (MWh) in 2023
(01/01/2023-09/04/2023)</t>
  </si>
  <si>
    <t>Expected Emission Reduction in 2023
(01/01/2023-09/04/2023) (tCO2)</t>
  </si>
  <si>
    <r>
      <t xml:space="preserve">Net Emission Reduction in 2023
</t>
    </r>
    <r>
      <rPr>
        <b/>
        <sz val="8"/>
        <rFont val="Verdana"/>
        <family val="2"/>
        <charset val="162"/>
      </rPr>
      <t>(01/01/2023-09/04/2023)</t>
    </r>
  </si>
  <si>
    <t>Total EG for this monitoring period</t>
  </si>
  <si>
    <t>Total Estimated EG in Monitoring Period (MWh)</t>
  </si>
  <si>
    <t>Total Estimated ER in Monitoring Period (tCO2)</t>
  </si>
  <si>
    <t>Net Emission Reduciton (tCO2)</t>
  </si>
  <si>
    <t>EG for per annum for this monitoring period</t>
  </si>
  <si>
    <t>Expected Annual Generation (MWh)</t>
  </si>
  <si>
    <t>Expected Annual Emission Reduction (tCO2)</t>
  </si>
  <si>
    <t>ER per annum (tCO2)</t>
  </si>
  <si>
    <t>PEFF,y</t>
  </si>
  <si>
    <t>PEHP,y</t>
  </si>
  <si>
    <t>PEy</t>
  </si>
  <si>
    <t>Diesel Emissions (tCO2)</t>
  </si>
  <si>
    <t>Emissions from Reservoir (tCO2)</t>
  </si>
  <si>
    <t>Total Project Emissions (tCO2)</t>
  </si>
  <si>
    <t>2023 (1/1/23 - 9/4/23)</t>
  </si>
  <si>
    <t>TOTAL</t>
  </si>
  <si>
    <t>EGLENCE I</t>
  </si>
  <si>
    <t>Parameter</t>
  </si>
  <si>
    <t>Description &amp; Unit</t>
  </si>
  <si>
    <t>Value</t>
  </si>
  <si>
    <t>PD=</t>
  </si>
  <si>
    <t>Power density of the project activity (W/m2)</t>
  </si>
  <si>
    <t>&gt; 10 W/m2</t>
  </si>
  <si>
    <t>CapPJ=</t>
  </si>
  <si>
    <t xml:space="preserve">Installed capacity of the hydro power plant after the implementation of the project activity (W) </t>
  </si>
  <si>
    <t>CapBL=</t>
  </si>
  <si>
    <t>Installed capacity of the hydro power plant before the implementation of the project activity (W). For new hydro power plants, this value is zero</t>
  </si>
  <si>
    <t>APJ=</t>
  </si>
  <si>
    <t>Area of the reservoir measured in the surface of the water, after the implementation of the project activity, when the reservoir is full (m2)</t>
  </si>
  <si>
    <t>ABL=</t>
  </si>
  <si>
    <t xml:space="preserve">Area of the reservoir measured in the surface of the water, before the implementation of the project activity, when the reservoir is full (m2).  For new reservoirs, this value is zero. </t>
  </si>
  <si>
    <t>EGLENCE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</si>
</sst>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_);_(* \(#,##0\);_(* &quot;-&quot;??_);_(@_)"/>
    <numFmt numFmtId="166" formatCode="_(* #,##0.000_);_(* \(#,##0.000\);_(* &quot;-&quot;??_);_(@_)"/>
    <numFmt numFmtId="167" formatCode="#,##0.000"/>
    <numFmt numFmtId="168" formatCode="#,##0.0000"/>
    <numFmt numFmtId="169" formatCode="_-* #,##0.00\ _T_L_-;\-* #,##0.00\ _T_L_-;_-* &quot;-&quot;??\ _T_L_-;_-@_-"/>
    <numFmt numFmtId="170" formatCode="0.000000"/>
  </numFmts>
  <fonts count="24">
    <font>
      <sz val="10"/>
      <name val="Verdana"/>
    </font>
    <font>
      <sz val="11"/>
      <color theme="1"/>
      <name val="Calibri"/>
      <family val="2"/>
      <charset val="162"/>
      <scheme val="minor"/>
    </font>
    <font>
      <sz val="11"/>
      <color theme="1"/>
      <name val="Calibri"/>
      <family val="2"/>
      <charset val="162"/>
      <scheme val="minor"/>
    </font>
    <font>
      <sz val="10"/>
      <name val="Verdana"/>
      <family val="2"/>
      <charset val="162"/>
    </font>
    <font>
      <b/>
      <sz val="10"/>
      <name val="Verdana"/>
      <family val="2"/>
      <charset val="162"/>
    </font>
    <font>
      <b/>
      <sz val="10"/>
      <name val="Verdana"/>
      <family val="2"/>
    </font>
    <font>
      <sz val="11"/>
      <color indexed="8"/>
      <name val="Calibri"/>
      <family val="2"/>
      <charset val="162"/>
    </font>
    <font>
      <sz val="10"/>
      <name val="Arial"/>
      <family val="2"/>
      <charset val="162"/>
    </font>
    <font>
      <b/>
      <sz val="12"/>
      <name val="Verdana"/>
      <family val="2"/>
      <charset val="162"/>
    </font>
    <font>
      <b/>
      <sz val="12"/>
      <name val="Verdana"/>
      <family val="2"/>
    </font>
    <font>
      <sz val="10"/>
      <name val="Arial"/>
      <family val="2"/>
      <charset val="162"/>
    </font>
    <font>
      <sz val="8"/>
      <name val="Verdana"/>
      <family val="2"/>
      <charset val="162"/>
    </font>
    <font>
      <b/>
      <sz val="8"/>
      <name val="Verdana"/>
      <family val="2"/>
      <charset val="162"/>
    </font>
    <font>
      <u/>
      <sz val="11"/>
      <color theme="10"/>
      <name val="Calibri"/>
      <family val="2"/>
      <charset val="162"/>
      <scheme val="minor"/>
    </font>
    <font>
      <sz val="9"/>
      <color indexed="81"/>
      <name val="Tahoma"/>
      <family val="2"/>
      <charset val="162"/>
    </font>
    <font>
      <b/>
      <sz val="9"/>
      <color indexed="81"/>
      <name val="Tahoma"/>
      <family val="2"/>
      <charset val="162"/>
    </font>
    <font>
      <sz val="10"/>
      <name val="Verdana"/>
      <family val="2"/>
      <charset val="162"/>
    </font>
    <font>
      <sz val="10.5"/>
      <name val="Arial"/>
      <family val="2"/>
      <charset val="162"/>
    </font>
    <font>
      <sz val="10"/>
      <color rgb="FFFF0000"/>
      <name val="Verdana"/>
      <family val="2"/>
      <charset val="162"/>
    </font>
    <font>
      <b/>
      <sz val="12"/>
      <name val="Calibri"/>
      <family val="2"/>
      <charset val="162"/>
      <scheme val="minor"/>
    </font>
    <font>
      <b/>
      <sz val="12"/>
      <color theme="1"/>
      <name val="Calibri"/>
      <family val="2"/>
      <charset val="162"/>
      <scheme val="minor"/>
    </font>
    <font>
      <u/>
      <sz val="12.5"/>
      <color indexed="12"/>
      <name val="Verdana"/>
      <family val="2"/>
      <charset val="162"/>
    </font>
    <font>
      <sz val="11"/>
      <color indexed="81"/>
      <name val="Tahoma"/>
      <charset val="1"/>
    </font>
    <font>
      <b/>
      <sz val="11"/>
      <color indexed="81"/>
      <name val="Tahoma"/>
      <charset val="1"/>
    </font>
  </fonts>
  <fills count="12">
    <fill>
      <patternFill patternType="none"/>
    </fill>
    <fill>
      <patternFill patternType="gray125"/>
    </fill>
    <fill>
      <patternFill patternType="solid">
        <fgColor indexed="47"/>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3" tint="-0.249977111117893"/>
        <bgColor indexed="64"/>
      </patternFill>
    </fill>
    <fill>
      <patternFill patternType="solid">
        <fgColor rgb="FFF5E379"/>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s>
  <cellStyleXfs count="20">
    <xf numFmtId="0" fontId="0" fillId="0" borderId="0"/>
    <xf numFmtId="0" fontId="7" fillId="0" borderId="0"/>
    <xf numFmtId="0" fontId="6" fillId="0" borderId="0"/>
    <xf numFmtId="0" fontId="10" fillId="0" borderId="0"/>
    <xf numFmtId="43" fontId="3" fillId="0" borderId="0" applyFont="0" applyFill="0" applyBorder="0" applyAlignment="0" applyProtection="0"/>
    <xf numFmtId="0" fontId="7" fillId="0" borderId="0"/>
    <xf numFmtId="0" fontId="2" fillId="0" borderId="0"/>
    <xf numFmtId="0" fontId="13" fillId="0" borderId="0" applyNumberFormat="0" applyFill="0" applyBorder="0" applyAlignment="0" applyProtection="0"/>
    <xf numFmtId="169" fontId="2" fillId="0" borderId="0" applyFont="0" applyFill="0" applyBorder="0" applyAlignment="0" applyProtection="0"/>
    <xf numFmtId="9" fontId="16" fillId="0" borderId="0" applyFont="0" applyFill="0" applyBorder="0" applyAlignment="0" applyProtection="0"/>
    <xf numFmtId="0" fontId="7" fillId="0" borderId="0"/>
    <xf numFmtId="164" fontId="3" fillId="0" borderId="0" applyFont="0" applyFill="0" applyBorder="0" applyAlignment="0" applyProtection="0"/>
    <xf numFmtId="0" fontId="1" fillId="0" borderId="0"/>
    <xf numFmtId="169" fontId="1"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1" fillId="0" borderId="0"/>
    <xf numFmtId="0" fontId="21" fillId="0" borderId="0" applyNumberFormat="0" applyFill="0" applyBorder="0" applyAlignment="0" applyProtection="0">
      <alignment vertical="top"/>
      <protection locked="0"/>
    </xf>
  </cellStyleXfs>
  <cellXfs count="114">
    <xf numFmtId="0" fontId="0" fillId="0" borderId="0" xfId="0"/>
    <xf numFmtId="0" fontId="0" fillId="0" borderId="0" xfId="0" applyAlignment="1">
      <alignment horizontal="center" vertical="center"/>
    </xf>
    <xf numFmtId="0" fontId="0" fillId="0" borderId="0" xfId="0" applyAlignment="1">
      <alignment vertical="center"/>
    </xf>
    <xf numFmtId="165" fontId="0" fillId="0" borderId="0" xfId="0" applyNumberFormat="1" applyAlignment="1">
      <alignment vertical="center"/>
    </xf>
    <xf numFmtId="0" fontId="8" fillId="0" borderId="0" xfId="0" applyFont="1" applyAlignment="1">
      <alignment vertical="center"/>
    </xf>
    <xf numFmtId="0" fontId="3" fillId="0" borderId="0" xfId="0" applyFont="1" applyAlignment="1">
      <alignment vertical="center"/>
    </xf>
    <xf numFmtId="0" fontId="3" fillId="4" borderId="1" xfId="0" applyFont="1" applyFill="1" applyBorder="1" applyAlignment="1">
      <alignment vertical="center"/>
    </xf>
    <xf numFmtId="0" fontId="0" fillId="0" borderId="0" xfId="0" applyAlignment="1">
      <alignment horizontal="center"/>
    </xf>
    <xf numFmtId="4" fontId="3" fillId="9" borderId="1" xfId="0" applyNumberFormat="1" applyFont="1" applyFill="1" applyBorder="1" applyAlignment="1">
      <alignment horizontal="center" vertical="center"/>
    </xf>
    <xf numFmtId="4" fontId="3" fillId="4" borderId="1" xfId="0" applyNumberFormat="1" applyFont="1" applyFill="1" applyBorder="1" applyAlignment="1">
      <alignment horizontal="center" vertical="center"/>
    </xf>
    <xf numFmtId="0" fontId="4" fillId="0" borderId="9" xfId="0" applyFont="1" applyBorder="1" applyAlignment="1">
      <alignment horizontal="center" vertical="center" wrapText="1"/>
    </xf>
    <xf numFmtId="4" fontId="3" fillId="9" borderId="6" xfId="0" applyNumberFormat="1" applyFont="1" applyFill="1" applyBorder="1" applyAlignment="1">
      <alignment horizontal="center" vertical="center"/>
    </xf>
    <xf numFmtId="4" fontId="3" fillId="4" borderId="7" xfId="0" applyNumberFormat="1" applyFont="1" applyFill="1" applyBorder="1" applyAlignment="1">
      <alignment horizontal="center" vertical="center"/>
    </xf>
    <xf numFmtId="0" fontId="9" fillId="0" borderId="9"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top" wrapText="1"/>
    </xf>
    <xf numFmtId="0" fontId="8" fillId="0" borderId="12" xfId="0" applyFont="1" applyBorder="1" applyAlignment="1">
      <alignment vertical="center"/>
    </xf>
    <xf numFmtId="167" fontId="11" fillId="7" borderId="8" xfId="0" applyNumberFormat="1" applyFont="1" applyFill="1" applyBorder="1" applyAlignment="1">
      <alignment horizontal="center" vertical="center"/>
    </xf>
    <xf numFmtId="166" fontId="11" fillId="7" borderId="0" xfId="4" applyNumberFormat="1" applyFont="1" applyFill="1" applyBorder="1" applyAlignment="1">
      <alignment horizontal="center" vertical="center"/>
    </xf>
    <xf numFmtId="165" fontId="4" fillId="7" borderId="5" xfId="0" applyNumberFormat="1" applyFont="1" applyFill="1" applyBorder="1" applyAlignment="1">
      <alignment horizontal="center" vertical="center"/>
    </xf>
    <xf numFmtId="0" fontId="4" fillId="2" borderId="1" xfId="0" applyFont="1" applyFill="1" applyBorder="1" applyAlignment="1">
      <alignment horizontal="center" vertical="center"/>
    </xf>
    <xf numFmtId="165" fontId="3" fillId="0" borderId="0" xfId="0" applyNumberFormat="1" applyFont="1"/>
    <xf numFmtId="0" fontId="4" fillId="0" borderId="17" xfId="0" applyFont="1" applyBorder="1" applyAlignment="1">
      <alignment vertical="center"/>
    </xf>
    <xf numFmtId="0" fontId="4" fillId="0" borderId="19" xfId="0" applyFont="1" applyBorder="1" applyAlignment="1">
      <alignment vertical="center"/>
    </xf>
    <xf numFmtId="0" fontId="4" fillId="9" borderId="14" xfId="0" applyFont="1" applyFill="1" applyBorder="1" applyAlignment="1">
      <alignment horizontal="center" vertical="center" wrapText="1"/>
    </xf>
    <xf numFmtId="4" fontId="11" fillId="7" borderId="8" xfId="0" applyNumberFormat="1" applyFont="1" applyFill="1" applyBorder="1" applyAlignment="1">
      <alignment horizontal="center" vertical="center"/>
    </xf>
    <xf numFmtId="4" fontId="11" fillId="7" borderId="13" xfId="4" applyNumberFormat="1" applyFont="1" applyFill="1" applyBorder="1" applyAlignment="1">
      <alignment horizontal="center" vertical="center"/>
    </xf>
    <xf numFmtId="168" fontId="3" fillId="9" borderId="1" xfId="0" applyNumberFormat="1" applyFont="1" applyFill="1" applyBorder="1" applyAlignment="1">
      <alignment horizontal="center" vertical="center"/>
    </xf>
    <xf numFmtId="0" fontId="4" fillId="9" borderId="1" xfId="0" applyFont="1" applyFill="1" applyBorder="1" applyAlignment="1">
      <alignment horizontal="center" vertical="center" wrapText="1"/>
    </xf>
    <xf numFmtId="4" fontId="0" fillId="0" borderId="0" xfId="0" applyNumberFormat="1" applyAlignment="1">
      <alignment vertical="center"/>
    </xf>
    <xf numFmtId="0" fontId="9" fillId="0" borderId="22" xfId="0" applyFont="1" applyBorder="1" applyAlignment="1">
      <alignment horizontal="center" vertical="center"/>
    </xf>
    <xf numFmtId="0" fontId="3" fillId="9" borderId="1" xfId="0" applyFont="1" applyFill="1" applyBorder="1" applyAlignment="1">
      <alignment vertical="center"/>
    </xf>
    <xf numFmtId="0" fontId="3" fillId="9" borderId="6" xfId="0" applyFont="1" applyFill="1" applyBorder="1" applyAlignment="1">
      <alignment vertical="center"/>
    </xf>
    <xf numFmtId="0" fontId="4" fillId="9" borderId="15" xfId="0" applyFont="1" applyFill="1" applyBorder="1" applyAlignment="1">
      <alignment horizontal="center" vertical="center" wrapText="1"/>
    </xf>
    <xf numFmtId="4" fontId="3" fillId="4" borderId="8" xfId="0" applyNumberFormat="1" applyFont="1" applyFill="1" applyBorder="1" applyAlignment="1">
      <alignment horizontal="center" vertical="center"/>
    </xf>
    <xf numFmtId="3" fontId="0" fillId="0" borderId="0" xfId="0" applyNumberFormat="1" applyAlignment="1">
      <alignment vertical="center"/>
    </xf>
    <xf numFmtId="0" fontId="3" fillId="4" borderId="32" xfId="0" applyFont="1" applyFill="1" applyBorder="1" applyAlignment="1">
      <alignment vertical="center"/>
    </xf>
    <xf numFmtId="0" fontId="3" fillId="9" borderId="32" xfId="0" applyFont="1" applyFill="1" applyBorder="1" applyAlignment="1">
      <alignment vertical="center"/>
    </xf>
    <xf numFmtId="168" fontId="3" fillId="9" borderId="22" xfId="0" applyNumberFormat="1" applyFont="1" applyFill="1" applyBorder="1" applyAlignment="1">
      <alignment horizontal="center" vertical="center"/>
    </xf>
    <xf numFmtId="0" fontId="3" fillId="4" borderId="33" xfId="0" applyFont="1" applyFill="1" applyBorder="1" applyAlignment="1">
      <alignment vertical="center"/>
    </xf>
    <xf numFmtId="0" fontId="4" fillId="0" borderId="11" xfId="0" applyFont="1" applyBorder="1" applyAlignment="1">
      <alignment horizontal="center" vertical="center" wrapText="1"/>
    </xf>
    <xf numFmtId="9" fontId="0" fillId="0" borderId="0" xfId="9" applyFont="1" applyAlignment="1">
      <alignment vertical="center"/>
    </xf>
    <xf numFmtId="4" fontId="3" fillId="4" borderId="6" xfId="0" applyNumberFormat="1" applyFont="1" applyFill="1" applyBorder="1" applyAlignment="1">
      <alignment horizontal="center" vertical="center" wrapText="1"/>
    </xf>
    <xf numFmtId="4" fontId="3" fillId="5" borderId="35" xfId="0" applyNumberFormat="1" applyFont="1" applyFill="1" applyBorder="1" applyAlignment="1">
      <alignment horizontal="center" vertical="center" wrapText="1"/>
    </xf>
    <xf numFmtId="4" fontId="3" fillId="6" borderId="1" xfId="0" applyNumberFormat="1" applyFont="1" applyFill="1" applyBorder="1" applyAlignment="1">
      <alignment horizontal="center" vertical="center" wrapText="1"/>
    </xf>
    <xf numFmtId="4" fontId="3" fillId="5" borderId="36" xfId="0" applyNumberFormat="1" applyFont="1" applyFill="1" applyBorder="1" applyAlignment="1">
      <alignment horizontal="center" vertical="center" wrapText="1"/>
    </xf>
    <xf numFmtId="4" fontId="3" fillId="5" borderId="37" xfId="0" applyNumberFormat="1" applyFont="1" applyFill="1" applyBorder="1" applyAlignment="1">
      <alignment horizontal="center" vertical="center" wrapText="1"/>
    </xf>
    <xf numFmtId="4" fontId="3" fillId="6" borderId="32" xfId="0" applyNumberFormat="1" applyFont="1" applyFill="1" applyBorder="1" applyAlignment="1">
      <alignment horizontal="center" vertical="center" wrapText="1"/>
    </xf>
    <xf numFmtId="4" fontId="3" fillId="4" borderId="33" xfId="0" applyNumberFormat="1" applyFont="1" applyFill="1" applyBorder="1" applyAlignment="1">
      <alignment horizontal="center" vertical="center"/>
    </xf>
    <xf numFmtId="4" fontId="3" fillId="4" borderId="26" xfId="0" applyNumberFormat="1" applyFont="1" applyFill="1" applyBorder="1" applyAlignment="1">
      <alignment horizontal="center" vertical="center"/>
    </xf>
    <xf numFmtId="4" fontId="3" fillId="4" borderId="34" xfId="0" applyNumberFormat="1" applyFont="1" applyFill="1" applyBorder="1" applyAlignment="1">
      <alignment horizontal="center" vertical="center"/>
    </xf>
    <xf numFmtId="0" fontId="3" fillId="0" borderId="0" xfId="0" applyFont="1" applyAlignment="1">
      <alignment vertical="center" wrapText="1"/>
    </xf>
    <xf numFmtId="3" fontId="3" fillId="0" borderId="0" xfId="0" applyNumberFormat="1" applyFont="1" applyAlignment="1">
      <alignment vertical="center"/>
    </xf>
    <xf numFmtId="0" fontId="0" fillId="0" borderId="1" xfId="0" applyBorder="1" applyAlignment="1">
      <alignment vertical="center" wrapText="1"/>
    </xf>
    <xf numFmtId="2" fontId="4" fillId="10" borderId="1" xfId="0" applyNumberFormat="1" applyFont="1" applyFill="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vertical="center" wrapText="1"/>
    </xf>
    <xf numFmtId="3"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11" borderId="1" xfId="0" applyNumberForma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3" fontId="0" fillId="0" borderId="1" xfId="0" applyNumberFormat="1" applyBorder="1" applyAlignment="1">
      <alignment horizontal="center" vertic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170" fontId="0" fillId="0" borderId="0" xfId="0" applyNumberFormat="1"/>
    <xf numFmtId="0" fontId="4" fillId="0" borderId="1" xfId="0" applyFont="1" applyBorder="1" applyAlignment="1">
      <alignment vertical="center"/>
    </xf>
    <xf numFmtId="0" fontId="3" fillId="0" borderId="0" xfId="0" applyFont="1"/>
    <xf numFmtId="0" fontId="4" fillId="0" borderId="0" xfId="0" applyFont="1" applyAlignment="1">
      <alignment horizontal="left" vertical="center"/>
    </xf>
    <xf numFmtId="0" fontId="4" fillId="9" borderId="18" xfId="0" applyFont="1" applyFill="1" applyBorder="1" applyAlignment="1">
      <alignment horizontal="center" vertical="center" wrapText="1"/>
    </xf>
    <xf numFmtId="0" fontId="17" fillId="0" borderId="0" xfId="0" applyFont="1" applyAlignment="1">
      <alignment horizontal="center" vertical="center" wrapText="1"/>
    </xf>
    <xf numFmtId="3" fontId="4" fillId="0" borderId="20" xfId="0" applyNumberFormat="1" applyFont="1" applyBorder="1" applyAlignment="1">
      <alignment horizontal="right" vertical="center" indent="1"/>
    </xf>
    <xf numFmtId="3" fontId="4" fillId="0" borderId="17" xfId="0" applyNumberFormat="1" applyFont="1" applyBorder="1" applyAlignment="1">
      <alignment horizontal="right" vertical="center" indent="1"/>
    </xf>
    <xf numFmtId="4" fontId="4" fillId="0" borderId="1" xfId="0" applyNumberFormat="1" applyFont="1" applyBorder="1" applyAlignment="1">
      <alignment horizontal="right" vertical="center" indent="1"/>
    </xf>
    <xf numFmtId="168" fontId="18" fillId="9" borderId="1" xfId="0" applyNumberFormat="1" applyFont="1" applyFill="1" applyBorder="1" applyAlignment="1">
      <alignment horizontal="center" vertical="center"/>
    </xf>
    <xf numFmtId="14" fontId="0" fillId="0" borderId="0" xfId="0" applyNumberFormat="1" applyAlignment="1">
      <alignment vertical="center"/>
    </xf>
    <xf numFmtId="2" fontId="19" fillId="0" borderId="29" xfId="0" applyNumberFormat="1" applyFont="1" applyBorder="1" applyAlignment="1">
      <alignment horizontal="center" vertical="center" wrapText="1"/>
    </xf>
    <xf numFmtId="2" fontId="19" fillId="0" borderId="9" xfId="0" applyNumberFormat="1" applyFont="1" applyBorder="1" applyAlignment="1">
      <alignment horizontal="center" vertical="center" wrapText="1"/>
    </xf>
    <xf numFmtId="2" fontId="20" fillId="0" borderId="42" xfId="0" applyNumberFormat="1" applyFont="1" applyBorder="1" applyAlignment="1">
      <alignment horizontal="center" vertical="center"/>
    </xf>
    <xf numFmtId="3" fontId="3" fillId="4" borderId="26" xfId="11" applyNumberFormat="1" applyFont="1" applyFill="1" applyBorder="1" applyAlignment="1">
      <alignment horizontal="center" vertical="center" wrapText="1"/>
    </xf>
    <xf numFmtId="0" fontId="4" fillId="9" borderId="38" xfId="0" applyFont="1" applyFill="1" applyBorder="1" applyAlignment="1">
      <alignment horizontal="center" vertical="center" wrapText="1"/>
    </xf>
    <xf numFmtId="0" fontId="4" fillId="0" borderId="42" xfId="0" applyFont="1" applyBorder="1" applyAlignment="1">
      <alignment horizontal="center" vertical="center" wrapText="1"/>
    </xf>
    <xf numFmtId="9" fontId="4" fillId="0" borderId="1" xfId="14" applyFont="1" applyBorder="1" applyAlignment="1">
      <alignment horizontal="center" vertical="center"/>
    </xf>
    <xf numFmtId="3" fontId="3" fillId="4" borderId="34" xfId="11" applyNumberFormat="1" applyFont="1" applyFill="1" applyBorder="1" applyAlignment="1">
      <alignment horizontal="center" vertical="center" wrapText="1"/>
    </xf>
    <xf numFmtId="3" fontId="4" fillId="4" borderId="32" xfId="0" applyNumberFormat="1" applyFont="1" applyFill="1" applyBorder="1" applyAlignment="1">
      <alignment horizontal="center" vertical="center"/>
    </xf>
    <xf numFmtId="3" fontId="4" fillId="4" borderId="7" xfId="0" applyNumberFormat="1" applyFont="1" applyFill="1" applyBorder="1" applyAlignment="1">
      <alignment horizontal="center" vertical="center"/>
    </xf>
    <xf numFmtId="4" fontId="4" fillId="4" borderId="1" xfId="0" applyNumberFormat="1" applyFont="1" applyFill="1" applyBorder="1" applyAlignment="1">
      <alignment horizontal="center" vertical="center"/>
    </xf>
    <xf numFmtId="0" fontId="4" fillId="9" borderId="23" xfId="0" applyFont="1" applyFill="1" applyBorder="1" applyAlignment="1">
      <alignment horizontal="center" vertical="center"/>
    </xf>
    <xf numFmtId="0" fontId="4" fillId="9" borderId="24" xfId="0" applyFont="1" applyFill="1" applyBorder="1" applyAlignment="1">
      <alignment horizontal="center" vertical="center"/>
    </xf>
    <xf numFmtId="0" fontId="4" fillId="9" borderId="25" xfId="0" applyFont="1" applyFill="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3" fontId="4" fillId="8" borderId="10" xfId="4" applyNumberFormat="1" applyFont="1" applyFill="1" applyBorder="1" applyAlignment="1">
      <alignment horizontal="center" vertical="center"/>
    </xf>
    <xf numFmtId="3" fontId="4" fillId="8" borderId="5" xfId="4" applyNumberFormat="1" applyFont="1" applyFill="1" applyBorder="1" applyAlignment="1">
      <alignment horizontal="center" vertical="center"/>
    </xf>
    <xf numFmtId="165" fontId="4" fillId="3" borderId="10" xfId="0" applyNumberFormat="1" applyFont="1" applyFill="1" applyBorder="1" applyAlignment="1">
      <alignment horizontal="center" vertical="center"/>
    </xf>
    <xf numFmtId="165" fontId="4" fillId="3" borderId="5" xfId="0" applyNumberFormat="1" applyFont="1" applyFill="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1" xfId="0" applyFont="1" applyBorder="1" applyAlignment="1">
      <alignment horizontal="center" vertical="center"/>
    </xf>
    <xf numFmtId="167" fontId="4" fillId="0" borderId="1" xfId="0" applyNumberFormat="1" applyFont="1" applyBorder="1" applyAlignment="1">
      <alignment vertical="center"/>
    </xf>
    <xf numFmtId="4" fontId="4" fillId="0" borderId="1" xfId="0" applyNumberFormat="1" applyFont="1" applyBorder="1" applyAlignment="1">
      <alignment horizontal="center" vertical="center"/>
    </xf>
    <xf numFmtId="4" fontId="4" fillId="0" borderId="16" xfId="0" applyNumberFormat="1" applyFont="1" applyBorder="1" applyAlignment="1">
      <alignment horizontal="right" vertical="center" indent="1"/>
    </xf>
    <xf numFmtId="168" fontId="4" fillId="0" borderId="17" xfId="0" applyNumberFormat="1" applyFont="1" applyBorder="1" applyAlignment="1">
      <alignment horizontal="right" vertical="center" indent="1"/>
    </xf>
    <xf numFmtId="4" fontId="4" fillId="0" borderId="19" xfId="0" applyNumberFormat="1" applyFont="1" applyBorder="1" applyAlignment="1">
      <alignment horizontal="right" vertical="center" indent="1"/>
    </xf>
    <xf numFmtId="3" fontId="4" fillId="0" borderId="19" xfId="0" applyNumberFormat="1" applyFont="1" applyBorder="1" applyAlignment="1">
      <alignment horizontal="right" vertical="center" indent="1"/>
    </xf>
  </cellXfs>
  <cellStyles count="20">
    <cellStyle name="Comma" xfId="4" builtinId="3"/>
    <cellStyle name="Comma 2" xfId="11" xr:uid="{9EB0D8C3-42A0-4C65-9F07-066084EB8119}"/>
    <cellStyle name="Comma 3" xfId="17" xr:uid="{8C467E19-13EF-49D7-ABF7-B281D6D42574}"/>
    <cellStyle name="Hyperlink 3" xfId="19" xr:uid="{176009E2-C748-4A76-BD1E-E3E8D5EEE118}"/>
    <cellStyle name="Köprü 2" xfId="7" xr:uid="{00000000-0005-0000-0000-000000000000}"/>
    <cellStyle name="Normal" xfId="0" builtinId="0"/>
    <cellStyle name="Normal 2" xfId="1" xr:uid="{00000000-0005-0000-0000-000002000000}"/>
    <cellStyle name="Normal 2 2" xfId="16" xr:uid="{59578D03-D9D3-4F01-B901-AB8E1CECF122}"/>
    <cellStyle name="Normal 3" xfId="2" xr:uid="{00000000-0005-0000-0000-000003000000}"/>
    <cellStyle name="Normal 4" xfId="3" xr:uid="{00000000-0005-0000-0000-000004000000}"/>
    <cellStyle name="Normal 4 2" xfId="10" xr:uid="{D15F6F05-442F-4296-A12D-52EA2ECC962F}"/>
    <cellStyle name="Normal 5" xfId="6" xr:uid="{00000000-0005-0000-0000-000005000000}"/>
    <cellStyle name="Normal 5 2" xfId="12" xr:uid="{AB682776-1E47-403C-9427-03CAF3805EDF}"/>
    <cellStyle name="Normal 6" xfId="15" xr:uid="{95BF432E-399A-46AA-8689-88E0E742C62B}"/>
    <cellStyle name="Normal 7" xfId="5" xr:uid="{00000000-0005-0000-0000-000006000000}"/>
    <cellStyle name="Normal 8" xfId="18" xr:uid="{72A4278B-8557-4F25-BA8E-B661D9DB61BB}"/>
    <cellStyle name="Per cent 2" xfId="14" xr:uid="{55B1E422-5C70-46C5-AB70-ACF3FC52291C}"/>
    <cellStyle name="Percent" xfId="9" builtinId="5"/>
    <cellStyle name="Virgül 2" xfId="8" xr:uid="{00000000-0005-0000-0000-000008000000}"/>
    <cellStyle name="Virgül 2 2" xfId="13" xr:uid="{DAAC65F7-479C-47D3-8231-574E8AD8825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5E379"/>
      <color rgb="FFFAF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1211035</xdr:colOff>
      <xdr:row>33</xdr:row>
      <xdr:rowOff>816429</xdr:rowOff>
    </xdr:from>
    <xdr:to>
      <xdr:col>21</xdr:col>
      <xdr:colOff>732760</xdr:colOff>
      <xdr:row>36</xdr:row>
      <xdr:rowOff>981585</xdr:rowOff>
    </xdr:to>
    <xdr:pic>
      <xdr:nvPicPr>
        <xdr:cNvPr id="2" name="Picture 1">
          <a:extLst>
            <a:ext uri="{FF2B5EF4-FFF2-40B4-BE49-F238E27FC236}">
              <a16:creationId xmlns:a16="http://schemas.microsoft.com/office/drawing/2014/main" id="{78650103-09DC-9469-65A4-3DC595B4EB81}"/>
            </a:ext>
          </a:extLst>
        </xdr:cNvPr>
        <xdr:cNvPicPr>
          <a:picLocks noChangeAspect="1"/>
        </xdr:cNvPicPr>
      </xdr:nvPicPr>
      <xdr:blipFill>
        <a:blip xmlns:r="http://schemas.openxmlformats.org/officeDocument/2006/relationships" r:embed="rId1"/>
        <a:stretch>
          <a:fillRect/>
        </a:stretch>
      </xdr:blipFill>
      <xdr:spPr>
        <a:xfrm>
          <a:off x="19063606" y="7647215"/>
          <a:ext cx="4991797" cy="3648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100741</xdr:colOff>
      <xdr:row>1</xdr:row>
      <xdr:rowOff>35522</xdr:rowOff>
    </xdr:from>
    <xdr:to>
      <xdr:col>8</xdr:col>
      <xdr:colOff>644338</xdr:colOff>
      <xdr:row>3</xdr:row>
      <xdr:rowOff>136376</xdr:rowOff>
    </xdr:to>
    <xdr:pic>
      <xdr:nvPicPr>
        <xdr:cNvPr id="2" name="Picture 2">
          <a:extLst>
            <a:ext uri="{FF2B5EF4-FFF2-40B4-BE49-F238E27FC236}">
              <a16:creationId xmlns:a16="http://schemas.microsoft.com/office/drawing/2014/main" id="{5F3CD959-67A4-4342-90DC-D7A575544E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153" y="192404"/>
          <a:ext cx="3277832" cy="90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19601-DF18-4793-BA77-865080FE7F24}">
  <sheetPr>
    <pageSetUpPr fitToPage="1"/>
  </sheetPr>
  <dimension ref="A1:P74"/>
  <sheetViews>
    <sheetView tabSelected="1" zoomScale="70" zoomScaleNormal="70" workbookViewId="0">
      <pane xSplit="2" ySplit="2" topLeftCell="C10" activePane="bottomRight" state="frozen"/>
      <selection pane="bottomRight" activeCell="N38" sqref="N38"/>
      <selection pane="bottomLeft" activeCell="A3" sqref="A3"/>
      <selection pane="topRight" activeCell="C1" sqref="C1"/>
    </sheetView>
  </sheetViews>
  <sheetFormatPr defaultColWidth="11" defaultRowHeight="12.75"/>
  <cols>
    <col min="1" max="1" width="11" style="2"/>
    <col min="2" max="2" width="12.25" style="2" customWidth="1"/>
    <col min="3" max="3" width="15.5" style="2" customWidth="1"/>
    <col min="4" max="4" width="20.75" style="2" customWidth="1"/>
    <col min="5" max="5" width="16.875" style="2" customWidth="1"/>
    <col min="6" max="6" width="15.875" style="2" customWidth="1"/>
    <col min="7" max="7" width="18" style="2" customWidth="1"/>
    <col min="8" max="10" width="15.5" style="2" customWidth="1"/>
    <col min="11" max="11" width="14.25" style="7" bestFit="1" customWidth="1"/>
    <col min="12" max="12" width="15.25" style="2" customWidth="1"/>
    <col min="13" max="13" width="11" style="2" customWidth="1"/>
    <col min="14" max="14" width="18.375" style="2" customWidth="1"/>
    <col min="15" max="15" width="18.125" style="2" customWidth="1"/>
    <col min="16" max="16" width="16.375" style="2" customWidth="1"/>
    <col min="17" max="16384" width="11" style="2"/>
  </cols>
  <sheetData>
    <row r="1" spans="1:16" ht="30.6" customHeight="1" thickBot="1">
      <c r="A1" s="102" t="s">
        <v>0</v>
      </c>
      <c r="B1" s="103"/>
      <c r="C1" s="104"/>
      <c r="D1" s="105" t="s">
        <v>1</v>
      </c>
      <c r="E1" s="106"/>
      <c r="F1" s="106"/>
      <c r="G1" s="106"/>
      <c r="H1" s="106"/>
      <c r="I1" s="107"/>
    </row>
    <row r="2" spans="1:16" s="1" customFormat="1" ht="45" thickBot="1">
      <c r="A2" s="31" t="s">
        <v>2</v>
      </c>
      <c r="B2" s="13" t="s">
        <v>3</v>
      </c>
      <c r="C2" s="10"/>
      <c r="D2" s="10" t="s">
        <v>4</v>
      </c>
      <c r="E2" s="14" t="s">
        <v>5</v>
      </c>
      <c r="F2" s="10" t="s">
        <v>6</v>
      </c>
      <c r="G2" s="10" t="s">
        <v>7</v>
      </c>
      <c r="H2" s="10" t="s">
        <v>8</v>
      </c>
      <c r="I2" s="41" t="s">
        <v>9</v>
      </c>
      <c r="J2" s="15" t="s">
        <v>10</v>
      </c>
      <c r="K2" s="16" t="s">
        <v>11</v>
      </c>
      <c r="N2" s="78" t="s">
        <v>12</v>
      </c>
      <c r="O2" s="79" t="s">
        <v>13</v>
      </c>
      <c r="P2" s="80" t="s">
        <v>14</v>
      </c>
    </row>
    <row r="3" spans="1:16" ht="15" customHeight="1" thickBot="1">
      <c r="A3" s="92">
        <v>2021</v>
      </c>
      <c r="B3" s="33" t="s">
        <v>15</v>
      </c>
      <c r="C3" s="33"/>
      <c r="D3" s="11">
        <v>12242.49</v>
      </c>
      <c r="E3" s="11">
        <v>33.68</v>
      </c>
      <c r="F3" s="43">
        <f t="shared" ref="F3:F14" si="0">D3-E3</f>
        <v>12208.81</v>
      </c>
      <c r="G3" s="45">
        <f>5005.25+7237.24</f>
        <v>12242.49</v>
      </c>
      <c r="H3" s="48">
        <f>13.67+20.01</f>
        <v>33.68</v>
      </c>
      <c r="I3" s="44">
        <f t="shared" ref="I3:I30" si="1">G3-H3</f>
        <v>12208.81</v>
      </c>
      <c r="J3" s="95">
        <f>SUM(I3:I14)</f>
        <v>82679.987999999998</v>
      </c>
      <c r="K3" s="97">
        <f>ROUNDDOWN((J3*D$35),0)</f>
        <v>45937</v>
      </c>
      <c r="N3" s="77">
        <v>42735</v>
      </c>
      <c r="O3" s="77">
        <v>43099</v>
      </c>
      <c r="P3" s="2">
        <f>O3-N3+1</f>
        <v>365</v>
      </c>
    </row>
    <row r="4" spans="1:16" ht="15" customHeight="1" thickBot="1">
      <c r="A4" s="93"/>
      <c r="B4" s="6" t="s">
        <v>16</v>
      </c>
      <c r="C4" s="35"/>
      <c r="D4" s="50">
        <v>14919.32</v>
      </c>
      <c r="E4" s="50">
        <v>0.03</v>
      </c>
      <c r="F4" s="43">
        <f t="shared" si="0"/>
        <v>14919.289999999999</v>
      </c>
      <c r="G4" s="50">
        <f>6136.99+8732.33</f>
        <v>14869.32</v>
      </c>
      <c r="H4" s="51">
        <f>0.03+0</f>
        <v>0.03</v>
      </c>
      <c r="I4" s="46">
        <f t="shared" si="1"/>
        <v>14869.289999999999</v>
      </c>
      <c r="J4" s="96"/>
      <c r="K4" s="98"/>
    </row>
    <row r="5" spans="1:16" ht="15" customHeight="1" thickBot="1">
      <c r="A5" s="93"/>
      <c r="B5" s="32" t="s">
        <v>17</v>
      </c>
      <c r="C5" s="28"/>
      <c r="D5" s="8">
        <v>15425.23</v>
      </c>
      <c r="E5" s="8">
        <v>0.06</v>
      </c>
      <c r="F5" s="43">
        <f t="shared" si="0"/>
        <v>15425.17</v>
      </c>
      <c r="G5" s="45">
        <f>6420.98+9004.25</f>
        <v>15425.23</v>
      </c>
      <c r="H5" s="48">
        <f>0+0.06</f>
        <v>0.06</v>
      </c>
      <c r="I5" s="46">
        <f t="shared" si="1"/>
        <v>15425.17</v>
      </c>
      <c r="J5" s="96"/>
      <c r="K5" s="98"/>
    </row>
    <row r="6" spans="1:16" ht="15" customHeight="1" thickBot="1">
      <c r="A6" s="93"/>
      <c r="B6" s="6" t="s">
        <v>18</v>
      </c>
      <c r="C6" s="35"/>
      <c r="D6" s="50">
        <v>15501.54</v>
      </c>
      <c r="E6" s="50">
        <v>0.02</v>
      </c>
      <c r="F6" s="43">
        <f t="shared" si="0"/>
        <v>15501.52</v>
      </c>
      <c r="G6" s="50">
        <f>6439.43+9062.11</f>
        <v>15501.54</v>
      </c>
      <c r="H6" s="51">
        <f>0.01+0.01</f>
        <v>0.02</v>
      </c>
      <c r="I6" s="46">
        <f t="shared" si="1"/>
        <v>15501.52</v>
      </c>
      <c r="J6" s="96"/>
      <c r="K6" s="98"/>
    </row>
    <row r="7" spans="1:16" ht="15" customHeight="1" thickBot="1">
      <c r="A7" s="93"/>
      <c r="B7" s="32" t="s">
        <v>19</v>
      </c>
      <c r="C7" s="28"/>
      <c r="D7" s="8">
        <v>5377.973</v>
      </c>
      <c r="E7" s="8">
        <v>40.984000000000002</v>
      </c>
      <c r="F7" s="43">
        <f t="shared" si="0"/>
        <v>5336.9889999999996</v>
      </c>
      <c r="G7" s="45">
        <f>2573.7+2804.273</f>
        <v>5377.973</v>
      </c>
      <c r="H7" s="48">
        <f>16.632+24.401</f>
        <v>41.033000000000001</v>
      </c>
      <c r="I7" s="46">
        <f t="shared" si="1"/>
        <v>5336.94</v>
      </c>
      <c r="J7" s="96"/>
      <c r="K7" s="98"/>
    </row>
    <row r="8" spans="1:16" ht="15" customHeight="1" thickBot="1">
      <c r="A8" s="93"/>
      <c r="B8" s="6" t="s">
        <v>20</v>
      </c>
      <c r="C8" s="35"/>
      <c r="D8" s="50">
        <v>3360.0039999999999</v>
      </c>
      <c r="E8" s="50">
        <v>63.578000000000003</v>
      </c>
      <c r="F8" s="43">
        <f t="shared" si="0"/>
        <v>3296.4259999999999</v>
      </c>
      <c r="G8" s="50">
        <f>1640.133+1719.871</f>
        <v>3360.0039999999999</v>
      </c>
      <c r="H8" s="51">
        <f>28.641+34.956</f>
        <v>63.597000000000001</v>
      </c>
      <c r="I8" s="46">
        <f t="shared" si="1"/>
        <v>3296.4069999999997</v>
      </c>
      <c r="J8" s="96"/>
      <c r="K8" s="98"/>
    </row>
    <row r="9" spans="1:16" ht="15" customHeight="1" thickBot="1">
      <c r="A9" s="93"/>
      <c r="B9" s="32" t="s">
        <v>21</v>
      </c>
      <c r="C9" s="39"/>
      <c r="D9" s="8">
        <v>653.27099999999996</v>
      </c>
      <c r="E9" s="8">
        <v>80.753</v>
      </c>
      <c r="F9" s="43">
        <f t="shared" si="0"/>
        <v>572.51799999999992</v>
      </c>
      <c r="G9" s="45">
        <f>532.127+121.144</f>
        <v>653.27099999999996</v>
      </c>
      <c r="H9" s="48">
        <f>37.767+42.997</f>
        <v>80.76400000000001</v>
      </c>
      <c r="I9" s="46">
        <f t="shared" si="1"/>
        <v>572.50699999999995</v>
      </c>
      <c r="J9" s="96"/>
      <c r="K9" s="98"/>
    </row>
    <row r="10" spans="1:16" ht="15" customHeight="1" thickBot="1">
      <c r="A10" s="93"/>
      <c r="B10" s="37" t="s">
        <v>22</v>
      </c>
      <c r="C10" s="9"/>
      <c r="D10" s="50">
        <v>545.22500000000002</v>
      </c>
      <c r="E10" s="50">
        <v>80.954999999999998</v>
      </c>
      <c r="F10" s="43">
        <f t="shared" si="0"/>
        <v>464.27000000000004</v>
      </c>
      <c r="G10" s="50">
        <f>356.965+188.26</f>
        <v>545.22499999999991</v>
      </c>
      <c r="H10" s="51">
        <f>37.385+43.59</f>
        <v>80.974999999999994</v>
      </c>
      <c r="I10" s="46">
        <f t="shared" si="1"/>
        <v>464.24999999999989</v>
      </c>
      <c r="J10" s="96"/>
      <c r="K10" s="98"/>
    </row>
    <row r="11" spans="1:16" ht="15" customHeight="1" thickBot="1">
      <c r="A11" s="93"/>
      <c r="B11" s="38" t="s">
        <v>23</v>
      </c>
      <c r="C11" s="8"/>
      <c r="D11" s="8">
        <v>233.48600000000002</v>
      </c>
      <c r="E11" s="8">
        <v>84.454000000000008</v>
      </c>
      <c r="F11" s="43">
        <f t="shared" si="0"/>
        <v>149.03200000000001</v>
      </c>
      <c r="G11" s="45">
        <f>233.486+0</f>
        <v>233.48599999999999</v>
      </c>
      <c r="H11" s="48">
        <f>37.631+46.823</f>
        <v>84.454000000000008</v>
      </c>
      <c r="I11" s="46">
        <f t="shared" si="1"/>
        <v>149.03199999999998</v>
      </c>
      <c r="J11" s="96"/>
      <c r="K11" s="98"/>
    </row>
    <row r="12" spans="1:16" ht="15" customHeight="1" thickBot="1">
      <c r="A12" s="93"/>
      <c r="B12" s="37" t="s">
        <v>24</v>
      </c>
      <c r="C12" s="9"/>
      <c r="D12" s="50">
        <v>277.505</v>
      </c>
      <c r="E12" s="50">
        <v>84.418000000000006</v>
      </c>
      <c r="F12" s="43">
        <f t="shared" si="0"/>
        <v>193.08699999999999</v>
      </c>
      <c r="G12" s="50">
        <f>260.522+16.983</f>
        <v>277.505</v>
      </c>
      <c r="H12" s="51">
        <f>36.637+47.775</f>
        <v>84.412000000000006</v>
      </c>
      <c r="I12" s="46">
        <f t="shared" si="1"/>
        <v>193.09299999999999</v>
      </c>
      <c r="J12" s="96"/>
      <c r="K12" s="98"/>
    </row>
    <row r="13" spans="1:16" ht="15" customHeight="1" thickBot="1">
      <c r="A13" s="93"/>
      <c r="B13" s="38" t="s">
        <v>25</v>
      </c>
      <c r="C13" s="28"/>
      <c r="D13" s="8">
        <v>1428.2450000000001</v>
      </c>
      <c r="E13" s="8">
        <v>68.364999999999995</v>
      </c>
      <c r="F13" s="43">
        <f t="shared" si="0"/>
        <v>1359.88</v>
      </c>
      <c r="G13" s="45">
        <f>685.503+742.742</f>
        <v>1428.2449999999999</v>
      </c>
      <c r="H13" s="48">
        <f>30.624+37.697</f>
        <v>68.320999999999998</v>
      </c>
      <c r="I13" s="46">
        <f t="shared" si="1"/>
        <v>1359.924</v>
      </c>
      <c r="J13" s="96"/>
      <c r="K13" s="98"/>
    </row>
    <row r="14" spans="1:16" ht="15" customHeight="1" thickBot="1">
      <c r="A14" s="94"/>
      <c r="B14" s="40" t="s">
        <v>26</v>
      </c>
      <c r="C14" s="12"/>
      <c r="D14" s="12">
        <v>13330.895</v>
      </c>
      <c r="E14" s="12">
        <v>27.904</v>
      </c>
      <c r="F14" s="43">
        <f t="shared" si="0"/>
        <v>13302.991</v>
      </c>
      <c r="G14" s="12">
        <f>8071.781+5259.114</f>
        <v>13330.895</v>
      </c>
      <c r="H14" s="49">
        <f>12.628+15.222</f>
        <v>27.85</v>
      </c>
      <c r="I14" s="47">
        <f t="shared" si="1"/>
        <v>13303.045</v>
      </c>
      <c r="J14" s="96"/>
      <c r="K14" s="98"/>
    </row>
    <row r="15" spans="1:16" ht="15" customHeight="1" thickBot="1">
      <c r="A15" s="92">
        <v>2022</v>
      </c>
      <c r="B15" s="33" t="s">
        <v>15</v>
      </c>
      <c r="C15" s="33"/>
      <c r="D15" s="11">
        <v>20582.135000000002</v>
      </c>
      <c r="E15" s="11">
        <v>1.8260000000000001</v>
      </c>
      <c r="F15" s="43">
        <f t="shared" ref="F15:F28" si="2">D15-E15</f>
        <v>20580.309000000001</v>
      </c>
      <c r="G15" s="45">
        <f>8188.829+12393.306</f>
        <v>20582.135000000002</v>
      </c>
      <c r="H15" s="48">
        <f>0.343+1.483</f>
        <v>1.8260000000000001</v>
      </c>
      <c r="I15" s="44">
        <f t="shared" si="1"/>
        <v>20580.309000000001</v>
      </c>
      <c r="J15" s="95">
        <f>SUM(I15:I26)</f>
        <v>166563.696</v>
      </c>
      <c r="K15" s="97">
        <f>ROUNDDOWN((J15*D$35),0)</f>
        <v>92542</v>
      </c>
      <c r="N15" s="77">
        <v>43100</v>
      </c>
      <c r="O15" s="77">
        <v>43464</v>
      </c>
      <c r="P15" s="2">
        <f>O15-N15+1</f>
        <v>365</v>
      </c>
    </row>
    <row r="16" spans="1:16" ht="15" customHeight="1" thickBot="1">
      <c r="A16" s="93"/>
      <c r="B16" s="6" t="s">
        <v>16</v>
      </c>
      <c r="C16" s="35"/>
      <c r="D16" s="50">
        <v>41654.500000000007</v>
      </c>
      <c r="E16" s="50">
        <v>0.26800000000000002</v>
      </c>
      <c r="F16" s="43">
        <f t="shared" si="2"/>
        <v>41654.232000000011</v>
      </c>
      <c r="G16" s="50">
        <f>16038.308+25616.192</f>
        <v>41654.5</v>
      </c>
      <c r="H16" s="51">
        <f>0.094+0.174</f>
        <v>0.26800000000000002</v>
      </c>
      <c r="I16" s="46">
        <f t="shared" si="1"/>
        <v>41654.232000000004</v>
      </c>
      <c r="J16" s="96"/>
      <c r="K16" s="98"/>
    </row>
    <row r="17" spans="1:16" ht="15" customHeight="1" thickBot="1">
      <c r="A17" s="93"/>
      <c r="B17" s="32" t="s">
        <v>17</v>
      </c>
      <c r="C17" s="76"/>
      <c r="D17" s="8">
        <v>35640.421000000002</v>
      </c>
      <c r="E17" s="8">
        <v>9.7000000000000003E-2</v>
      </c>
      <c r="F17" s="43">
        <f t="shared" si="2"/>
        <v>35640.324000000001</v>
      </c>
      <c r="G17" s="45">
        <f>14144.473+21495.948</f>
        <v>35640.421000000002</v>
      </c>
      <c r="H17" s="48">
        <f>0.023+0.056</f>
        <v>7.9000000000000001E-2</v>
      </c>
      <c r="I17" s="46">
        <f t="shared" si="1"/>
        <v>35640.342000000004</v>
      </c>
      <c r="J17" s="96"/>
      <c r="K17" s="98"/>
    </row>
    <row r="18" spans="1:16" ht="15" customHeight="1" thickBot="1">
      <c r="A18" s="93"/>
      <c r="B18" s="6" t="s">
        <v>18</v>
      </c>
      <c r="C18" s="35"/>
      <c r="D18" s="50">
        <v>39020.933000000005</v>
      </c>
      <c r="E18" s="50">
        <v>0.254</v>
      </c>
      <c r="F18" s="43">
        <f t="shared" si="2"/>
        <v>39020.679000000004</v>
      </c>
      <c r="G18" s="50">
        <f>15322.332+23698.601</f>
        <v>39020.932999999997</v>
      </c>
      <c r="H18" s="51">
        <f>0.112+0.142</f>
        <v>0.254</v>
      </c>
      <c r="I18" s="46">
        <f t="shared" si="1"/>
        <v>39020.678999999996</v>
      </c>
      <c r="J18" s="96"/>
      <c r="K18" s="98"/>
    </row>
    <row r="19" spans="1:16" ht="15" customHeight="1" thickBot="1">
      <c r="A19" s="93"/>
      <c r="B19" s="32" t="s">
        <v>19</v>
      </c>
      <c r="C19" s="28"/>
      <c r="D19" s="8">
        <v>15886.432999999999</v>
      </c>
      <c r="E19" s="8">
        <v>1.399</v>
      </c>
      <c r="F19" s="43">
        <f t="shared" si="2"/>
        <v>15885.034</v>
      </c>
      <c r="G19" s="45">
        <f>6552.36+9334.073</f>
        <v>15886.433000000001</v>
      </c>
      <c r="H19" s="48">
        <f>0.499+0.615</f>
        <v>1.1139999999999999</v>
      </c>
      <c r="I19" s="46">
        <f t="shared" si="1"/>
        <v>15885.319000000001</v>
      </c>
      <c r="J19" s="96"/>
      <c r="K19" s="98"/>
    </row>
    <row r="20" spans="1:16" ht="15" customHeight="1" thickBot="1">
      <c r="A20" s="93"/>
      <c r="B20" s="6" t="s">
        <v>20</v>
      </c>
      <c r="C20" s="35"/>
      <c r="D20" s="50">
        <v>6564.6939999999995</v>
      </c>
      <c r="E20" s="50">
        <v>16.864000000000001</v>
      </c>
      <c r="F20" s="43">
        <f t="shared" si="2"/>
        <v>6547.83</v>
      </c>
      <c r="G20" s="50">
        <f>2902.707+3661.987</f>
        <v>6564.6939999999995</v>
      </c>
      <c r="H20" s="51">
        <f>7.192+9.689</f>
        <v>16.881</v>
      </c>
      <c r="I20" s="46">
        <f t="shared" si="1"/>
        <v>6547.8129999999992</v>
      </c>
      <c r="J20" s="96"/>
      <c r="K20" s="98"/>
    </row>
    <row r="21" spans="1:16" ht="15" customHeight="1" thickBot="1">
      <c r="A21" s="93"/>
      <c r="B21" s="32" t="s">
        <v>21</v>
      </c>
      <c r="C21" s="39"/>
      <c r="D21" s="8">
        <v>2071.9800000000005</v>
      </c>
      <c r="E21" s="8">
        <v>68.936000000000007</v>
      </c>
      <c r="F21" s="43">
        <f t="shared" si="2"/>
        <v>2003.0440000000006</v>
      </c>
      <c r="G21" s="45">
        <f>894.099+1177.881</f>
        <v>2071.98</v>
      </c>
      <c r="H21" s="48">
        <f>31.994+36.961</f>
        <v>68.954999999999998</v>
      </c>
      <c r="I21" s="46">
        <f t="shared" si="1"/>
        <v>2003.0250000000001</v>
      </c>
      <c r="J21" s="96"/>
      <c r="K21" s="98"/>
    </row>
    <row r="22" spans="1:16" ht="15" customHeight="1" thickBot="1">
      <c r="A22" s="93"/>
      <c r="B22" s="37" t="s">
        <v>22</v>
      </c>
      <c r="C22" s="9"/>
      <c r="D22" s="50">
        <v>705.39499999999987</v>
      </c>
      <c r="E22" s="50">
        <v>82.611999999999995</v>
      </c>
      <c r="F22" s="43">
        <f t="shared" si="2"/>
        <v>622.7829999999999</v>
      </c>
      <c r="G22" s="50">
        <f>347.64+357.755</f>
        <v>705.39499999999998</v>
      </c>
      <c r="H22" s="51">
        <f>39.333+43.308</f>
        <v>82.640999999999991</v>
      </c>
      <c r="I22" s="46">
        <f t="shared" si="1"/>
        <v>622.75400000000002</v>
      </c>
      <c r="J22" s="96"/>
      <c r="K22" s="98"/>
    </row>
    <row r="23" spans="1:16" ht="15" customHeight="1" thickBot="1">
      <c r="A23" s="93"/>
      <c r="B23" s="38" t="s">
        <v>23</v>
      </c>
      <c r="C23" s="8"/>
      <c r="D23" s="8">
        <v>548.03500000000008</v>
      </c>
      <c r="E23" s="8">
        <v>78.854000000000013</v>
      </c>
      <c r="F23" s="43">
        <f t="shared" si="2"/>
        <v>469.18100000000004</v>
      </c>
      <c r="G23" s="45">
        <f>307.598+240.437</f>
        <v>548.03500000000008</v>
      </c>
      <c r="H23" s="48">
        <f>34.967+43.908</f>
        <v>78.875</v>
      </c>
      <c r="I23" s="46">
        <f t="shared" si="1"/>
        <v>469.16000000000008</v>
      </c>
      <c r="J23" s="96"/>
      <c r="K23" s="98"/>
    </row>
    <row r="24" spans="1:16" ht="15" customHeight="1" thickBot="1">
      <c r="A24" s="93"/>
      <c r="B24" s="37" t="s">
        <v>24</v>
      </c>
      <c r="C24" s="9"/>
      <c r="D24" s="50">
        <v>593.08000000000015</v>
      </c>
      <c r="E24" s="50">
        <v>69.629000000000019</v>
      </c>
      <c r="F24" s="43">
        <f t="shared" si="2"/>
        <v>523.45100000000014</v>
      </c>
      <c r="G24" s="50">
        <f>99.963+493.117</f>
        <v>593.08000000000004</v>
      </c>
      <c r="H24" s="51">
        <f>29.042+40.596</f>
        <v>69.638000000000005</v>
      </c>
      <c r="I24" s="46">
        <f t="shared" si="1"/>
        <v>523.44200000000001</v>
      </c>
      <c r="J24" s="96"/>
      <c r="K24" s="98"/>
    </row>
    <row r="25" spans="1:16" ht="15" customHeight="1" thickBot="1">
      <c r="A25" s="93"/>
      <c r="B25" s="38" t="s">
        <v>25</v>
      </c>
      <c r="C25" s="28"/>
      <c r="D25" s="8">
        <v>1379.3989999999999</v>
      </c>
      <c r="E25" s="8">
        <v>63.682000000000023</v>
      </c>
      <c r="F25" s="43">
        <f t="shared" si="2"/>
        <v>1315.7169999999999</v>
      </c>
      <c r="G25" s="45">
        <f>776.335+603.064</f>
        <v>1379.3989999999999</v>
      </c>
      <c r="H25" s="48">
        <f>27.632+36.053</f>
        <v>63.685000000000002</v>
      </c>
      <c r="I25" s="46">
        <f t="shared" si="1"/>
        <v>1315.7139999999999</v>
      </c>
      <c r="J25" s="96"/>
      <c r="K25" s="98"/>
    </row>
    <row r="26" spans="1:16" ht="15" customHeight="1" thickBot="1">
      <c r="A26" s="94"/>
      <c r="B26" s="40" t="s">
        <v>26</v>
      </c>
      <c r="C26" s="12"/>
      <c r="D26" s="12">
        <v>2368.1909999999998</v>
      </c>
      <c r="E26" s="12">
        <v>67.268000000000001</v>
      </c>
      <c r="F26" s="43">
        <f t="shared" si="2"/>
        <v>2300.9229999999998</v>
      </c>
      <c r="G26" s="12">
        <f>1222.806+1145.385</f>
        <v>2368.1909999999998</v>
      </c>
      <c r="H26" s="49">
        <f>29.507+37.777</f>
        <v>67.284000000000006</v>
      </c>
      <c r="I26" s="47">
        <f t="shared" si="1"/>
        <v>2300.9069999999997</v>
      </c>
      <c r="J26" s="96"/>
      <c r="K26" s="98"/>
    </row>
    <row r="27" spans="1:16" ht="15" customHeight="1" thickBot="1">
      <c r="A27" s="92">
        <v>2023</v>
      </c>
      <c r="B27" s="33" t="s">
        <v>15</v>
      </c>
      <c r="C27" s="33"/>
      <c r="D27" s="11">
        <v>1150.8220000000001</v>
      </c>
      <c r="E27" s="11">
        <v>84.075000000000017</v>
      </c>
      <c r="F27" s="43">
        <f t="shared" si="2"/>
        <v>1066.7470000000001</v>
      </c>
      <c r="G27" s="45">
        <f>745.064+405.758</f>
        <v>1150.8219999999999</v>
      </c>
      <c r="H27" s="48">
        <f>35.59+48.507</f>
        <v>84.097000000000008</v>
      </c>
      <c r="I27" s="44">
        <f t="shared" si="1"/>
        <v>1066.7249999999999</v>
      </c>
      <c r="J27" s="95">
        <f>SUM(I27:I30)</f>
        <v>27049.220800000003</v>
      </c>
      <c r="K27" s="97">
        <f>ROUNDDOWN((J27*D$35),0)</f>
        <v>15028</v>
      </c>
      <c r="N27" s="77">
        <v>43465</v>
      </c>
      <c r="O27" s="77">
        <v>43563</v>
      </c>
      <c r="P27" s="2">
        <f>O27-N27+1</f>
        <v>99</v>
      </c>
    </row>
    <row r="28" spans="1:16" ht="15" customHeight="1" thickBot="1">
      <c r="A28" s="93"/>
      <c r="B28" s="37" t="s">
        <v>16</v>
      </c>
      <c r="C28" s="35"/>
      <c r="D28" s="50">
        <v>2715.6710000000003</v>
      </c>
      <c r="E28" s="50">
        <v>63.524999999999999</v>
      </c>
      <c r="F28" s="43">
        <f t="shared" si="2"/>
        <v>2652.1460000000002</v>
      </c>
      <c r="G28" s="50">
        <f>1289.134+1426.537</f>
        <v>2715.6710000000003</v>
      </c>
      <c r="H28" s="51">
        <f>26.718+36.828</f>
        <v>63.546000000000006</v>
      </c>
      <c r="I28" s="46">
        <f t="shared" si="1"/>
        <v>2652.1250000000005</v>
      </c>
      <c r="J28" s="96"/>
      <c r="K28" s="98"/>
    </row>
    <row r="29" spans="1:16" ht="15" customHeight="1" thickBot="1">
      <c r="A29" s="93"/>
      <c r="B29" s="32" t="s">
        <v>17</v>
      </c>
      <c r="C29" s="28"/>
      <c r="D29" s="8">
        <v>17396.124000000003</v>
      </c>
      <c r="E29" s="8">
        <v>22.795000000000002</v>
      </c>
      <c r="F29" s="43">
        <f>D29-E29</f>
        <v>17373.329000000005</v>
      </c>
      <c r="G29" s="45">
        <f>6929.144+10466.98</f>
        <v>17396.124</v>
      </c>
      <c r="H29" s="48">
        <f>9.561+13.234</f>
        <v>22.795000000000002</v>
      </c>
      <c r="I29" s="46">
        <f t="shared" si="1"/>
        <v>17373.329000000002</v>
      </c>
      <c r="J29" s="96"/>
      <c r="K29" s="98"/>
    </row>
    <row r="30" spans="1:16" ht="15" customHeight="1">
      <c r="A30" s="93"/>
      <c r="B30" s="37" t="s">
        <v>18</v>
      </c>
      <c r="C30" s="35"/>
      <c r="D30" s="50">
        <f>(11706.46+8150.36)*9/30</f>
        <v>5957.0460000000003</v>
      </c>
      <c r="E30" s="50">
        <f>(0.015+0)*9/30</f>
        <v>4.5000000000000005E-3</v>
      </c>
      <c r="F30" s="43">
        <f>D30-E30</f>
        <v>5957.0415000000003</v>
      </c>
      <c r="G30" s="50">
        <f>(8150.361+11706.46)*9/30</f>
        <v>5957.0463</v>
      </c>
      <c r="H30" s="51">
        <f>(0+0.015)*9/30</f>
        <v>4.5000000000000005E-3</v>
      </c>
      <c r="I30" s="46">
        <f t="shared" si="1"/>
        <v>5957.0418</v>
      </c>
      <c r="J30" s="96"/>
      <c r="K30" s="98"/>
    </row>
    <row r="31" spans="1:16" ht="15" customHeight="1">
      <c r="A31" s="18"/>
      <c r="B31" s="18"/>
      <c r="C31" s="18"/>
      <c r="D31" s="26"/>
      <c r="E31" s="26"/>
      <c r="F31" s="26"/>
      <c r="G31" s="26"/>
      <c r="H31" s="26"/>
      <c r="I31" s="27"/>
      <c r="J31" s="19"/>
      <c r="K31" s="20"/>
    </row>
    <row r="32" spans="1:16" ht="13.5" customHeight="1">
      <c r="A32" s="17"/>
      <c r="B32" s="21" t="s">
        <v>27</v>
      </c>
      <c r="C32" s="108"/>
      <c r="D32" s="109">
        <f>SUM(D3:D30)</f>
        <v>277530.04299999995</v>
      </c>
      <c r="E32" s="109">
        <f>SUM(E3:E30)</f>
        <v>1187.2895000000003</v>
      </c>
      <c r="F32" s="109">
        <f>SUM(F3:F30)</f>
        <v>276342.75350000005</v>
      </c>
      <c r="G32" s="109">
        <f t="shared" ref="D32:K32" si="3">SUM(G3:G30)</f>
        <v>277480.0432999999</v>
      </c>
      <c r="H32" s="109">
        <f t="shared" si="3"/>
        <v>1187.1385000000002</v>
      </c>
      <c r="I32" s="109">
        <f t="shared" si="3"/>
        <v>276292.90480000002</v>
      </c>
      <c r="J32" s="109">
        <f t="shared" si="3"/>
        <v>276292.90480000002</v>
      </c>
      <c r="K32" s="109">
        <f t="shared" si="3"/>
        <v>153507</v>
      </c>
      <c r="L32" s="22"/>
      <c r="P32" s="2">
        <f>P3+P15+P27</f>
        <v>829</v>
      </c>
    </row>
    <row r="33" spans="1:16" ht="13.5" customHeight="1" thickBot="1">
      <c r="A33" s="4"/>
      <c r="F33" s="3"/>
      <c r="K33" s="1"/>
    </row>
    <row r="34" spans="1:16" ht="71.25" customHeight="1" thickBot="1">
      <c r="C34" s="34" t="s">
        <v>28</v>
      </c>
      <c r="D34" s="110">
        <f>+J32</f>
        <v>276292.90480000002</v>
      </c>
      <c r="E34" s="30"/>
      <c r="F34" s="89" t="s">
        <v>29</v>
      </c>
      <c r="G34" s="90"/>
      <c r="H34" s="91"/>
      <c r="J34" s="99" t="s">
        <v>30</v>
      </c>
      <c r="K34" s="100"/>
      <c r="L34" s="100"/>
      <c r="M34" s="101"/>
      <c r="N34" s="83" t="s">
        <v>31</v>
      </c>
      <c r="O34" s="83" t="s">
        <v>32</v>
      </c>
    </row>
    <row r="35" spans="1:16" ht="98.25" customHeight="1">
      <c r="C35" s="25" t="s">
        <v>33</v>
      </c>
      <c r="D35" s="111">
        <v>0.55559999999999998</v>
      </c>
      <c r="F35" s="25" t="s">
        <v>34</v>
      </c>
      <c r="G35" s="75">
        <f>+J3</f>
        <v>82679.987999999998</v>
      </c>
      <c r="H35" s="23" t="s">
        <v>35</v>
      </c>
      <c r="J35" s="82" t="s">
        <v>36</v>
      </c>
      <c r="K35" s="81">
        <f>205299</f>
        <v>205299</v>
      </c>
      <c r="L35" s="82" t="s">
        <v>37</v>
      </c>
      <c r="M35" s="85">
        <f>114065</f>
        <v>114065</v>
      </c>
      <c r="N35" s="84">
        <f>(G35-K35)/K35</f>
        <v>-0.59727038124881271</v>
      </c>
      <c r="O35" s="84">
        <f>(K3-M35)/M35</f>
        <v>-0.59727348441677985</v>
      </c>
    </row>
    <row r="36" spans="1:16" ht="103.5" customHeight="1">
      <c r="C36" s="25" t="s">
        <v>38</v>
      </c>
      <c r="D36" s="73">
        <f>+K3</f>
        <v>45937</v>
      </c>
      <c r="F36" s="25" t="s">
        <v>39</v>
      </c>
      <c r="G36" s="75">
        <f>+J15</f>
        <v>166563.696</v>
      </c>
      <c r="H36" s="23" t="s">
        <v>35</v>
      </c>
      <c r="J36" s="82" t="s">
        <v>40</v>
      </c>
      <c r="K36" s="81">
        <f>205299</f>
        <v>205299</v>
      </c>
      <c r="L36" s="82" t="s">
        <v>41</v>
      </c>
      <c r="M36" s="85">
        <f>114065</f>
        <v>114065</v>
      </c>
      <c r="N36" s="84">
        <f>(G36-K36)/K36</f>
        <v>-0.18867750938874522</v>
      </c>
      <c r="O36" s="84">
        <f>(K15-M36)/M36</f>
        <v>-0.18869065883487485</v>
      </c>
    </row>
    <row r="37" spans="1:16" ht="107.25" customHeight="1">
      <c r="C37" s="25" t="s">
        <v>42</v>
      </c>
      <c r="D37" s="73">
        <f>K15</f>
        <v>92542</v>
      </c>
      <c r="F37" s="25" t="s">
        <v>43</v>
      </c>
      <c r="G37" s="75">
        <f>+J27</f>
        <v>27049.220800000003</v>
      </c>
      <c r="H37" s="23" t="s">
        <v>35</v>
      </c>
      <c r="J37" s="82" t="s">
        <v>44</v>
      </c>
      <c r="K37" s="81">
        <f>205299*$P$27/365</f>
        <v>55683.838356164386</v>
      </c>
      <c r="L37" s="82" t="s">
        <v>45</v>
      </c>
      <c r="M37" s="85">
        <f>30938</f>
        <v>30938</v>
      </c>
      <c r="N37" s="84">
        <f>(G37-K37)/K37</f>
        <v>-0.51423569928875845</v>
      </c>
      <c r="O37" s="84">
        <f>(K27-M37)/M37</f>
        <v>-0.51425431508177644</v>
      </c>
    </row>
    <row r="38" spans="1:16" ht="72.75" customHeight="1">
      <c r="C38" s="25" t="s">
        <v>46</v>
      </c>
      <c r="D38" s="73">
        <f>K27</f>
        <v>15028</v>
      </c>
      <c r="F38" s="25" t="s">
        <v>47</v>
      </c>
      <c r="G38" s="75">
        <f>+J32</f>
        <v>276292.90480000002</v>
      </c>
      <c r="H38" s="23" t="s">
        <v>35</v>
      </c>
      <c r="I38"/>
      <c r="J38" s="25" t="s">
        <v>48</v>
      </c>
      <c r="K38" s="88">
        <f>SUM(K35:K37)</f>
        <v>466281.8383561644</v>
      </c>
      <c r="L38" s="25" t="s">
        <v>49</v>
      </c>
      <c r="M38" s="86">
        <f>SUM(M35:M37)</f>
        <v>259068</v>
      </c>
      <c r="N38" s="84">
        <f>(G38-K38)/K38</f>
        <v>-0.40745514392315524</v>
      </c>
      <c r="O38" s="84">
        <f>(D39-M38)/M38</f>
        <v>-0.40746444948816529</v>
      </c>
    </row>
    <row r="39" spans="1:16" ht="76.5" customHeight="1" thickBot="1">
      <c r="C39" s="25" t="s">
        <v>50</v>
      </c>
      <c r="D39" s="74">
        <f>D36+D37+D38</f>
        <v>153507</v>
      </c>
      <c r="E39" s="74"/>
      <c r="F39" s="71" t="s">
        <v>51</v>
      </c>
      <c r="G39" s="112">
        <f>G38*365/$P$32</f>
        <v>121648.86640772015</v>
      </c>
      <c r="H39" s="24" t="s">
        <v>35</v>
      </c>
      <c r="I39"/>
      <c r="J39" s="71" t="s">
        <v>52</v>
      </c>
      <c r="K39" s="87">
        <f>K38*365/$P$32</f>
        <v>205299</v>
      </c>
      <c r="L39" s="71" t="s">
        <v>53</v>
      </c>
      <c r="M39" s="87">
        <f>M38*365/$P$32</f>
        <v>114064.92159227986</v>
      </c>
      <c r="N39" s="84">
        <f>(G39-K39)/K39</f>
        <v>-0.40745514392315524</v>
      </c>
      <c r="O39" s="84">
        <f>(D40-M39)/M39</f>
        <v>-0.40746444948816529</v>
      </c>
    </row>
    <row r="40" spans="1:16" ht="48" customHeight="1" thickBot="1">
      <c r="C40" s="25" t="s">
        <v>54</v>
      </c>
      <c r="D40" s="113">
        <f>D39*365/$P$32</f>
        <v>67587.521109770809</v>
      </c>
      <c r="F40"/>
      <c r="G40"/>
      <c r="H40"/>
    </row>
    <row r="41" spans="1:16" ht="61.9" customHeight="1">
      <c r="C41"/>
      <c r="D41"/>
      <c r="E41" s="42"/>
      <c r="F41"/>
      <c r="G41"/>
      <c r="H41"/>
      <c r="I41"/>
      <c r="J41"/>
      <c r="K41"/>
      <c r="L41"/>
      <c r="M41"/>
      <c r="N41"/>
    </row>
    <row r="42" spans="1:16" ht="59.45" customHeight="1">
      <c r="C42"/>
      <c r="D42"/>
      <c r="E42"/>
      <c r="F42"/>
      <c r="G42"/>
      <c r="H42"/>
      <c r="I42"/>
      <c r="J42"/>
      <c r="K42"/>
      <c r="L42"/>
      <c r="M42"/>
      <c r="N42"/>
      <c r="O42"/>
      <c r="P42"/>
    </row>
    <row r="43" spans="1:16" ht="59.45" customHeight="1">
      <c r="C43"/>
      <c r="D43"/>
      <c r="E43"/>
      <c r="F43"/>
      <c r="G43"/>
      <c r="H43"/>
      <c r="I43"/>
      <c r="J43"/>
      <c r="K43"/>
      <c r="L43"/>
      <c r="M43"/>
      <c r="N43"/>
      <c r="O43"/>
      <c r="P43"/>
    </row>
    <row r="44" spans="1:16" ht="54.6" customHeight="1">
      <c r="E44"/>
      <c r="F44"/>
      <c r="G44"/>
      <c r="H44"/>
      <c r="I44"/>
      <c r="J44"/>
      <c r="K44"/>
      <c r="L44"/>
      <c r="M44"/>
      <c r="N44"/>
      <c r="O44"/>
      <c r="P44"/>
    </row>
    <row r="45" spans="1:16" ht="51" customHeight="1">
      <c r="E45"/>
      <c r="F45"/>
      <c r="G45"/>
      <c r="H45"/>
      <c r="I45"/>
      <c r="J45"/>
      <c r="K45"/>
      <c r="L45"/>
      <c r="M45"/>
      <c r="N45"/>
      <c r="O45"/>
      <c r="P45"/>
    </row>
    <row r="46" spans="1:16" ht="55.9" customHeight="1">
      <c r="E46"/>
      <c r="F46"/>
      <c r="G46"/>
      <c r="H46"/>
      <c r="I46"/>
      <c r="J46"/>
      <c r="K46"/>
      <c r="L46"/>
      <c r="M46"/>
      <c r="N46"/>
      <c r="O46"/>
      <c r="P46"/>
    </row>
    <row r="47" spans="1:16" ht="30" customHeight="1">
      <c r="K47" s="72"/>
      <c r="L47"/>
      <c r="M47"/>
      <c r="N47"/>
      <c r="O47"/>
      <c r="P47"/>
    </row>
    <row r="48" spans="1:16" ht="37.9" customHeight="1">
      <c r="G48" s="36"/>
      <c r="K48" s="72"/>
      <c r="L48"/>
      <c r="M48"/>
      <c r="N48"/>
      <c r="O48"/>
      <c r="P48"/>
    </row>
    <row r="49" spans="3:16">
      <c r="L49"/>
      <c r="M49"/>
      <c r="N49"/>
      <c r="O49"/>
      <c r="P49"/>
    </row>
    <row r="50" spans="3:16">
      <c r="C50" s="5"/>
      <c r="D50" s="42"/>
      <c r="F50" s="5"/>
      <c r="G50" s="42"/>
      <c r="L50"/>
      <c r="M50"/>
      <c r="N50"/>
      <c r="O50"/>
      <c r="P50"/>
    </row>
    <row r="51" spans="3:16">
      <c r="C51"/>
      <c r="D51"/>
      <c r="E51"/>
      <c r="F51"/>
      <c r="G51"/>
      <c r="H51"/>
      <c r="L51"/>
      <c r="M51"/>
      <c r="N51"/>
      <c r="O51"/>
      <c r="P51"/>
    </row>
    <row r="52" spans="3:16">
      <c r="C52"/>
      <c r="D52"/>
      <c r="E52"/>
      <c r="F52"/>
      <c r="G52"/>
      <c r="H52"/>
      <c r="J52" s="53"/>
      <c r="L52"/>
      <c r="M52"/>
      <c r="N52"/>
      <c r="O52"/>
      <c r="P52"/>
    </row>
    <row r="53" spans="3:16">
      <c r="C53"/>
      <c r="D53"/>
      <c r="E53"/>
      <c r="F53"/>
      <c r="G53"/>
      <c r="H53"/>
      <c r="J53" s="36"/>
      <c r="L53"/>
      <c r="M53"/>
      <c r="N53"/>
      <c r="O53"/>
      <c r="P53"/>
    </row>
    <row r="54" spans="3:16">
      <c r="C54"/>
      <c r="D54"/>
      <c r="E54"/>
      <c r="F54"/>
      <c r="G54"/>
      <c r="H54"/>
      <c r="L54"/>
      <c r="M54"/>
      <c r="N54"/>
      <c r="O54"/>
      <c r="P54"/>
    </row>
    <row r="55" spans="3:16">
      <c r="C55"/>
      <c r="D55"/>
      <c r="E55"/>
      <c r="F55"/>
      <c r="G55"/>
      <c r="H55"/>
      <c r="J55" s="36"/>
      <c r="L55"/>
      <c r="M55"/>
      <c r="N55"/>
      <c r="O55"/>
      <c r="P55"/>
    </row>
    <row r="56" spans="3:16">
      <c r="C56"/>
      <c r="D56"/>
      <c r="E56"/>
      <c r="F56"/>
      <c r="G56"/>
      <c r="H56"/>
      <c r="L56"/>
      <c r="M56"/>
      <c r="N56"/>
      <c r="O56"/>
      <c r="P56"/>
    </row>
    <row r="57" spans="3:16">
      <c r="C57"/>
      <c r="D57"/>
      <c r="E57"/>
      <c r="F57"/>
      <c r="G57"/>
      <c r="H57"/>
      <c r="L57"/>
      <c r="M57"/>
      <c r="N57"/>
      <c r="O57"/>
      <c r="P57"/>
    </row>
    <row r="58" spans="3:16">
      <c r="C58"/>
      <c r="D58"/>
      <c r="E58"/>
      <c r="F58"/>
      <c r="G58"/>
      <c r="H58"/>
      <c r="L58"/>
      <c r="M58"/>
      <c r="N58"/>
      <c r="O58"/>
      <c r="P58"/>
    </row>
    <row r="59" spans="3:16">
      <c r="C59"/>
      <c r="D59"/>
      <c r="E59"/>
      <c r="F59"/>
      <c r="G59"/>
      <c r="H59"/>
    </row>
    <row r="60" spans="3:16">
      <c r="C60"/>
      <c r="D60"/>
      <c r="E60"/>
      <c r="F60"/>
      <c r="G60"/>
      <c r="H60"/>
    </row>
    <row r="61" spans="3:16">
      <c r="C61"/>
      <c r="D61"/>
      <c r="E61"/>
      <c r="F61"/>
      <c r="G61"/>
      <c r="H61"/>
    </row>
    <row r="62" spans="3:16">
      <c r="C62"/>
      <c r="D62"/>
      <c r="E62"/>
      <c r="F62"/>
      <c r="G62"/>
      <c r="H62"/>
    </row>
    <row r="63" spans="3:16">
      <c r="C63"/>
      <c r="D63"/>
      <c r="E63"/>
      <c r="F63"/>
      <c r="G63"/>
      <c r="H63"/>
    </row>
    <row r="64" spans="3:16">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sheetData>
  <mergeCells count="13">
    <mergeCell ref="A1:C1"/>
    <mergeCell ref="D1:I1"/>
    <mergeCell ref="A27:A30"/>
    <mergeCell ref="J27:J30"/>
    <mergeCell ref="K27:K30"/>
    <mergeCell ref="F34:H34"/>
    <mergeCell ref="A3:A14"/>
    <mergeCell ref="J3:J14"/>
    <mergeCell ref="K3:K14"/>
    <mergeCell ref="A15:A26"/>
    <mergeCell ref="J15:J26"/>
    <mergeCell ref="K15:K26"/>
    <mergeCell ref="J34:M34"/>
  </mergeCells>
  <printOptions horizontalCentered="1" verticalCentered="1"/>
  <pageMargins left="0.55118110236220474" right="0.55118110236220474" top="0.78740157480314965" bottom="0.78740157480314965" header="0.51181102362204722" footer="0.51181102362204722"/>
  <pageSetup paperSize="9" scale="49" orientation="landscape" r:id="rId1"/>
  <headerFooter alignWithMargins="0">
    <oddHeader>&amp;C&amp;"Verdana,Kalın"&amp;22HAMZALI HEPP ELECTRICITY GENERATION AND EMISSIONS REDUCTION VALUES</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853B-48F8-416D-9C76-9DC8A1B0A7A5}">
  <sheetPr codeName="Sheet3"/>
  <dimension ref="A1:H14"/>
  <sheetViews>
    <sheetView zoomScale="85" zoomScaleNormal="85" workbookViewId="0">
      <selection activeCell="G13" sqref="G13"/>
    </sheetView>
  </sheetViews>
  <sheetFormatPr defaultRowHeight="12.75"/>
  <cols>
    <col min="1" max="1" width="25.25" customWidth="1"/>
    <col min="2" max="4" width="14.875" style="7" customWidth="1"/>
    <col min="7" max="7" width="12.125" bestFit="1" customWidth="1"/>
    <col min="257" max="257" width="25.25" customWidth="1"/>
    <col min="258" max="260" width="14.875" customWidth="1"/>
    <col min="263" max="263" width="12.125" bestFit="1" customWidth="1"/>
    <col min="513" max="513" width="25.25" customWidth="1"/>
    <col min="514" max="516" width="14.875" customWidth="1"/>
    <col min="519" max="519" width="12.125" bestFit="1" customWidth="1"/>
    <col min="769" max="769" width="25.25" customWidth="1"/>
    <col min="770" max="772" width="14.875" customWidth="1"/>
    <col min="775" max="775" width="12.125" bestFit="1" customWidth="1"/>
    <col min="1025" max="1025" width="25.25" customWidth="1"/>
    <col min="1026" max="1028" width="14.875" customWidth="1"/>
    <col min="1031" max="1031" width="12.125" bestFit="1" customWidth="1"/>
    <col min="1281" max="1281" width="25.25" customWidth="1"/>
    <col min="1282" max="1284" width="14.875" customWidth="1"/>
    <col min="1287" max="1287" width="12.125" bestFit="1" customWidth="1"/>
    <col min="1537" max="1537" width="25.25" customWidth="1"/>
    <col min="1538" max="1540" width="14.875" customWidth="1"/>
    <col min="1543" max="1543" width="12.125" bestFit="1" customWidth="1"/>
    <col min="1793" max="1793" width="25.25" customWidth="1"/>
    <col min="1794" max="1796" width="14.875" customWidth="1"/>
    <col min="1799" max="1799" width="12.125" bestFit="1" customWidth="1"/>
    <col min="2049" max="2049" width="25.25" customWidth="1"/>
    <col min="2050" max="2052" width="14.875" customWidth="1"/>
    <col min="2055" max="2055" width="12.125" bestFit="1" customWidth="1"/>
    <col min="2305" max="2305" width="25.25" customWidth="1"/>
    <col min="2306" max="2308" width="14.875" customWidth="1"/>
    <col min="2311" max="2311" width="12.125" bestFit="1" customWidth="1"/>
    <col min="2561" max="2561" width="25.25" customWidth="1"/>
    <col min="2562" max="2564" width="14.875" customWidth="1"/>
    <col min="2567" max="2567" width="12.125" bestFit="1" customWidth="1"/>
    <col min="2817" max="2817" width="25.25" customWidth="1"/>
    <col min="2818" max="2820" width="14.875" customWidth="1"/>
    <col min="2823" max="2823" width="12.125" bestFit="1" customWidth="1"/>
    <col min="3073" max="3073" width="25.25" customWidth="1"/>
    <col min="3074" max="3076" width="14.875" customWidth="1"/>
    <col min="3079" max="3079" width="12.125" bestFit="1" customWidth="1"/>
    <col min="3329" max="3329" width="25.25" customWidth="1"/>
    <col min="3330" max="3332" width="14.875" customWidth="1"/>
    <col min="3335" max="3335" width="12.125" bestFit="1" customWidth="1"/>
    <col min="3585" max="3585" width="25.25" customWidth="1"/>
    <col min="3586" max="3588" width="14.875" customWidth="1"/>
    <col min="3591" max="3591" width="12.125" bestFit="1" customWidth="1"/>
    <col min="3841" max="3841" width="25.25" customWidth="1"/>
    <col min="3842" max="3844" width="14.875" customWidth="1"/>
    <col min="3847" max="3847" width="12.125" bestFit="1" customWidth="1"/>
    <col min="4097" max="4097" width="25.25" customWidth="1"/>
    <col min="4098" max="4100" width="14.875" customWidth="1"/>
    <col min="4103" max="4103" width="12.125" bestFit="1" customWidth="1"/>
    <col min="4353" max="4353" width="25.25" customWidth="1"/>
    <col min="4354" max="4356" width="14.875" customWidth="1"/>
    <col min="4359" max="4359" width="12.125" bestFit="1" customWidth="1"/>
    <col min="4609" max="4609" width="25.25" customWidth="1"/>
    <col min="4610" max="4612" width="14.875" customWidth="1"/>
    <col min="4615" max="4615" width="12.125" bestFit="1" customWidth="1"/>
    <col min="4865" max="4865" width="25.25" customWidth="1"/>
    <col min="4866" max="4868" width="14.875" customWidth="1"/>
    <col min="4871" max="4871" width="12.125" bestFit="1" customWidth="1"/>
    <col min="5121" max="5121" width="25.25" customWidth="1"/>
    <col min="5122" max="5124" width="14.875" customWidth="1"/>
    <col min="5127" max="5127" width="12.125" bestFit="1" customWidth="1"/>
    <col min="5377" max="5377" width="25.25" customWidth="1"/>
    <col min="5378" max="5380" width="14.875" customWidth="1"/>
    <col min="5383" max="5383" width="12.125" bestFit="1" customWidth="1"/>
    <col min="5633" max="5633" width="25.25" customWidth="1"/>
    <col min="5634" max="5636" width="14.875" customWidth="1"/>
    <col min="5639" max="5639" width="12.125" bestFit="1" customWidth="1"/>
    <col min="5889" max="5889" width="25.25" customWidth="1"/>
    <col min="5890" max="5892" width="14.875" customWidth="1"/>
    <col min="5895" max="5895" width="12.125" bestFit="1" customWidth="1"/>
    <col min="6145" max="6145" width="25.25" customWidth="1"/>
    <col min="6146" max="6148" width="14.875" customWidth="1"/>
    <col min="6151" max="6151" width="12.125" bestFit="1" customWidth="1"/>
    <col min="6401" max="6401" width="25.25" customWidth="1"/>
    <col min="6402" max="6404" width="14.875" customWidth="1"/>
    <col min="6407" max="6407" width="12.125" bestFit="1" customWidth="1"/>
    <col min="6657" max="6657" width="25.25" customWidth="1"/>
    <col min="6658" max="6660" width="14.875" customWidth="1"/>
    <col min="6663" max="6663" width="12.125" bestFit="1" customWidth="1"/>
    <col min="6913" max="6913" width="25.25" customWidth="1"/>
    <col min="6914" max="6916" width="14.875" customWidth="1"/>
    <col min="6919" max="6919" width="12.125" bestFit="1" customWidth="1"/>
    <col min="7169" max="7169" width="25.25" customWidth="1"/>
    <col min="7170" max="7172" width="14.875" customWidth="1"/>
    <col min="7175" max="7175" width="12.125" bestFit="1" customWidth="1"/>
    <col min="7425" max="7425" width="25.25" customWidth="1"/>
    <col min="7426" max="7428" width="14.875" customWidth="1"/>
    <col min="7431" max="7431" width="12.125" bestFit="1" customWidth="1"/>
    <col min="7681" max="7681" width="25.25" customWidth="1"/>
    <col min="7682" max="7684" width="14.875" customWidth="1"/>
    <col min="7687" max="7687" width="12.125" bestFit="1" customWidth="1"/>
    <col min="7937" max="7937" width="25.25" customWidth="1"/>
    <col min="7938" max="7940" width="14.875" customWidth="1"/>
    <col min="7943" max="7943" width="12.125" bestFit="1" customWidth="1"/>
    <col min="8193" max="8193" width="25.25" customWidth="1"/>
    <col min="8194" max="8196" width="14.875" customWidth="1"/>
    <col min="8199" max="8199" width="12.125" bestFit="1" customWidth="1"/>
    <col min="8449" max="8449" width="25.25" customWidth="1"/>
    <col min="8450" max="8452" width="14.875" customWidth="1"/>
    <col min="8455" max="8455" width="12.125" bestFit="1" customWidth="1"/>
    <col min="8705" max="8705" width="25.25" customWidth="1"/>
    <col min="8706" max="8708" width="14.875" customWidth="1"/>
    <col min="8711" max="8711" width="12.125" bestFit="1" customWidth="1"/>
    <col min="8961" max="8961" width="25.25" customWidth="1"/>
    <col min="8962" max="8964" width="14.875" customWidth="1"/>
    <col min="8967" max="8967" width="12.125" bestFit="1" customWidth="1"/>
    <col min="9217" max="9217" width="25.25" customWidth="1"/>
    <col min="9218" max="9220" width="14.875" customWidth="1"/>
    <col min="9223" max="9223" width="12.125" bestFit="1" customWidth="1"/>
    <col min="9473" max="9473" width="25.25" customWidth="1"/>
    <col min="9474" max="9476" width="14.875" customWidth="1"/>
    <col min="9479" max="9479" width="12.125" bestFit="1" customWidth="1"/>
    <col min="9729" max="9729" width="25.25" customWidth="1"/>
    <col min="9730" max="9732" width="14.875" customWidth="1"/>
    <col min="9735" max="9735" width="12.125" bestFit="1" customWidth="1"/>
    <col min="9985" max="9985" width="25.25" customWidth="1"/>
    <col min="9986" max="9988" width="14.875" customWidth="1"/>
    <col min="9991" max="9991" width="12.125" bestFit="1" customWidth="1"/>
    <col min="10241" max="10241" width="25.25" customWidth="1"/>
    <col min="10242" max="10244" width="14.875" customWidth="1"/>
    <col min="10247" max="10247" width="12.125" bestFit="1" customWidth="1"/>
    <col min="10497" max="10497" width="25.25" customWidth="1"/>
    <col min="10498" max="10500" width="14.875" customWidth="1"/>
    <col min="10503" max="10503" width="12.125" bestFit="1" customWidth="1"/>
    <col min="10753" max="10753" width="25.25" customWidth="1"/>
    <col min="10754" max="10756" width="14.875" customWidth="1"/>
    <col min="10759" max="10759" width="12.125" bestFit="1" customWidth="1"/>
    <col min="11009" max="11009" width="25.25" customWidth="1"/>
    <col min="11010" max="11012" width="14.875" customWidth="1"/>
    <col min="11015" max="11015" width="12.125" bestFit="1" customWidth="1"/>
    <col min="11265" max="11265" width="25.25" customWidth="1"/>
    <col min="11266" max="11268" width="14.875" customWidth="1"/>
    <col min="11271" max="11271" width="12.125" bestFit="1" customWidth="1"/>
    <col min="11521" max="11521" width="25.25" customWidth="1"/>
    <col min="11522" max="11524" width="14.875" customWidth="1"/>
    <col min="11527" max="11527" width="12.125" bestFit="1" customWidth="1"/>
    <col min="11777" max="11777" width="25.25" customWidth="1"/>
    <col min="11778" max="11780" width="14.875" customWidth="1"/>
    <col min="11783" max="11783" width="12.125" bestFit="1" customWidth="1"/>
    <col min="12033" max="12033" width="25.25" customWidth="1"/>
    <col min="12034" max="12036" width="14.875" customWidth="1"/>
    <col min="12039" max="12039" width="12.125" bestFit="1" customWidth="1"/>
    <col min="12289" max="12289" width="25.25" customWidth="1"/>
    <col min="12290" max="12292" width="14.875" customWidth="1"/>
    <col min="12295" max="12295" width="12.125" bestFit="1" customWidth="1"/>
    <col min="12545" max="12545" width="25.25" customWidth="1"/>
    <col min="12546" max="12548" width="14.875" customWidth="1"/>
    <col min="12551" max="12551" width="12.125" bestFit="1" customWidth="1"/>
    <col min="12801" max="12801" width="25.25" customWidth="1"/>
    <col min="12802" max="12804" width="14.875" customWidth="1"/>
    <col min="12807" max="12807" width="12.125" bestFit="1" customWidth="1"/>
    <col min="13057" max="13057" width="25.25" customWidth="1"/>
    <col min="13058" max="13060" width="14.875" customWidth="1"/>
    <col min="13063" max="13063" width="12.125" bestFit="1" customWidth="1"/>
    <col min="13313" max="13313" width="25.25" customWidth="1"/>
    <col min="13314" max="13316" width="14.875" customWidth="1"/>
    <col min="13319" max="13319" width="12.125" bestFit="1" customWidth="1"/>
    <col min="13569" max="13569" width="25.25" customWidth="1"/>
    <col min="13570" max="13572" width="14.875" customWidth="1"/>
    <col min="13575" max="13575" width="12.125" bestFit="1" customWidth="1"/>
    <col min="13825" max="13825" width="25.25" customWidth="1"/>
    <col min="13826" max="13828" width="14.875" customWidth="1"/>
    <col min="13831" max="13831" width="12.125" bestFit="1" customWidth="1"/>
    <col min="14081" max="14081" width="25.25" customWidth="1"/>
    <col min="14082" max="14084" width="14.875" customWidth="1"/>
    <col min="14087" max="14087" width="12.125" bestFit="1" customWidth="1"/>
    <col min="14337" max="14337" width="25.25" customWidth="1"/>
    <col min="14338" max="14340" width="14.875" customWidth="1"/>
    <col min="14343" max="14343" width="12.125" bestFit="1" customWidth="1"/>
    <col min="14593" max="14593" width="25.25" customWidth="1"/>
    <col min="14594" max="14596" width="14.875" customWidth="1"/>
    <col min="14599" max="14599" width="12.125" bestFit="1" customWidth="1"/>
    <col min="14849" max="14849" width="25.25" customWidth="1"/>
    <col min="14850" max="14852" width="14.875" customWidth="1"/>
    <col min="14855" max="14855" width="12.125" bestFit="1" customWidth="1"/>
    <col min="15105" max="15105" width="25.25" customWidth="1"/>
    <col min="15106" max="15108" width="14.875" customWidth="1"/>
    <col min="15111" max="15111" width="12.125" bestFit="1" customWidth="1"/>
    <col min="15361" max="15361" width="25.25" customWidth="1"/>
    <col min="15362" max="15364" width="14.875" customWidth="1"/>
    <col min="15367" max="15367" width="12.125" bestFit="1" customWidth="1"/>
    <col min="15617" max="15617" width="25.25" customWidth="1"/>
    <col min="15618" max="15620" width="14.875" customWidth="1"/>
    <col min="15623" max="15623" width="12.125" bestFit="1" customWidth="1"/>
    <col min="15873" max="15873" width="25.25" customWidth="1"/>
    <col min="15874" max="15876" width="14.875" customWidth="1"/>
    <col min="15879" max="15879" width="12.125" bestFit="1" customWidth="1"/>
    <col min="16129" max="16129" width="25.25" customWidth="1"/>
    <col min="16130" max="16132" width="14.875" customWidth="1"/>
    <col min="16135" max="16135" width="12.125" bestFit="1" customWidth="1"/>
  </cols>
  <sheetData>
    <row r="1" spans="1:8" ht="16.149999999999999" customHeight="1">
      <c r="B1" s="29" t="s">
        <v>55</v>
      </c>
      <c r="C1" s="29" t="s">
        <v>56</v>
      </c>
      <c r="D1" s="29" t="s">
        <v>57</v>
      </c>
    </row>
    <row r="2" spans="1:8" ht="38.450000000000003" customHeight="1">
      <c r="A2" s="63"/>
      <c r="B2" s="29" t="s">
        <v>58</v>
      </c>
      <c r="C2" s="29" t="s">
        <v>59</v>
      </c>
      <c r="D2" s="29" t="s">
        <v>60</v>
      </c>
    </row>
    <row r="3" spans="1:8" ht="19.899999999999999" customHeight="1">
      <c r="A3" s="29">
        <v>2021</v>
      </c>
      <c r="B3" s="64">
        <v>0</v>
      </c>
      <c r="C3" s="64">
        <v>0</v>
      </c>
      <c r="D3" s="64">
        <f>B3+C3</f>
        <v>0</v>
      </c>
    </row>
    <row r="4" spans="1:8" ht="19.899999999999999" customHeight="1">
      <c r="A4" s="29">
        <v>2022</v>
      </c>
      <c r="B4" s="64">
        <v>0</v>
      </c>
      <c r="C4" s="64">
        <v>0</v>
      </c>
      <c r="D4" s="64">
        <f t="shared" ref="D4:D5" si="0">B4+C4</f>
        <v>0</v>
      </c>
    </row>
    <row r="5" spans="1:8" ht="19.899999999999999" customHeight="1">
      <c r="A5" s="29" t="s">
        <v>61</v>
      </c>
      <c r="B5" s="64">
        <v>0</v>
      </c>
      <c r="C5" s="64">
        <v>0</v>
      </c>
      <c r="D5" s="64">
        <f t="shared" si="0"/>
        <v>0</v>
      </c>
    </row>
    <row r="6" spans="1:8" ht="16.899999999999999" customHeight="1">
      <c r="A6" s="65" t="s">
        <v>62</v>
      </c>
      <c r="B6" s="66">
        <f>ROUNDUP(SUM(B3:B5), 0)</f>
        <v>0</v>
      </c>
      <c r="C6" s="66">
        <f>ROUNDUP(SUM(C3:C5), 0)</f>
        <v>0</v>
      </c>
      <c r="D6" s="66">
        <f>ROUNDUP(SUM(D3:D5), 0)</f>
        <v>0</v>
      </c>
    </row>
    <row r="8" spans="1:8" ht="15.6" customHeight="1">
      <c r="A8" s="52"/>
      <c r="B8"/>
      <c r="C8" s="57"/>
      <c r="D8" s="57"/>
      <c r="E8" s="69"/>
      <c r="G8" s="67"/>
      <c r="H8" s="67"/>
    </row>
    <row r="9" spans="1:8">
      <c r="A9" s="57"/>
      <c r="B9" s="57"/>
      <c r="C9" s="57"/>
      <c r="D9" s="57"/>
    </row>
    <row r="10" spans="1:8">
      <c r="A10" s="57"/>
      <c r="B10" s="57"/>
      <c r="C10" s="57"/>
      <c r="D10" s="57"/>
    </row>
    <row r="11" spans="1:8">
      <c r="A11" s="57"/>
      <c r="B11" s="57"/>
      <c r="C11" s="57"/>
      <c r="D11" s="57"/>
    </row>
    <row r="12" spans="1:8">
      <c r="B12" s="57"/>
    </row>
    <row r="13" spans="1:8">
      <c r="B13" s="57"/>
    </row>
    <row r="14" spans="1:8">
      <c r="B14" s="5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734A-2E2C-45D7-A2A8-E749F7D7ABCC}">
  <sheetPr codeName="Sheet2"/>
  <dimension ref="A1:N15"/>
  <sheetViews>
    <sheetView zoomScale="85" zoomScaleNormal="85" workbookViewId="0">
      <selection activeCell="H12" sqref="H12"/>
    </sheetView>
  </sheetViews>
  <sheetFormatPr defaultRowHeight="12.75"/>
  <cols>
    <col min="1" max="1" width="10.5" customWidth="1"/>
    <col min="2" max="2" width="41.375" bestFit="1" customWidth="1"/>
    <col min="3" max="3" width="10.875" style="1" bestFit="1" customWidth="1"/>
    <col min="4" max="4" width="11" bestFit="1" customWidth="1"/>
    <col min="5" max="6" width="7.625" customWidth="1"/>
    <col min="11" max="11" width="17.75" customWidth="1"/>
    <col min="12" max="12" width="20.5" customWidth="1"/>
    <col min="13" max="13" width="11" customWidth="1"/>
    <col min="14" max="14" width="11.875" customWidth="1"/>
    <col min="255" max="255" width="9.75" bestFit="1" customWidth="1"/>
    <col min="256" max="256" width="41.375" bestFit="1" customWidth="1"/>
    <col min="257" max="257" width="10.875" bestFit="1" customWidth="1"/>
    <col min="258" max="258" width="11" bestFit="1" customWidth="1"/>
    <col min="259" max="260" width="7.625" customWidth="1"/>
    <col min="511" max="511" width="9.75" bestFit="1" customWidth="1"/>
    <col min="512" max="512" width="41.375" bestFit="1" customWidth="1"/>
    <col min="513" max="513" width="10.875" bestFit="1" customWidth="1"/>
    <col min="514" max="514" width="11" bestFit="1" customWidth="1"/>
    <col min="515" max="516" width="7.625" customWidth="1"/>
    <col min="767" max="767" width="9.75" bestFit="1" customWidth="1"/>
    <col min="768" max="768" width="41.375" bestFit="1" customWidth="1"/>
    <col min="769" max="769" width="10.875" bestFit="1" customWidth="1"/>
    <col min="770" max="770" width="11" bestFit="1" customWidth="1"/>
    <col min="771" max="772" width="7.625" customWidth="1"/>
    <col min="1023" max="1023" width="9.75" bestFit="1" customWidth="1"/>
    <col min="1024" max="1024" width="41.375" bestFit="1" customWidth="1"/>
    <col min="1025" max="1025" width="10.875" bestFit="1" customWidth="1"/>
    <col min="1026" max="1026" width="11" bestFit="1" customWidth="1"/>
    <col min="1027" max="1028" width="7.625" customWidth="1"/>
    <col min="1279" max="1279" width="9.75" bestFit="1" customWidth="1"/>
    <col min="1280" max="1280" width="41.375" bestFit="1" customWidth="1"/>
    <col min="1281" max="1281" width="10.875" bestFit="1" customWidth="1"/>
    <col min="1282" max="1282" width="11" bestFit="1" customWidth="1"/>
    <col min="1283" max="1284" width="7.625" customWidth="1"/>
    <col min="1535" max="1535" width="9.75" bestFit="1" customWidth="1"/>
    <col min="1536" max="1536" width="41.375" bestFit="1" customWidth="1"/>
    <col min="1537" max="1537" width="10.875" bestFit="1" customWidth="1"/>
    <col min="1538" max="1538" width="11" bestFit="1" customWidth="1"/>
    <col min="1539" max="1540" width="7.625" customWidth="1"/>
    <col min="1791" max="1791" width="9.75" bestFit="1" customWidth="1"/>
    <col min="1792" max="1792" width="41.375" bestFit="1" customWidth="1"/>
    <col min="1793" max="1793" width="10.875" bestFit="1" customWidth="1"/>
    <col min="1794" max="1794" width="11" bestFit="1" customWidth="1"/>
    <col min="1795" max="1796" width="7.625" customWidth="1"/>
    <col min="2047" max="2047" width="9.75" bestFit="1" customWidth="1"/>
    <col min="2048" max="2048" width="41.375" bestFit="1" customWidth="1"/>
    <col min="2049" max="2049" width="10.875" bestFit="1" customWidth="1"/>
    <col min="2050" max="2050" width="11" bestFit="1" customWidth="1"/>
    <col min="2051" max="2052" width="7.625" customWidth="1"/>
    <col min="2303" max="2303" width="9.75" bestFit="1" customWidth="1"/>
    <col min="2304" max="2304" width="41.375" bestFit="1" customWidth="1"/>
    <col min="2305" max="2305" width="10.875" bestFit="1" customWidth="1"/>
    <col min="2306" max="2306" width="11" bestFit="1" customWidth="1"/>
    <col min="2307" max="2308" width="7.625" customWidth="1"/>
    <col min="2559" max="2559" width="9.75" bestFit="1" customWidth="1"/>
    <col min="2560" max="2560" width="41.375" bestFit="1" customWidth="1"/>
    <col min="2561" max="2561" width="10.875" bestFit="1" customWidth="1"/>
    <col min="2562" max="2562" width="11" bestFit="1" customWidth="1"/>
    <col min="2563" max="2564" width="7.625" customWidth="1"/>
    <col min="2815" max="2815" width="9.75" bestFit="1" customWidth="1"/>
    <col min="2816" max="2816" width="41.375" bestFit="1" customWidth="1"/>
    <col min="2817" max="2817" width="10.875" bestFit="1" customWidth="1"/>
    <col min="2818" max="2818" width="11" bestFit="1" customWidth="1"/>
    <col min="2819" max="2820" width="7.625" customWidth="1"/>
    <col min="3071" max="3071" width="9.75" bestFit="1" customWidth="1"/>
    <col min="3072" max="3072" width="41.375" bestFit="1" customWidth="1"/>
    <col min="3073" max="3073" width="10.875" bestFit="1" customWidth="1"/>
    <col min="3074" max="3074" width="11" bestFit="1" customWidth="1"/>
    <col min="3075" max="3076" width="7.625" customWidth="1"/>
    <col min="3327" max="3327" width="9.75" bestFit="1" customWidth="1"/>
    <col min="3328" max="3328" width="41.375" bestFit="1" customWidth="1"/>
    <col min="3329" max="3329" width="10.875" bestFit="1" customWidth="1"/>
    <col min="3330" max="3330" width="11" bestFit="1" customWidth="1"/>
    <col min="3331" max="3332" width="7.625" customWidth="1"/>
    <col min="3583" max="3583" width="9.75" bestFit="1" customWidth="1"/>
    <col min="3584" max="3584" width="41.375" bestFit="1" customWidth="1"/>
    <col min="3585" max="3585" width="10.875" bestFit="1" customWidth="1"/>
    <col min="3586" max="3586" width="11" bestFit="1" customWidth="1"/>
    <col min="3587" max="3588" width="7.625" customWidth="1"/>
    <col min="3839" max="3839" width="9.75" bestFit="1" customWidth="1"/>
    <col min="3840" max="3840" width="41.375" bestFit="1" customWidth="1"/>
    <col min="3841" max="3841" width="10.875" bestFit="1" customWidth="1"/>
    <col min="3842" max="3842" width="11" bestFit="1" customWidth="1"/>
    <col min="3843" max="3844" width="7.625" customWidth="1"/>
    <col min="4095" max="4095" width="9.75" bestFit="1" customWidth="1"/>
    <col min="4096" max="4096" width="41.375" bestFit="1" customWidth="1"/>
    <col min="4097" max="4097" width="10.875" bestFit="1" customWidth="1"/>
    <col min="4098" max="4098" width="11" bestFit="1" customWidth="1"/>
    <col min="4099" max="4100" width="7.625" customWidth="1"/>
    <col min="4351" max="4351" width="9.75" bestFit="1" customWidth="1"/>
    <col min="4352" max="4352" width="41.375" bestFit="1" customWidth="1"/>
    <col min="4353" max="4353" width="10.875" bestFit="1" customWidth="1"/>
    <col min="4354" max="4354" width="11" bestFit="1" customWidth="1"/>
    <col min="4355" max="4356" width="7.625" customWidth="1"/>
    <col min="4607" max="4607" width="9.75" bestFit="1" customWidth="1"/>
    <col min="4608" max="4608" width="41.375" bestFit="1" customWidth="1"/>
    <col min="4609" max="4609" width="10.875" bestFit="1" customWidth="1"/>
    <col min="4610" max="4610" width="11" bestFit="1" customWidth="1"/>
    <col min="4611" max="4612" width="7.625" customWidth="1"/>
    <col min="4863" max="4863" width="9.75" bestFit="1" customWidth="1"/>
    <col min="4864" max="4864" width="41.375" bestFit="1" customWidth="1"/>
    <col min="4865" max="4865" width="10.875" bestFit="1" customWidth="1"/>
    <col min="4866" max="4866" width="11" bestFit="1" customWidth="1"/>
    <col min="4867" max="4868" width="7.625" customWidth="1"/>
    <col min="5119" max="5119" width="9.75" bestFit="1" customWidth="1"/>
    <col min="5120" max="5120" width="41.375" bestFit="1" customWidth="1"/>
    <col min="5121" max="5121" width="10.875" bestFit="1" customWidth="1"/>
    <col min="5122" max="5122" width="11" bestFit="1" customWidth="1"/>
    <col min="5123" max="5124" width="7.625" customWidth="1"/>
    <col min="5375" max="5375" width="9.75" bestFit="1" customWidth="1"/>
    <col min="5376" max="5376" width="41.375" bestFit="1" customWidth="1"/>
    <col min="5377" max="5377" width="10.875" bestFit="1" customWidth="1"/>
    <col min="5378" max="5378" width="11" bestFit="1" customWidth="1"/>
    <col min="5379" max="5380" width="7.625" customWidth="1"/>
    <col min="5631" max="5631" width="9.75" bestFit="1" customWidth="1"/>
    <col min="5632" max="5632" width="41.375" bestFit="1" customWidth="1"/>
    <col min="5633" max="5633" width="10.875" bestFit="1" customWidth="1"/>
    <col min="5634" max="5634" width="11" bestFit="1" customWidth="1"/>
    <col min="5635" max="5636" width="7.625" customWidth="1"/>
    <col min="5887" max="5887" width="9.75" bestFit="1" customWidth="1"/>
    <col min="5888" max="5888" width="41.375" bestFit="1" customWidth="1"/>
    <col min="5889" max="5889" width="10.875" bestFit="1" customWidth="1"/>
    <col min="5890" max="5890" width="11" bestFit="1" customWidth="1"/>
    <col min="5891" max="5892" width="7.625" customWidth="1"/>
    <col min="6143" max="6143" width="9.75" bestFit="1" customWidth="1"/>
    <col min="6144" max="6144" width="41.375" bestFit="1" customWidth="1"/>
    <col min="6145" max="6145" width="10.875" bestFit="1" customWidth="1"/>
    <col min="6146" max="6146" width="11" bestFit="1" customWidth="1"/>
    <col min="6147" max="6148" width="7.625" customWidth="1"/>
    <col min="6399" max="6399" width="9.75" bestFit="1" customWidth="1"/>
    <col min="6400" max="6400" width="41.375" bestFit="1" customWidth="1"/>
    <col min="6401" max="6401" width="10.875" bestFit="1" customWidth="1"/>
    <col min="6402" max="6402" width="11" bestFit="1" customWidth="1"/>
    <col min="6403" max="6404" width="7.625" customWidth="1"/>
    <col min="6655" max="6655" width="9.75" bestFit="1" customWidth="1"/>
    <col min="6656" max="6656" width="41.375" bestFit="1" customWidth="1"/>
    <col min="6657" max="6657" width="10.875" bestFit="1" customWidth="1"/>
    <col min="6658" max="6658" width="11" bestFit="1" customWidth="1"/>
    <col min="6659" max="6660" width="7.625" customWidth="1"/>
    <col min="6911" max="6911" width="9.75" bestFit="1" customWidth="1"/>
    <col min="6912" max="6912" width="41.375" bestFit="1" customWidth="1"/>
    <col min="6913" max="6913" width="10.875" bestFit="1" customWidth="1"/>
    <col min="6914" max="6914" width="11" bestFit="1" customWidth="1"/>
    <col min="6915" max="6916" width="7.625" customWidth="1"/>
    <col min="7167" max="7167" width="9.75" bestFit="1" customWidth="1"/>
    <col min="7168" max="7168" width="41.375" bestFit="1" customWidth="1"/>
    <col min="7169" max="7169" width="10.875" bestFit="1" customWidth="1"/>
    <col min="7170" max="7170" width="11" bestFit="1" customWidth="1"/>
    <col min="7171" max="7172" width="7.625" customWidth="1"/>
    <col min="7423" max="7423" width="9.75" bestFit="1" customWidth="1"/>
    <col min="7424" max="7424" width="41.375" bestFit="1" customWidth="1"/>
    <col min="7425" max="7425" width="10.875" bestFit="1" customWidth="1"/>
    <col min="7426" max="7426" width="11" bestFit="1" customWidth="1"/>
    <col min="7427" max="7428" width="7.625" customWidth="1"/>
    <col min="7679" max="7679" width="9.75" bestFit="1" customWidth="1"/>
    <col min="7680" max="7680" width="41.375" bestFit="1" customWidth="1"/>
    <col min="7681" max="7681" width="10.875" bestFit="1" customWidth="1"/>
    <col min="7682" max="7682" width="11" bestFit="1" customWidth="1"/>
    <col min="7683" max="7684" width="7.625" customWidth="1"/>
    <col min="7935" max="7935" width="9.75" bestFit="1" customWidth="1"/>
    <col min="7936" max="7936" width="41.375" bestFit="1" customWidth="1"/>
    <col min="7937" max="7937" width="10.875" bestFit="1" customWidth="1"/>
    <col min="7938" max="7938" width="11" bestFit="1" customWidth="1"/>
    <col min="7939" max="7940" width="7.625" customWidth="1"/>
    <col min="8191" max="8191" width="9.75" bestFit="1" customWidth="1"/>
    <col min="8192" max="8192" width="41.375" bestFit="1" customWidth="1"/>
    <col min="8193" max="8193" width="10.875" bestFit="1" customWidth="1"/>
    <col min="8194" max="8194" width="11" bestFit="1" customWidth="1"/>
    <col min="8195" max="8196" width="7.625" customWidth="1"/>
    <col min="8447" max="8447" width="9.75" bestFit="1" customWidth="1"/>
    <col min="8448" max="8448" width="41.375" bestFit="1" customWidth="1"/>
    <col min="8449" max="8449" width="10.875" bestFit="1" customWidth="1"/>
    <col min="8450" max="8450" width="11" bestFit="1" customWidth="1"/>
    <col min="8451" max="8452" width="7.625" customWidth="1"/>
    <col min="8703" max="8703" width="9.75" bestFit="1" customWidth="1"/>
    <col min="8704" max="8704" width="41.375" bestFit="1" customWidth="1"/>
    <col min="8705" max="8705" width="10.875" bestFit="1" customWidth="1"/>
    <col min="8706" max="8706" width="11" bestFit="1" customWidth="1"/>
    <col min="8707" max="8708" width="7.625" customWidth="1"/>
    <col min="8959" max="8959" width="9.75" bestFit="1" customWidth="1"/>
    <col min="8960" max="8960" width="41.375" bestFit="1" customWidth="1"/>
    <col min="8961" max="8961" width="10.875" bestFit="1" customWidth="1"/>
    <col min="8962" max="8962" width="11" bestFit="1" customWidth="1"/>
    <col min="8963" max="8964" width="7.625" customWidth="1"/>
    <col min="9215" max="9215" width="9.75" bestFit="1" customWidth="1"/>
    <col min="9216" max="9216" width="41.375" bestFit="1" customWidth="1"/>
    <col min="9217" max="9217" width="10.875" bestFit="1" customWidth="1"/>
    <col min="9218" max="9218" width="11" bestFit="1" customWidth="1"/>
    <col min="9219" max="9220" width="7.625" customWidth="1"/>
    <col min="9471" max="9471" width="9.75" bestFit="1" customWidth="1"/>
    <col min="9472" max="9472" width="41.375" bestFit="1" customWidth="1"/>
    <col min="9473" max="9473" width="10.875" bestFit="1" customWidth="1"/>
    <col min="9474" max="9474" width="11" bestFit="1" customWidth="1"/>
    <col min="9475" max="9476" width="7.625" customWidth="1"/>
    <col min="9727" max="9727" width="9.75" bestFit="1" customWidth="1"/>
    <col min="9728" max="9728" width="41.375" bestFit="1" customWidth="1"/>
    <col min="9729" max="9729" width="10.875" bestFit="1" customWidth="1"/>
    <col min="9730" max="9730" width="11" bestFit="1" customWidth="1"/>
    <col min="9731" max="9732" width="7.625" customWidth="1"/>
    <col min="9983" max="9983" width="9.75" bestFit="1" customWidth="1"/>
    <col min="9984" max="9984" width="41.375" bestFit="1" customWidth="1"/>
    <col min="9985" max="9985" width="10.875" bestFit="1" customWidth="1"/>
    <col min="9986" max="9986" width="11" bestFit="1" customWidth="1"/>
    <col min="9987" max="9988" width="7.625" customWidth="1"/>
    <col min="10239" max="10239" width="9.75" bestFit="1" customWidth="1"/>
    <col min="10240" max="10240" width="41.375" bestFit="1" customWidth="1"/>
    <col min="10241" max="10241" width="10.875" bestFit="1" customWidth="1"/>
    <col min="10242" max="10242" width="11" bestFit="1" customWidth="1"/>
    <col min="10243" max="10244" width="7.625" customWidth="1"/>
    <col min="10495" max="10495" width="9.75" bestFit="1" customWidth="1"/>
    <col min="10496" max="10496" width="41.375" bestFit="1" customWidth="1"/>
    <col min="10497" max="10497" width="10.875" bestFit="1" customWidth="1"/>
    <col min="10498" max="10498" width="11" bestFit="1" customWidth="1"/>
    <col min="10499" max="10500" width="7.625" customWidth="1"/>
    <col min="10751" max="10751" width="9.75" bestFit="1" customWidth="1"/>
    <col min="10752" max="10752" width="41.375" bestFit="1" customWidth="1"/>
    <col min="10753" max="10753" width="10.875" bestFit="1" customWidth="1"/>
    <col min="10754" max="10754" width="11" bestFit="1" customWidth="1"/>
    <col min="10755" max="10756" width="7.625" customWidth="1"/>
    <col min="11007" max="11007" width="9.75" bestFit="1" customWidth="1"/>
    <col min="11008" max="11008" width="41.375" bestFit="1" customWidth="1"/>
    <col min="11009" max="11009" width="10.875" bestFit="1" customWidth="1"/>
    <col min="11010" max="11010" width="11" bestFit="1" customWidth="1"/>
    <col min="11011" max="11012" width="7.625" customWidth="1"/>
    <col min="11263" max="11263" width="9.75" bestFit="1" customWidth="1"/>
    <col min="11264" max="11264" width="41.375" bestFit="1" customWidth="1"/>
    <col min="11265" max="11265" width="10.875" bestFit="1" customWidth="1"/>
    <col min="11266" max="11266" width="11" bestFit="1" customWidth="1"/>
    <col min="11267" max="11268" width="7.625" customWidth="1"/>
    <col min="11519" max="11519" width="9.75" bestFit="1" customWidth="1"/>
    <col min="11520" max="11520" width="41.375" bestFit="1" customWidth="1"/>
    <col min="11521" max="11521" width="10.875" bestFit="1" customWidth="1"/>
    <col min="11522" max="11522" width="11" bestFit="1" customWidth="1"/>
    <col min="11523" max="11524" width="7.625" customWidth="1"/>
    <col min="11775" max="11775" width="9.75" bestFit="1" customWidth="1"/>
    <col min="11776" max="11776" width="41.375" bestFit="1" customWidth="1"/>
    <col min="11777" max="11777" width="10.875" bestFit="1" customWidth="1"/>
    <col min="11778" max="11778" width="11" bestFit="1" customWidth="1"/>
    <col min="11779" max="11780" width="7.625" customWidth="1"/>
    <col min="12031" max="12031" width="9.75" bestFit="1" customWidth="1"/>
    <col min="12032" max="12032" width="41.375" bestFit="1" customWidth="1"/>
    <col min="12033" max="12033" width="10.875" bestFit="1" customWidth="1"/>
    <col min="12034" max="12034" width="11" bestFit="1" customWidth="1"/>
    <col min="12035" max="12036" width="7.625" customWidth="1"/>
    <col min="12287" max="12287" width="9.75" bestFit="1" customWidth="1"/>
    <col min="12288" max="12288" width="41.375" bestFit="1" customWidth="1"/>
    <col min="12289" max="12289" width="10.875" bestFit="1" customWidth="1"/>
    <col min="12290" max="12290" width="11" bestFit="1" customWidth="1"/>
    <col min="12291" max="12292" width="7.625" customWidth="1"/>
    <col min="12543" max="12543" width="9.75" bestFit="1" customWidth="1"/>
    <col min="12544" max="12544" width="41.375" bestFit="1" customWidth="1"/>
    <col min="12545" max="12545" width="10.875" bestFit="1" customWidth="1"/>
    <col min="12546" max="12546" width="11" bestFit="1" customWidth="1"/>
    <col min="12547" max="12548" width="7.625" customWidth="1"/>
    <col min="12799" max="12799" width="9.75" bestFit="1" customWidth="1"/>
    <col min="12800" max="12800" width="41.375" bestFit="1" customWidth="1"/>
    <col min="12801" max="12801" width="10.875" bestFit="1" customWidth="1"/>
    <col min="12802" max="12802" width="11" bestFit="1" customWidth="1"/>
    <col min="12803" max="12804" width="7.625" customWidth="1"/>
    <col min="13055" max="13055" width="9.75" bestFit="1" customWidth="1"/>
    <col min="13056" max="13056" width="41.375" bestFit="1" customWidth="1"/>
    <col min="13057" max="13057" width="10.875" bestFit="1" customWidth="1"/>
    <col min="13058" max="13058" width="11" bestFit="1" customWidth="1"/>
    <col min="13059" max="13060" width="7.625" customWidth="1"/>
    <col min="13311" max="13311" width="9.75" bestFit="1" customWidth="1"/>
    <col min="13312" max="13312" width="41.375" bestFit="1" customWidth="1"/>
    <col min="13313" max="13313" width="10.875" bestFit="1" customWidth="1"/>
    <col min="13314" max="13314" width="11" bestFit="1" customWidth="1"/>
    <col min="13315" max="13316" width="7.625" customWidth="1"/>
    <col min="13567" max="13567" width="9.75" bestFit="1" customWidth="1"/>
    <col min="13568" max="13568" width="41.375" bestFit="1" customWidth="1"/>
    <col min="13569" max="13569" width="10.875" bestFit="1" customWidth="1"/>
    <col min="13570" max="13570" width="11" bestFit="1" customWidth="1"/>
    <col min="13571" max="13572" width="7.625" customWidth="1"/>
    <col min="13823" max="13823" width="9.75" bestFit="1" customWidth="1"/>
    <col min="13824" max="13824" width="41.375" bestFit="1" customWidth="1"/>
    <col min="13825" max="13825" width="10.875" bestFit="1" customWidth="1"/>
    <col min="13826" max="13826" width="11" bestFit="1" customWidth="1"/>
    <col min="13827" max="13828" width="7.625" customWidth="1"/>
    <col min="14079" max="14079" width="9.75" bestFit="1" customWidth="1"/>
    <col min="14080" max="14080" width="41.375" bestFit="1" customWidth="1"/>
    <col min="14081" max="14081" width="10.875" bestFit="1" customWidth="1"/>
    <col min="14082" max="14082" width="11" bestFit="1" customWidth="1"/>
    <col min="14083" max="14084" width="7.625" customWidth="1"/>
    <col min="14335" max="14335" width="9.75" bestFit="1" customWidth="1"/>
    <col min="14336" max="14336" width="41.375" bestFit="1" customWidth="1"/>
    <col min="14337" max="14337" width="10.875" bestFit="1" customWidth="1"/>
    <col min="14338" max="14338" width="11" bestFit="1" customWidth="1"/>
    <col min="14339" max="14340" width="7.625" customWidth="1"/>
    <col min="14591" max="14591" width="9.75" bestFit="1" customWidth="1"/>
    <col min="14592" max="14592" width="41.375" bestFit="1" customWidth="1"/>
    <col min="14593" max="14593" width="10.875" bestFit="1" customWidth="1"/>
    <col min="14594" max="14594" width="11" bestFit="1" customWidth="1"/>
    <col min="14595" max="14596" width="7.625" customWidth="1"/>
    <col min="14847" max="14847" width="9.75" bestFit="1" customWidth="1"/>
    <col min="14848" max="14848" width="41.375" bestFit="1" customWidth="1"/>
    <col min="14849" max="14849" width="10.875" bestFit="1" customWidth="1"/>
    <col min="14850" max="14850" width="11" bestFit="1" customWidth="1"/>
    <col min="14851" max="14852" width="7.625" customWidth="1"/>
    <col min="15103" max="15103" width="9.75" bestFit="1" customWidth="1"/>
    <col min="15104" max="15104" width="41.375" bestFit="1" customWidth="1"/>
    <col min="15105" max="15105" width="10.875" bestFit="1" customWidth="1"/>
    <col min="15106" max="15106" width="11" bestFit="1" customWidth="1"/>
    <col min="15107" max="15108" width="7.625" customWidth="1"/>
    <col min="15359" max="15359" width="9.75" bestFit="1" customWidth="1"/>
    <col min="15360" max="15360" width="41.375" bestFit="1" customWidth="1"/>
    <col min="15361" max="15361" width="10.875" bestFit="1" customWidth="1"/>
    <col min="15362" max="15362" width="11" bestFit="1" customWidth="1"/>
    <col min="15363" max="15364" width="7.625" customWidth="1"/>
    <col min="15615" max="15615" width="9.75" bestFit="1" customWidth="1"/>
    <col min="15616" max="15616" width="41.375" bestFit="1" customWidth="1"/>
    <col min="15617" max="15617" width="10.875" bestFit="1" customWidth="1"/>
    <col min="15618" max="15618" width="11" bestFit="1" customWidth="1"/>
    <col min="15619" max="15620" width="7.625" customWidth="1"/>
    <col min="15871" max="15871" width="9.75" bestFit="1" customWidth="1"/>
    <col min="15872" max="15872" width="41.375" bestFit="1" customWidth="1"/>
    <col min="15873" max="15873" width="10.875" bestFit="1" customWidth="1"/>
    <col min="15874" max="15874" width="11" bestFit="1" customWidth="1"/>
    <col min="15875" max="15876" width="7.625" customWidth="1"/>
    <col min="16127" max="16127" width="9.75" bestFit="1" customWidth="1"/>
    <col min="16128" max="16128" width="41.375" bestFit="1" customWidth="1"/>
    <col min="16129" max="16129" width="10.875" bestFit="1" customWidth="1"/>
    <col min="16130" max="16130" width="11" bestFit="1" customWidth="1"/>
    <col min="16131" max="16132" width="7.625" customWidth="1"/>
  </cols>
  <sheetData>
    <row r="1" spans="1:14" ht="18.600000000000001" customHeight="1">
      <c r="A1" s="70" t="s">
        <v>63</v>
      </c>
    </row>
    <row r="2" spans="1:14" ht="30" customHeight="1">
      <c r="A2" s="68" t="s">
        <v>64</v>
      </c>
      <c r="B2" s="68" t="s">
        <v>65</v>
      </c>
      <c r="C2" s="65" t="s">
        <v>66</v>
      </c>
    </row>
    <row r="3" spans="1:14" s="57" customFormat="1" ht="31.9" customHeight="1">
      <c r="A3" s="54" t="s">
        <v>67</v>
      </c>
      <c r="B3" s="54" t="s">
        <v>68</v>
      </c>
      <c r="C3" s="55">
        <f>(C4-C5)/(C6-C7)</f>
        <v>674.0968524655666</v>
      </c>
      <c r="D3" s="56" t="s">
        <v>69</v>
      </c>
      <c r="K3"/>
      <c r="L3"/>
      <c r="M3"/>
      <c r="N3"/>
    </row>
    <row r="4" spans="1:14" s="57" customFormat="1" ht="47.45" customHeight="1">
      <c r="A4" s="58" t="s">
        <v>70</v>
      </c>
      <c r="B4" s="54" t="s">
        <v>71</v>
      </c>
      <c r="C4" s="59">
        <f>42650000</f>
        <v>42650000</v>
      </c>
      <c r="K4"/>
      <c r="L4"/>
      <c r="M4"/>
      <c r="N4"/>
    </row>
    <row r="5" spans="1:14" s="57" customFormat="1" ht="47.45" customHeight="1">
      <c r="A5" s="58" t="s">
        <v>72</v>
      </c>
      <c r="B5" s="54" t="s">
        <v>73</v>
      </c>
      <c r="C5" s="60">
        <v>0</v>
      </c>
      <c r="E5"/>
      <c r="F5"/>
      <c r="G5"/>
      <c r="K5"/>
      <c r="L5"/>
      <c r="M5"/>
      <c r="N5"/>
    </row>
    <row r="6" spans="1:14" s="57" customFormat="1" ht="47.45" customHeight="1">
      <c r="A6" s="58" t="s">
        <v>74</v>
      </c>
      <c r="B6" s="54" t="s">
        <v>75</v>
      </c>
      <c r="C6" s="61">
        <f>63269.84</f>
        <v>63269.84</v>
      </c>
      <c r="E6"/>
      <c r="F6"/>
      <c r="G6"/>
      <c r="K6"/>
      <c r="L6"/>
      <c r="M6"/>
      <c r="N6"/>
    </row>
    <row r="7" spans="1:14" s="57" customFormat="1" ht="47.45" customHeight="1">
      <c r="A7" s="58" t="s">
        <v>76</v>
      </c>
      <c r="B7" s="54" t="s">
        <v>77</v>
      </c>
      <c r="C7" s="62">
        <v>0</v>
      </c>
      <c r="K7"/>
      <c r="L7"/>
      <c r="M7"/>
      <c r="N7"/>
    </row>
    <row r="9" spans="1:14" ht="19.149999999999999" customHeight="1">
      <c r="A9" s="70" t="s">
        <v>78</v>
      </c>
    </row>
    <row r="10" spans="1:14" ht="26.45" customHeight="1">
      <c r="A10" s="68" t="s">
        <v>64</v>
      </c>
      <c r="B10" s="68" t="s">
        <v>65</v>
      </c>
      <c r="C10" s="65" t="s">
        <v>66</v>
      </c>
    </row>
    <row r="11" spans="1:14" ht="42.6" customHeight="1">
      <c r="A11" s="54" t="s">
        <v>67</v>
      </c>
      <c r="B11" s="54" t="s">
        <v>68</v>
      </c>
      <c r="C11" s="55">
        <f>(C12-C13)/(C14-C15)</f>
        <v>1780.3597559263724</v>
      </c>
      <c r="D11" s="56" t="s">
        <v>69</v>
      </c>
    </row>
    <row r="12" spans="1:14" ht="34.9" customHeight="1">
      <c r="A12" s="58" t="s">
        <v>70</v>
      </c>
      <c r="B12" s="54" t="s">
        <v>71</v>
      </c>
      <c r="C12" s="59">
        <f>26000000</f>
        <v>26000000</v>
      </c>
    </row>
    <row r="13" spans="1:14" ht="46.9" customHeight="1">
      <c r="A13" s="58" t="s">
        <v>72</v>
      </c>
      <c r="B13" s="54" t="s">
        <v>73</v>
      </c>
      <c r="C13" s="60">
        <v>0</v>
      </c>
    </row>
    <row r="14" spans="1:14" ht="43.9" customHeight="1">
      <c r="A14" s="58" t="s">
        <v>74</v>
      </c>
      <c r="B14" s="54" t="s">
        <v>75</v>
      </c>
      <c r="C14" s="61">
        <f>14603.79</f>
        <v>14603.79</v>
      </c>
    </row>
    <row r="15" spans="1:14" ht="57" customHeight="1">
      <c r="A15" s="58" t="s">
        <v>76</v>
      </c>
      <c r="B15" s="54" t="s">
        <v>77</v>
      </c>
      <c r="C15" s="62">
        <v>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a820af-9c36-47fb-8383-9944acc4573c" xsi:nil="true"/>
    <lcf76f155ced4ddcb4097134ff3c332f xmlns="5944c9fc-9421-4c39-b608-61ce317886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DC1F0F2D97C04690DF7AC407C65BA5" ma:contentTypeVersion="19" ma:contentTypeDescription="Create a new document." ma:contentTypeScope="" ma:versionID="138ac169aaadc9c430b97b25b46ecc4e">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4cce58cbed9668fc3dbbcfb9a7470718"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7D5AE-8F3A-4CF5-8B87-F2B1C567A5A1}"/>
</file>

<file path=customXml/itemProps2.xml><?xml version="1.0" encoding="utf-8"?>
<ds:datastoreItem xmlns:ds="http://schemas.openxmlformats.org/officeDocument/2006/customXml" ds:itemID="{DEE962C2-FDD8-4CF7-A7D9-CECA18D11F67}"/>
</file>

<file path=customXml/itemProps3.xml><?xml version="1.0" encoding="utf-8"?>
<ds:datastoreItem xmlns:ds="http://schemas.openxmlformats.org/officeDocument/2006/customXml" ds:itemID="{F586E6F7-9AB8-4831-A739-BBB4CAB1B9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Pioneer Carbon</dc:creator>
  <cp:keywords/>
  <dc:description/>
  <cp:lastModifiedBy/>
  <cp:revision/>
  <dcterms:created xsi:type="dcterms:W3CDTF">2008-02-05T09:57:55Z</dcterms:created>
  <dcterms:modified xsi:type="dcterms:W3CDTF">2025-03-20T15:53:29Z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0x010100CDDC1F0F2D97C04690DF7AC407C65BA5</vt:lpwstr>
  </property>
</Properties>
</file>