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vcs024-my.sharepoint.com/personal/jjamliya_verra_org/Documents/Project Review/Under review/2336/"/>
    </mc:Choice>
  </mc:AlternateContent>
  <xr:revisionPtr revIDLastSave="0" documentId="8_{2A1594FA-8C3B-4EB8-B084-E64E06175CE5}" xr6:coauthVersionLast="47" xr6:coauthVersionMax="47" xr10:uidLastSave="{00000000-0000-0000-0000-000000000000}"/>
  <bookViews>
    <workbookView xWindow="-110" yWindow="-110" windowWidth="19420" windowHeight="10300" activeTab="6" xr2:uid="{00000000-000D-0000-FFFF-FFFF00000000}"/>
  </bookViews>
  <sheets>
    <sheet name="Information" sheetId="6" r:id="rId1"/>
    <sheet name="ICS Implementation" sheetId="4" r:id="rId2"/>
    <sheet name="Cookstove efficiency" sheetId="7" r:id="rId3"/>
    <sheet name="ER Sheet" sheetId="8" r:id="rId4"/>
    <sheet name="Sheet1" sheetId="10" state="hidden" r:id="rId5"/>
    <sheet name="Sheet2" sheetId="11" state="hidden" r:id="rId6"/>
    <sheet name="µold" sheetId="9" r:id="rId7"/>
    <sheet name="ER Calculation" sheetId="3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" i="8" l="1"/>
  <c r="D15" i="8"/>
  <c r="C5" i="9" l="1"/>
  <c r="D4" i="3"/>
  <c r="D3" i="3"/>
  <c r="E65" i="8"/>
  <c r="E32" i="8"/>
  <c r="E20" i="4"/>
  <c r="D44" i="8"/>
  <c r="D53" i="8"/>
  <c r="C12" i="7"/>
  <c r="D55" i="8"/>
  <c r="D56" i="8"/>
  <c r="E59" i="8"/>
  <c r="E60" i="8"/>
  <c r="E66" i="8" s="1"/>
  <c r="E73" i="8"/>
  <c r="D11" i="8"/>
  <c r="D20" i="8"/>
  <c r="C11" i="7"/>
  <c r="D22" i="8"/>
  <c r="D23" i="8"/>
  <c r="E26" i="8"/>
  <c r="E27" i="8"/>
  <c r="E33" i="8" s="1"/>
  <c r="E72" i="8"/>
  <c r="C10" i="7"/>
  <c r="F73" i="8"/>
  <c r="F72" i="8"/>
  <c r="E74" i="8"/>
  <c r="F74" i="8"/>
  <c r="C17" i="7"/>
  <c r="C16" i="7"/>
  <c r="C15" i="7"/>
  <c r="C14" i="7"/>
  <c r="C13" i="7"/>
  <c r="C8" i="7"/>
  <c r="C9" i="7"/>
  <c r="C3" i="3"/>
  <c r="C4" i="3"/>
  <c r="E67" i="8" l="1"/>
  <c r="G73" i="8"/>
  <c r="E34" i="8"/>
  <c r="G72" i="8"/>
  <c r="G74" i="8" s="1"/>
  <c r="H74" i="8" s="1"/>
  <c r="D10" i="3"/>
  <c r="D11" i="3"/>
  <c r="E11" i="3" s="1"/>
  <c r="F11" i="3" s="1"/>
  <c r="E10" i="3"/>
  <c r="D12" i="3" l="1"/>
  <c r="F10" i="3"/>
  <c r="E12" i="3"/>
  <c r="F12" i="3"/>
</calcChain>
</file>

<file path=xl/sharedStrings.xml><?xml version="1.0" encoding="utf-8"?>
<sst xmlns="http://schemas.openxmlformats.org/spreadsheetml/2006/main" count="165" uniqueCount="102">
  <si>
    <t>Project Title</t>
  </si>
  <si>
    <t>Energy Efficient Cook Stove Implementation in India</t>
  </si>
  <si>
    <t>Date</t>
  </si>
  <si>
    <t>Version</t>
  </si>
  <si>
    <t>Methodology</t>
  </si>
  <si>
    <t>VMR0006 "Methodology for Installation of High Efficiency Firewood Cookstoves", version 01</t>
  </si>
  <si>
    <t>Implemented ICS</t>
  </si>
  <si>
    <t>State</t>
  </si>
  <si>
    <t>District</t>
  </si>
  <si>
    <t>Tehsil</t>
  </si>
  <si>
    <t>No of Household</t>
  </si>
  <si>
    <t>Assam</t>
  </si>
  <si>
    <t>Baksa</t>
  </si>
  <si>
    <t>Goreswar</t>
  </si>
  <si>
    <t>Jalah</t>
  </si>
  <si>
    <t>Mushalpur</t>
  </si>
  <si>
    <t>Rangia</t>
  </si>
  <si>
    <t>Udalguri</t>
  </si>
  <si>
    <t>Dalgaon</t>
  </si>
  <si>
    <t>Dhekiajuli</t>
  </si>
  <si>
    <t>Mazbat</t>
  </si>
  <si>
    <t>Khoirabari</t>
  </si>
  <si>
    <t>Kalaigaon</t>
  </si>
  <si>
    <t>Harisinga</t>
  </si>
  <si>
    <t>Barpeta</t>
  </si>
  <si>
    <t>Baghabore</t>
  </si>
  <si>
    <t>Bajali</t>
  </si>
  <si>
    <t xml:space="preserve">Barnagar </t>
  </si>
  <si>
    <t>Total</t>
  </si>
  <si>
    <r>
      <t>h</t>
    </r>
    <r>
      <rPr>
        <vertAlign val="subscript"/>
        <sz val="10.5"/>
        <color indexed="8"/>
        <rFont val="Franklin Gothic Book"/>
        <family val="2"/>
      </rPr>
      <t>p</t>
    </r>
  </si>
  <si>
    <t>Year 1 - 2019</t>
  </si>
  <si>
    <t>Year 2 - 2020</t>
  </si>
  <si>
    <t>Year 3 - 2021</t>
  </si>
  <si>
    <t>Year 4 - 2022</t>
  </si>
  <si>
    <t>Year 5 - 2023</t>
  </si>
  <si>
    <t>Year 6 - 2024</t>
  </si>
  <si>
    <t>Year 7 - 2025</t>
  </si>
  <si>
    <t>Year 8 - 2026</t>
  </si>
  <si>
    <t>Year 9 - 2027</t>
  </si>
  <si>
    <t>Year 10 - 2028</t>
  </si>
  <si>
    <t>Monitoring Period</t>
  </si>
  <si>
    <r>
      <t>01</t>
    </r>
    <r>
      <rPr>
        <b/>
        <vertAlign val="superscript"/>
        <sz val="10"/>
        <rFont val="Arial"/>
        <family val="2"/>
      </rPr>
      <t>st</t>
    </r>
    <r>
      <rPr>
        <b/>
        <sz val="10"/>
        <rFont val="Arial"/>
        <family val="2"/>
      </rPr>
      <t xml:space="preserve"> April 2022 - 27</t>
    </r>
    <r>
      <rPr>
        <b/>
        <vertAlign val="superscript"/>
        <sz val="10"/>
        <rFont val="Arial"/>
        <family val="2"/>
      </rPr>
      <t>th</t>
    </r>
    <r>
      <rPr>
        <b/>
        <sz val="10"/>
        <rFont val="Arial"/>
        <family val="2"/>
      </rPr>
      <t xml:space="preserve"> June 2023</t>
    </r>
  </si>
  <si>
    <r>
      <t>01</t>
    </r>
    <r>
      <rPr>
        <b/>
        <vertAlign val="superscript"/>
        <sz val="10"/>
        <rFont val="Arial"/>
        <family val="2"/>
      </rPr>
      <t>st</t>
    </r>
    <r>
      <rPr>
        <b/>
        <sz val="10"/>
        <rFont val="Arial"/>
        <family val="2"/>
      </rPr>
      <t xml:space="preserve"> April 2022 - 31</t>
    </r>
    <r>
      <rPr>
        <b/>
        <vertAlign val="superscript"/>
        <sz val="10"/>
        <rFont val="Arial"/>
        <family val="2"/>
      </rPr>
      <t>st</t>
    </r>
    <r>
      <rPr>
        <b/>
        <sz val="10"/>
        <rFont val="Arial"/>
        <family val="2"/>
      </rPr>
      <t xml:space="preserve"> Dec 2022</t>
    </r>
  </si>
  <si>
    <r>
      <t>Fuelwood Usage  (B</t>
    </r>
    <r>
      <rPr>
        <b/>
        <vertAlign val="subscript"/>
        <sz val="10"/>
        <rFont val="Arial"/>
        <family val="2"/>
      </rPr>
      <t>y</t>
    </r>
    <r>
      <rPr>
        <b/>
        <sz val="10"/>
        <rFont val="Arial"/>
        <family val="2"/>
      </rPr>
      <t>)</t>
    </r>
  </si>
  <si>
    <t>Activity Data</t>
  </si>
  <si>
    <t>Value</t>
  </si>
  <si>
    <t>Source of data</t>
  </si>
  <si>
    <r>
      <t>B</t>
    </r>
    <r>
      <rPr>
        <vertAlign val="subscript"/>
        <sz val="10"/>
        <rFont val="Arial"/>
        <family val="2"/>
      </rPr>
      <t>old,p</t>
    </r>
    <r>
      <rPr>
        <sz val="10"/>
        <rFont val="Arial"/>
        <family val="2"/>
      </rPr>
      <t xml:space="preserve"> (Fuelwood Consumption (t/person/year))</t>
    </r>
  </si>
  <si>
    <t>Equation 3, VMR0006</t>
  </si>
  <si>
    <r>
      <t>N</t>
    </r>
    <r>
      <rPr>
        <vertAlign val="subscript"/>
        <sz val="10"/>
        <rFont val="Arial"/>
        <family val="2"/>
      </rPr>
      <t>p,HH</t>
    </r>
    <r>
      <rPr>
        <sz val="10"/>
        <rFont val="Arial"/>
        <family val="2"/>
      </rPr>
      <t xml:space="preserve"> (No. of persons/HH)</t>
    </r>
  </si>
  <si>
    <t>Population finder | Government of India (censusindia.gov.in)</t>
  </si>
  <si>
    <r>
      <t>B</t>
    </r>
    <r>
      <rPr>
        <b/>
        <vertAlign val="subscript"/>
        <sz val="10"/>
        <rFont val="Arial"/>
        <family val="2"/>
      </rPr>
      <t>old</t>
    </r>
  </si>
  <si>
    <t>Calculated</t>
  </si>
  <si>
    <r>
      <t>Non Renewable Biomass (f</t>
    </r>
    <r>
      <rPr>
        <b/>
        <vertAlign val="subscript"/>
        <sz val="10"/>
        <rFont val="Arial"/>
        <family val="2"/>
      </rPr>
      <t>NRB</t>
    </r>
    <r>
      <rPr>
        <b/>
        <sz val="10"/>
        <rFont val="Arial"/>
        <family val="2"/>
      </rPr>
      <t>) for India</t>
    </r>
  </si>
  <si>
    <r>
      <t>f</t>
    </r>
    <r>
      <rPr>
        <b/>
        <vertAlign val="subscript"/>
        <sz val="10"/>
        <rFont val="Arial"/>
        <family val="2"/>
      </rPr>
      <t>NRB</t>
    </r>
  </si>
  <si>
    <t>fNRB tool</t>
  </si>
  <si>
    <r>
      <t>Biomass Savings (B</t>
    </r>
    <r>
      <rPr>
        <b/>
        <vertAlign val="subscript"/>
        <sz val="10"/>
        <rFont val="Arial"/>
        <family val="2"/>
      </rPr>
      <t>y, savings</t>
    </r>
    <r>
      <rPr>
        <b/>
        <sz val="10"/>
        <rFont val="Arial"/>
        <family val="2"/>
      </rPr>
      <t>)</t>
    </r>
  </si>
  <si>
    <r>
      <t>B</t>
    </r>
    <r>
      <rPr>
        <vertAlign val="subscript"/>
        <sz val="10"/>
        <rFont val="Arial"/>
        <family val="2"/>
      </rPr>
      <t>old</t>
    </r>
  </si>
  <si>
    <r>
      <t>ɳ</t>
    </r>
    <r>
      <rPr>
        <vertAlign val="subscript"/>
        <sz val="10"/>
        <rFont val="Arial"/>
        <family val="2"/>
      </rPr>
      <t>old</t>
    </r>
  </si>
  <si>
    <t>Methodology default value</t>
  </si>
  <si>
    <r>
      <t>ɳ</t>
    </r>
    <r>
      <rPr>
        <vertAlign val="subscript"/>
        <sz val="10"/>
        <rFont val="Arial"/>
        <family val="2"/>
      </rPr>
      <t>new</t>
    </r>
    <r>
      <rPr>
        <sz val="10"/>
        <rFont val="Arial"/>
        <family val="2"/>
      </rPr>
      <t>,i,j</t>
    </r>
  </si>
  <si>
    <t>Manufacturer specification (Efficiency of the improved cook stove type i and batch j determined through water boiling test (WBT).)</t>
  </si>
  <si>
    <r>
      <t>B</t>
    </r>
    <r>
      <rPr>
        <b/>
        <vertAlign val="subscript"/>
        <sz val="10"/>
        <rFont val="Arial"/>
        <family val="2"/>
      </rPr>
      <t>y,savings</t>
    </r>
  </si>
  <si>
    <t>Parameters</t>
  </si>
  <si>
    <t>Description of Parameter</t>
  </si>
  <si>
    <r>
      <t>B</t>
    </r>
    <r>
      <rPr>
        <vertAlign val="subscript"/>
        <sz val="10"/>
        <rFont val="Arial"/>
        <family val="2"/>
      </rPr>
      <t>y,savings</t>
    </r>
  </si>
  <si>
    <t>Quantity of woody biomass that is saved in tonnes</t>
  </si>
  <si>
    <r>
      <t>f</t>
    </r>
    <r>
      <rPr>
        <vertAlign val="subscript"/>
        <sz val="10"/>
        <rFont val="Arial"/>
        <family val="2"/>
      </rPr>
      <t>NRBy</t>
    </r>
  </si>
  <si>
    <t>Fraction of biomass that is non-renewable</t>
  </si>
  <si>
    <r>
      <t>NCV</t>
    </r>
    <r>
      <rPr>
        <vertAlign val="subscript"/>
        <sz val="10"/>
        <rFont val="Arial"/>
        <family val="2"/>
      </rPr>
      <t>wood fuel</t>
    </r>
    <r>
      <rPr>
        <sz val="10"/>
        <rFont val="Arial"/>
        <family val="2"/>
      </rPr>
      <t xml:space="preserve"> (TJ/tonne)</t>
    </r>
  </si>
  <si>
    <t>Net Calorific Value of wood</t>
  </si>
  <si>
    <r>
      <t>EF</t>
    </r>
    <r>
      <rPr>
        <vertAlign val="subscript"/>
        <sz val="10"/>
        <color theme="1"/>
        <rFont val="Arial"/>
        <family val="2"/>
      </rPr>
      <t>wf,CO2</t>
    </r>
    <r>
      <rPr>
        <sz val="10"/>
        <color theme="1"/>
        <rFont val="Arial"/>
        <family val="2"/>
      </rPr>
      <t xml:space="preserve"> (tCO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/TJ)</t>
    </r>
  </si>
  <si>
    <r>
      <t>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emission factor for the use of wood fuel</t>
    </r>
  </si>
  <si>
    <r>
      <t>EF</t>
    </r>
    <r>
      <rPr>
        <vertAlign val="subscript"/>
        <sz val="10"/>
        <rFont val="Arial"/>
        <family val="2"/>
      </rPr>
      <t>wf,non CO2</t>
    </r>
    <r>
      <rPr>
        <sz val="10"/>
        <rFont val="Arial"/>
        <family val="2"/>
      </rPr>
      <t xml:space="preserve"> (tCO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/TJ)</t>
    </r>
  </si>
  <si>
    <r>
      <t>Non-CO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emission factor for the use of wood fuel </t>
    </r>
  </si>
  <si>
    <r>
      <t>N</t>
    </r>
    <r>
      <rPr>
        <vertAlign val="subscript"/>
        <sz val="10"/>
        <rFont val="Arial"/>
        <family val="2"/>
      </rPr>
      <t>y,i,j</t>
    </r>
  </si>
  <si>
    <t>Total Number of operational devices in monitoring period</t>
  </si>
  <si>
    <r>
      <t>µ</t>
    </r>
    <r>
      <rPr>
        <vertAlign val="subscript"/>
        <sz val="10"/>
        <rFont val="Arial"/>
        <family val="2"/>
      </rPr>
      <t>y</t>
    </r>
  </si>
  <si>
    <t>Baseline stove usage factor</t>
  </si>
  <si>
    <r>
      <t>ER</t>
    </r>
    <r>
      <rPr>
        <b/>
        <vertAlign val="subscript"/>
        <sz val="10"/>
        <rFont val="Arial"/>
        <family val="2"/>
      </rPr>
      <t>y</t>
    </r>
    <r>
      <rPr>
        <b/>
        <sz val="10"/>
        <rFont val="Arial"/>
        <family val="2"/>
      </rPr>
      <t xml:space="preserve"> (tCO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/yr)</t>
    </r>
  </si>
  <si>
    <t>Emission Reduction/year</t>
  </si>
  <si>
    <t>Emission Reduction per device per day</t>
  </si>
  <si>
    <r>
      <t>01</t>
    </r>
    <r>
      <rPr>
        <b/>
        <vertAlign val="superscript"/>
        <sz val="10"/>
        <rFont val="Arial"/>
        <family val="2"/>
      </rPr>
      <t>st</t>
    </r>
    <r>
      <rPr>
        <b/>
        <sz val="10"/>
        <rFont val="Arial"/>
        <family val="2"/>
      </rPr>
      <t xml:space="preserve"> Jan 2023 – 27</t>
    </r>
    <r>
      <rPr>
        <b/>
        <vertAlign val="superscript"/>
        <sz val="10"/>
        <rFont val="Arial"/>
        <family val="2"/>
      </rPr>
      <t>th</t>
    </r>
    <r>
      <rPr>
        <b/>
        <sz val="10"/>
        <rFont val="Arial"/>
        <family val="2"/>
      </rPr>
      <t xml:space="preserve"> June 2023</t>
    </r>
  </si>
  <si>
    <t>manufacturer specification (Efficiency of the improved cook stove type i and batch j determined through water boiling test (WBT).)</t>
  </si>
  <si>
    <r>
      <t>ERy (tCO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/yr)</t>
    </r>
  </si>
  <si>
    <t>Period</t>
  </si>
  <si>
    <t>No of days</t>
  </si>
  <si>
    <r>
      <t>Estimated emission reduction (tCO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e)</t>
    </r>
  </si>
  <si>
    <r>
      <t>Actual Emission Reduction (tCO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e)</t>
    </r>
  </si>
  <si>
    <t>Proportion of baseline cookstove in use</t>
  </si>
  <si>
    <t xml:space="preserve">Replacement of ICS in current monitoring period </t>
  </si>
  <si>
    <r>
      <t>µ</t>
    </r>
    <r>
      <rPr>
        <vertAlign val="subscript"/>
        <sz val="10"/>
        <color theme="1"/>
        <rFont val="Arial"/>
        <family val="2"/>
      </rPr>
      <t>old</t>
    </r>
  </si>
  <si>
    <t>Year</t>
  </si>
  <si>
    <r>
      <t>µ</t>
    </r>
    <r>
      <rPr>
        <b/>
        <vertAlign val="subscript"/>
        <sz val="10"/>
        <rFont val="Franklin Gothic Book"/>
        <family val="2"/>
      </rPr>
      <t>Y</t>
    </r>
  </si>
  <si>
    <t>2022 (From 01/04/2022 to 31/12/2022)</t>
  </si>
  <si>
    <t>2023 (From 01/01/2023 to 27/06/2023)</t>
  </si>
  <si>
    <t>VCUs Calculations</t>
  </si>
  <si>
    <t>No of HHs in which operating</t>
  </si>
  <si>
    <r>
      <t>Baseline emissions per year (tCO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e)</t>
    </r>
  </si>
  <si>
    <r>
      <t>Leakage Emissions (tCO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e)</t>
    </r>
  </si>
  <si>
    <r>
      <t>Emission Reduction (tCO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e)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</si>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</sst>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_-;\-* #,##0_-;_-* &quot;-&quot;_-;_-@_-"/>
    <numFmt numFmtId="165" formatCode="0.0000"/>
    <numFmt numFmtId="166" formatCode="_(* #,##0_);_(* \(#,##0\);_(* &quot;-&quot;??_);_(@_)"/>
  </numFmts>
  <fonts count="20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vertAlign val="subscript"/>
      <sz val="10.5"/>
      <color indexed="8"/>
      <name val="Franklin Gothic Book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.5"/>
      <color rgb="FF000000"/>
      <name val="Symbol"/>
      <family val="1"/>
      <charset val="2"/>
    </font>
    <font>
      <sz val="10"/>
      <color theme="1"/>
      <name val="Arial"/>
      <family val="2"/>
    </font>
    <font>
      <b/>
      <vertAlign val="superscript"/>
      <sz val="10"/>
      <name val="Arial"/>
      <family val="2"/>
    </font>
    <font>
      <b/>
      <vertAlign val="subscript"/>
      <sz val="10"/>
      <name val="Arial"/>
      <family val="2"/>
    </font>
    <font>
      <vertAlign val="subscript"/>
      <sz val="10"/>
      <name val="Arial"/>
      <family val="2"/>
    </font>
    <font>
      <sz val="10"/>
      <color indexed="8"/>
      <name val="Arial"/>
      <family val="2"/>
    </font>
    <font>
      <vertAlign val="subscript"/>
      <sz val="10"/>
      <color theme="1"/>
      <name val="Arial"/>
      <family val="2"/>
    </font>
    <font>
      <b/>
      <vertAlign val="subscript"/>
      <sz val="10"/>
      <name val="Franklin Gothic Book"/>
      <family val="2"/>
    </font>
    <font>
      <i/>
      <sz val="10.5"/>
      <color rgb="FF4F515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5">
    <xf numFmtId="0" fontId="0" fillId="0" borderId="0"/>
    <xf numFmtId="43" fontId="1" fillId="0" borderId="0" applyFont="0" applyFill="0" applyBorder="0" applyAlignment="0" applyProtection="0"/>
    <xf numFmtId="164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158">
    <xf numFmtId="0" fontId="0" fillId="0" borderId="0" xfId="0"/>
    <xf numFmtId="0" fontId="0" fillId="0" borderId="14" xfId="0" applyBorder="1"/>
    <xf numFmtId="14" fontId="0" fillId="0" borderId="14" xfId="0" applyNumberFormat="1" applyBorder="1"/>
    <xf numFmtId="0" fontId="10" fillId="0" borderId="0" xfId="0" applyFont="1"/>
    <xf numFmtId="10" fontId="0" fillId="0" borderId="14" xfId="112" applyNumberFormat="1" applyFont="1" applyBorder="1"/>
    <xf numFmtId="0" fontId="0" fillId="0" borderId="29" xfId="0" applyBorder="1"/>
    <xf numFmtId="0" fontId="4" fillId="0" borderId="36" xfId="0" applyFont="1" applyBorder="1"/>
    <xf numFmtId="0" fontId="4" fillId="0" borderId="37" xfId="0" applyFont="1" applyBorder="1"/>
    <xf numFmtId="0" fontId="4" fillId="0" borderId="38" xfId="0" applyFont="1" applyBorder="1"/>
    <xf numFmtId="0" fontId="0" fillId="0" borderId="16" xfId="0" applyBorder="1"/>
    <xf numFmtId="0" fontId="0" fillId="0" borderId="12" xfId="0" applyBorder="1"/>
    <xf numFmtId="0" fontId="0" fillId="0" borderId="15" xfId="0" applyBorder="1"/>
    <xf numFmtId="0" fontId="4" fillId="0" borderId="28" xfId="0" applyFont="1" applyBorder="1"/>
    <xf numFmtId="0" fontId="4" fillId="0" borderId="26" xfId="0" applyFont="1" applyBorder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right" vertical="center" wrapText="1"/>
    </xf>
    <xf numFmtId="0" fontId="4" fillId="0" borderId="25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top" wrapText="1"/>
    </xf>
    <xf numFmtId="2" fontId="4" fillId="2" borderId="36" xfId="0" applyNumberFormat="1" applyFont="1" applyFill="1" applyBorder="1" applyAlignment="1">
      <alignment horizontal="center" vertical="center"/>
    </xf>
    <xf numFmtId="2" fontId="4" fillId="2" borderId="37" xfId="0" applyNumberFormat="1" applyFont="1" applyFill="1" applyBorder="1" applyAlignment="1">
      <alignment horizontal="center" vertical="center"/>
    </xf>
    <xf numFmtId="2" fontId="4" fillId="2" borderId="3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2" fontId="1" fillId="0" borderId="13" xfId="0" applyNumberFormat="1" applyFont="1" applyBorder="1" applyAlignment="1">
      <alignment vertical="center"/>
    </xf>
    <xf numFmtId="0" fontId="15" fillId="0" borderId="22" xfId="0" applyFont="1" applyBorder="1" applyAlignment="1">
      <alignment horizontal="left" vertical="center"/>
    </xf>
    <xf numFmtId="2" fontId="1" fillId="0" borderId="0" xfId="0" applyNumberFormat="1" applyFont="1"/>
    <xf numFmtId="0" fontId="1" fillId="0" borderId="42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2" fontId="4" fillId="0" borderId="37" xfId="0" applyNumberFormat="1" applyFont="1" applyBorder="1" applyAlignment="1">
      <alignment vertical="center"/>
    </xf>
    <xf numFmtId="0" fontId="4" fillId="0" borderId="38" xfId="0" applyFont="1" applyBorder="1" applyAlignment="1">
      <alignment horizontal="center" vertical="center"/>
    </xf>
    <xf numFmtId="165" fontId="1" fillId="0" borderId="0" xfId="0" applyNumberFormat="1" applyFont="1"/>
    <xf numFmtId="0" fontId="4" fillId="0" borderId="39" xfId="0" applyFont="1" applyBorder="1" applyAlignment="1">
      <alignment vertical="center"/>
    </xf>
    <xf numFmtId="2" fontId="4" fillId="0" borderId="40" xfId="0" applyNumberFormat="1" applyFont="1" applyBorder="1" applyAlignment="1">
      <alignment vertical="center"/>
    </xf>
    <xf numFmtId="0" fontId="1" fillId="0" borderId="41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2" fontId="1" fillId="0" borderId="31" xfId="0" applyNumberFormat="1" applyFont="1" applyBorder="1" applyAlignment="1">
      <alignment vertical="center"/>
    </xf>
    <xf numFmtId="0" fontId="15" fillId="0" borderId="35" xfId="0" applyFont="1" applyBorder="1" applyAlignment="1">
      <alignment horizontal="left" vertical="center"/>
    </xf>
    <xf numFmtId="0" fontId="1" fillId="0" borderId="10" xfId="0" applyFont="1" applyBorder="1" applyAlignment="1">
      <alignment vertical="center"/>
    </xf>
    <xf numFmtId="2" fontId="1" fillId="0" borderId="14" xfId="0" applyNumberFormat="1" applyFont="1" applyBorder="1" applyAlignment="1">
      <alignment vertical="center"/>
    </xf>
    <xf numFmtId="0" fontId="15" fillId="0" borderId="20" xfId="0" applyFont="1" applyBorder="1" applyAlignment="1">
      <alignment horizontal="left" vertical="center"/>
    </xf>
    <xf numFmtId="165" fontId="1" fillId="0" borderId="24" xfId="0" applyNumberFormat="1" applyFont="1" applyBorder="1" applyAlignment="1">
      <alignment vertical="center"/>
    </xf>
    <xf numFmtId="0" fontId="1" fillId="0" borderId="43" xfId="0" applyFont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2" fontId="1" fillId="0" borderId="15" xfId="0" applyNumberFormat="1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2" fontId="1" fillId="0" borderId="16" xfId="0" applyNumberFormat="1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165" fontId="1" fillId="0" borderId="16" xfId="0" applyNumberFormat="1" applyFont="1" applyBorder="1" applyAlignment="1">
      <alignment vertical="center" wrapText="1"/>
    </xf>
    <xf numFmtId="0" fontId="11" fillId="0" borderId="10" xfId="0" applyFont="1" applyBorder="1" applyAlignment="1">
      <alignment horizontal="left" vertical="center"/>
    </xf>
    <xf numFmtId="0" fontId="1" fillId="0" borderId="16" xfId="0" applyFont="1" applyBorder="1" applyAlignment="1">
      <alignment vertical="center" wrapText="1"/>
    </xf>
    <xf numFmtId="43" fontId="1" fillId="0" borderId="0" xfId="0" applyNumberFormat="1" applyFont="1"/>
    <xf numFmtId="0" fontId="1" fillId="0" borderId="10" xfId="0" applyFont="1" applyBorder="1" applyAlignment="1">
      <alignment horizontal="left" vertical="center"/>
    </xf>
    <xf numFmtId="3" fontId="1" fillId="0" borderId="16" xfId="0" applyNumberFormat="1" applyFont="1" applyBorder="1" applyAlignment="1">
      <alignment vertical="center" wrapText="1"/>
    </xf>
    <xf numFmtId="0" fontId="1" fillId="0" borderId="39" xfId="0" applyFont="1" applyBorder="1" applyAlignment="1">
      <alignment vertical="center"/>
    </xf>
    <xf numFmtId="0" fontId="1" fillId="0" borderId="18" xfId="0" applyFont="1" applyBorder="1"/>
    <xf numFmtId="165" fontId="1" fillId="0" borderId="41" xfId="0" applyNumberFormat="1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1" fontId="4" fillId="0" borderId="38" xfId="0" applyNumberFormat="1" applyFont="1" applyBorder="1" applyAlignment="1">
      <alignment vertical="center" wrapText="1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8" xfId="0" applyFont="1" applyBorder="1" applyAlignment="1">
      <alignment vertical="center" wrapText="1"/>
    </xf>
    <xf numFmtId="43" fontId="1" fillId="0" borderId="18" xfId="0" applyNumberFormat="1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0" fontId="4" fillId="0" borderId="25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15" fontId="1" fillId="0" borderId="51" xfId="0" applyNumberFormat="1" applyFont="1" applyBorder="1"/>
    <xf numFmtId="15" fontId="1" fillId="0" borderId="52" xfId="0" applyNumberFormat="1" applyFont="1" applyBorder="1"/>
    <xf numFmtId="0" fontId="1" fillId="0" borderId="27" xfId="0" applyFont="1" applyBorder="1" applyAlignment="1">
      <alignment vertical="center"/>
    </xf>
    <xf numFmtId="0" fontId="4" fillId="0" borderId="25" xfId="0" applyFont="1" applyBorder="1"/>
    <xf numFmtId="0" fontId="4" fillId="0" borderId="46" xfId="0" applyFont="1" applyBorder="1"/>
    <xf numFmtId="0" fontId="4" fillId="0" borderId="38" xfId="0" applyFont="1" applyBorder="1" applyAlignment="1">
      <alignment vertical="center"/>
    </xf>
    <xf numFmtId="0" fontId="11" fillId="3" borderId="44" xfId="0" applyFont="1" applyFill="1" applyBorder="1" applyAlignment="1">
      <alignment vertical="center" wrapText="1"/>
    </xf>
    <xf numFmtId="0" fontId="11" fillId="3" borderId="34" xfId="0" applyFont="1" applyFill="1" applyBorder="1" applyAlignment="1">
      <alignment vertical="center" wrapText="1"/>
    </xf>
    <xf numFmtId="2" fontId="1" fillId="0" borderId="45" xfId="0" applyNumberFormat="1" applyFont="1" applyBorder="1"/>
    <xf numFmtId="0" fontId="1" fillId="0" borderId="12" xfId="0" applyFont="1" applyBorder="1"/>
    <xf numFmtId="0" fontId="11" fillId="2" borderId="25" xfId="0" applyFont="1" applyFill="1" applyBorder="1" applyAlignment="1">
      <alignment horizontal="center" wrapText="1"/>
    </xf>
    <xf numFmtId="0" fontId="11" fillId="2" borderId="46" xfId="0" applyFont="1" applyFill="1" applyBorder="1" applyAlignment="1">
      <alignment horizontal="center" wrapText="1"/>
    </xf>
    <xf numFmtId="0" fontId="11" fillId="2" borderId="37" xfId="0" applyFont="1" applyFill="1" applyBorder="1" applyAlignment="1">
      <alignment horizontal="center" wrapText="1"/>
    </xf>
    <xf numFmtId="0" fontId="11" fillId="2" borderId="38" xfId="0" applyFont="1" applyFill="1" applyBorder="1" applyAlignment="1">
      <alignment horizontal="center" wrapText="1"/>
    </xf>
    <xf numFmtId="166" fontId="11" fillId="0" borderId="47" xfId="1" applyNumberFormat="1" applyFont="1" applyBorder="1" applyAlignment="1">
      <alignment horizontal="left" indent="1"/>
    </xf>
    <xf numFmtId="3" fontId="1" fillId="0" borderId="16" xfId="0" applyNumberFormat="1" applyFont="1" applyBorder="1"/>
    <xf numFmtId="0" fontId="1" fillId="0" borderId="14" xfId="0" applyFont="1" applyBorder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15" fontId="1" fillId="0" borderId="50" xfId="0" applyNumberFormat="1" applyFont="1" applyBorder="1" applyAlignment="1">
      <alignment vertical="center"/>
    </xf>
    <xf numFmtId="15" fontId="1" fillId="0" borderId="49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3" fontId="4" fillId="0" borderId="19" xfId="0" applyNumberFormat="1" applyFont="1" applyBorder="1" applyAlignment="1">
      <alignment horizontal="right" vertical="center" wrapText="1"/>
    </xf>
    <xf numFmtId="3" fontId="4" fillId="0" borderId="19" xfId="0" applyNumberFormat="1" applyFont="1" applyBorder="1" applyAlignment="1">
      <alignment horizontal="right" vertical="center"/>
    </xf>
    <xf numFmtId="0" fontId="18" fillId="0" borderId="0" xfId="0" applyFont="1"/>
    <xf numFmtId="0" fontId="4" fillId="0" borderId="0" xfId="0" applyFont="1"/>
    <xf numFmtId="10" fontId="0" fillId="0" borderId="0" xfId="112" applyNumberFormat="1" applyFont="1" applyBorder="1"/>
    <xf numFmtId="165" fontId="11" fillId="0" borderId="14" xfId="0" applyNumberFormat="1" applyFont="1" applyBorder="1"/>
    <xf numFmtId="0" fontId="11" fillId="0" borderId="14" xfId="0" applyFont="1" applyBorder="1"/>
    <xf numFmtId="165" fontId="0" fillId="0" borderId="14" xfId="0" applyNumberFormat="1" applyBorder="1"/>
    <xf numFmtId="0" fontId="4" fillId="4" borderId="32" xfId="0" applyFont="1" applyFill="1" applyBorder="1"/>
    <xf numFmtId="0" fontId="1" fillId="4" borderId="14" xfId="0" applyFont="1" applyFill="1" applyBorder="1" applyAlignment="1">
      <alignment wrapText="1"/>
    </xf>
    <xf numFmtId="0" fontId="1" fillId="4" borderId="33" xfId="0" applyFont="1" applyFill="1" applyBorder="1" applyAlignment="1">
      <alignment horizontal="right" vertical="center"/>
    </xf>
    <xf numFmtId="3" fontId="1" fillId="4" borderId="22" xfId="0" applyNumberFormat="1" applyFont="1" applyFill="1" applyBorder="1" applyAlignment="1">
      <alignment horizontal="right" vertical="center" wrapText="1"/>
    </xf>
    <xf numFmtId="3" fontId="1" fillId="4" borderId="22" xfId="0" applyNumberFormat="1" applyFont="1" applyFill="1" applyBorder="1" applyAlignment="1">
      <alignment horizontal="right" vertical="center"/>
    </xf>
    <xf numFmtId="0" fontId="1" fillId="4" borderId="34" xfId="0" applyFont="1" applyFill="1" applyBorder="1" applyAlignment="1">
      <alignment horizontal="right" vertical="center"/>
    </xf>
    <xf numFmtId="3" fontId="1" fillId="4" borderId="23" xfId="0" applyNumberFormat="1" applyFont="1" applyFill="1" applyBorder="1" applyAlignment="1">
      <alignment horizontal="right" vertical="center" wrapText="1"/>
    </xf>
    <xf numFmtId="3" fontId="1" fillId="4" borderId="23" xfId="0" applyNumberFormat="1" applyFont="1" applyFill="1" applyBorder="1" applyAlignment="1">
      <alignment horizontal="right" vertical="center"/>
    </xf>
    <xf numFmtId="0" fontId="11" fillId="3" borderId="33" xfId="0" applyFont="1" applyFill="1" applyBorder="1" applyAlignment="1">
      <alignment vertical="center" wrapText="1"/>
    </xf>
    <xf numFmtId="2" fontId="1" fillId="0" borderId="53" xfId="0" applyNumberFormat="1" applyFont="1" applyBorder="1"/>
    <xf numFmtId="0" fontId="1" fillId="0" borderId="15" xfId="0" applyFont="1" applyBorder="1"/>
    <xf numFmtId="1" fontId="1" fillId="0" borderId="0" xfId="0" applyNumberFormat="1" applyFont="1"/>
    <xf numFmtId="3" fontId="11" fillId="0" borderId="14" xfId="0" applyNumberFormat="1" applyFont="1" applyBorder="1"/>
    <xf numFmtId="3" fontId="1" fillId="0" borderId="14" xfId="0" applyNumberFormat="1" applyFont="1" applyBorder="1"/>
    <xf numFmtId="166" fontId="11" fillId="0" borderId="54" xfId="1" applyNumberFormat="1" applyFont="1" applyBorder="1" applyAlignment="1">
      <alignment horizontal="left" indent="1"/>
    </xf>
    <xf numFmtId="3" fontId="11" fillId="0" borderId="24" xfId="0" applyNumberFormat="1" applyFont="1" applyBorder="1"/>
    <xf numFmtId="3" fontId="1" fillId="0" borderId="24" xfId="0" applyNumberFormat="1" applyFont="1" applyBorder="1"/>
    <xf numFmtId="3" fontId="1" fillId="0" borderId="43" xfId="0" applyNumberFormat="1" applyFont="1" applyBorder="1"/>
    <xf numFmtId="0" fontId="11" fillId="2" borderId="36" xfId="0" applyFont="1" applyFill="1" applyBorder="1" applyAlignment="1">
      <alignment horizontal="center" wrapText="1"/>
    </xf>
    <xf numFmtId="0" fontId="9" fillId="2" borderId="28" xfId="0" applyFont="1" applyFill="1" applyBorder="1" applyAlignment="1">
      <alignment horizontal="left" wrapText="1"/>
    </xf>
    <xf numFmtId="1" fontId="9" fillId="2" borderId="37" xfId="0" applyNumberFormat="1" applyFont="1" applyFill="1" applyBorder="1" applyAlignment="1">
      <alignment horizontal="right" wrapText="1"/>
    </xf>
    <xf numFmtId="0" fontId="9" fillId="2" borderId="38" xfId="0" applyFont="1" applyFill="1" applyBorder="1" applyAlignment="1">
      <alignment horizontal="right" wrapText="1"/>
    </xf>
    <xf numFmtId="10" fontId="0" fillId="0" borderId="14" xfId="112" applyNumberFormat="1" applyFont="1" applyFill="1" applyBorder="1"/>
    <xf numFmtId="0" fontId="1" fillId="0" borderId="55" xfId="0" applyFont="1" applyBorder="1" applyAlignment="1">
      <alignment vertical="center"/>
    </xf>
    <xf numFmtId="2" fontId="1" fillId="0" borderId="11" xfId="0" applyNumberFormat="1" applyFont="1" applyBorder="1" applyAlignment="1">
      <alignment vertical="center"/>
    </xf>
    <xf numFmtId="0" fontId="19" fillId="0" borderId="19" xfId="114" applyBorder="1" applyAlignment="1" applyProtection="1"/>
    <xf numFmtId="0" fontId="1" fillId="0" borderId="9" xfId="0" applyFont="1" applyBorder="1" applyAlignment="1">
      <alignment vertical="center"/>
    </xf>
    <xf numFmtId="10" fontId="1" fillId="4" borderId="0" xfId="112" applyNumberFormat="1" applyFont="1" applyFill="1" applyAlignment="1">
      <alignment vertical="center"/>
    </xf>
    <xf numFmtId="0" fontId="1" fillId="0" borderId="13" xfId="0" applyFont="1" applyBorder="1"/>
    <xf numFmtId="0" fontId="1" fillId="0" borderId="11" xfId="0" applyFont="1" applyBorder="1"/>
    <xf numFmtId="0" fontId="1" fillId="0" borderId="29" xfId="0" applyFont="1" applyBorder="1"/>
    <xf numFmtId="0" fontId="1" fillId="0" borderId="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1" fillId="4" borderId="0" xfId="0" applyFont="1" applyFill="1"/>
  </cellXfs>
  <cellStyles count="115">
    <cellStyle name="Comma" xfId="1" builtinId="3"/>
    <cellStyle name="Comma [0] 2" xfId="2" xr:uid="{00000000-0005-0000-0000-000001000000}"/>
    <cellStyle name="Hyperlink" xfId="114" builtinId="8"/>
    <cellStyle name="Hyperlink 2" xfId="3" xr:uid="{00000000-0005-0000-0000-000003000000}"/>
    <cellStyle name="Normal" xfId="0" builtinId="0"/>
    <cellStyle name="Normal 2" xfId="4" xr:uid="{00000000-0005-0000-0000-000005000000}"/>
    <cellStyle name="Normal 2 10" xfId="5" xr:uid="{00000000-0005-0000-0000-000006000000}"/>
    <cellStyle name="Normal 2 100" xfId="6" xr:uid="{00000000-0005-0000-0000-000007000000}"/>
    <cellStyle name="Normal 2 101" xfId="7" xr:uid="{00000000-0005-0000-0000-000008000000}"/>
    <cellStyle name="Normal 2 102" xfId="8" xr:uid="{00000000-0005-0000-0000-000009000000}"/>
    <cellStyle name="Normal 2 103" xfId="9" xr:uid="{00000000-0005-0000-0000-00000A000000}"/>
    <cellStyle name="Normal 2 104" xfId="10" xr:uid="{00000000-0005-0000-0000-00000B000000}"/>
    <cellStyle name="Normal 2 105" xfId="11" xr:uid="{00000000-0005-0000-0000-00000C000000}"/>
    <cellStyle name="Normal 2 106" xfId="12" xr:uid="{00000000-0005-0000-0000-00000D000000}"/>
    <cellStyle name="Normal 2 11" xfId="13" xr:uid="{00000000-0005-0000-0000-00000E000000}"/>
    <cellStyle name="Normal 2 12" xfId="14" xr:uid="{00000000-0005-0000-0000-00000F000000}"/>
    <cellStyle name="Normal 2 13" xfId="15" xr:uid="{00000000-0005-0000-0000-000010000000}"/>
    <cellStyle name="Normal 2 14" xfId="16" xr:uid="{00000000-0005-0000-0000-000011000000}"/>
    <cellStyle name="Normal 2 15" xfId="17" xr:uid="{00000000-0005-0000-0000-000012000000}"/>
    <cellStyle name="Normal 2 16" xfId="18" xr:uid="{00000000-0005-0000-0000-000013000000}"/>
    <cellStyle name="Normal 2 17" xfId="19" xr:uid="{00000000-0005-0000-0000-000014000000}"/>
    <cellStyle name="Normal 2 18" xfId="20" xr:uid="{00000000-0005-0000-0000-000015000000}"/>
    <cellStyle name="Normal 2 19" xfId="21" xr:uid="{00000000-0005-0000-0000-000016000000}"/>
    <cellStyle name="Normal 2 2" xfId="22" xr:uid="{00000000-0005-0000-0000-000017000000}"/>
    <cellStyle name="Normal 2 20" xfId="23" xr:uid="{00000000-0005-0000-0000-000018000000}"/>
    <cellStyle name="Normal 2 21" xfId="24" xr:uid="{00000000-0005-0000-0000-000019000000}"/>
    <cellStyle name="Normal 2 22" xfId="25" xr:uid="{00000000-0005-0000-0000-00001A000000}"/>
    <cellStyle name="Normal 2 23" xfId="26" xr:uid="{00000000-0005-0000-0000-00001B000000}"/>
    <cellStyle name="Normal 2 24" xfId="27" xr:uid="{00000000-0005-0000-0000-00001C000000}"/>
    <cellStyle name="Normal 2 25" xfId="28" xr:uid="{00000000-0005-0000-0000-00001D000000}"/>
    <cellStyle name="Normal 2 26" xfId="29" xr:uid="{00000000-0005-0000-0000-00001E000000}"/>
    <cellStyle name="Normal 2 27" xfId="30" xr:uid="{00000000-0005-0000-0000-00001F000000}"/>
    <cellStyle name="Normal 2 28" xfId="31" xr:uid="{00000000-0005-0000-0000-000020000000}"/>
    <cellStyle name="Normal 2 29" xfId="32" xr:uid="{00000000-0005-0000-0000-000021000000}"/>
    <cellStyle name="Normal 2 3" xfId="33" xr:uid="{00000000-0005-0000-0000-000022000000}"/>
    <cellStyle name="Normal 2 30" xfId="34" xr:uid="{00000000-0005-0000-0000-000023000000}"/>
    <cellStyle name="Normal 2 31" xfId="35" xr:uid="{00000000-0005-0000-0000-000024000000}"/>
    <cellStyle name="Normal 2 32" xfId="36" xr:uid="{00000000-0005-0000-0000-000025000000}"/>
    <cellStyle name="Normal 2 33" xfId="37" xr:uid="{00000000-0005-0000-0000-000026000000}"/>
    <cellStyle name="Normal 2 34" xfId="38" xr:uid="{00000000-0005-0000-0000-000027000000}"/>
    <cellStyle name="Normal 2 35" xfId="39" xr:uid="{00000000-0005-0000-0000-000028000000}"/>
    <cellStyle name="Normal 2 36" xfId="40" xr:uid="{00000000-0005-0000-0000-000029000000}"/>
    <cellStyle name="Normal 2 37" xfId="41" xr:uid="{00000000-0005-0000-0000-00002A000000}"/>
    <cellStyle name="Normal 2 38" xfId="42" xr:uid="{00000000-0005-0000-0000-00002B000000}"/>
    <cellStyle name="Normal 2 39" xfId="43" xr:uid="{00000000-0005-0000-0000-00002C000000}"/>
    <cellStyle name="Normal 2 4" xfId="44" xr:uid="{00000000-0005-0000-0000-00002D000000}"/>
    <cellStyle name="Normal 2 40" xfId="45" xr:uid="{00000000-0005-0000-0000-00002E000000}"/>
    <cellStyle name="Normal 2 41" xfId="46" xr:uid="{00000000-0005-0000-0000-00002F000000}"/>
    <cellStyle name="Normal 2 42" xfId="47" xr:uid="{00000000-0005-0000-0000-000030000000}"/>
    <cellStyle name="Normal 2 43" xfId="48" xr:uid="{00000000-0005-0000-0000-000031000000}"/>
    <cellStyle name="Normal 2 44" xfId="49" xr:uid="{00000000-0005-0000-0000-000032000000}"/>
    <cellStyle name="Normal 2 45" xfId="50" xr:uid="{00000000-0005-0000-0000-000033000000}"/>
    <cellStyle name="Normal 2 46" xfId="51" xr:uid="{00000000-0005-0000-0000-000034000000}"/>
    <cellStyle name="Normal 2 47" xfId="52" xr:uid="{00000000-0005-0000-0000-000035000000}"/>
    <cellStyle name="Normal 2 48" xfId="53" xr:uid="{00000000-0005-0000-0000-000036000000}"/>
    <cellStyle name="Normal 2 49" xfId="54" xr:uid="{00000000-0005-0000-0000-000037000000}"/>
    <cellStyle name="Normal 2 5" xfId="55" xr:uid="{00000000-0005-0000-0000-000038000000}"/>
    <cellStyle name="Normal 2 50" xfId="56" xr:uid="{00000000-0005-0000-0000-000039000000}"/>
    <cellStyle name="Normal 2 51" xfId="57" xr:uid="{00000000-0005-0000-0000-00003A000000}"/>
    <cellStyle name="Normal 2 52" xfId="58" xr:uid="{00000000-0005-0000-0000-00003B000000}"/>
    <cellStyle name="Normal 2 53" xfId="59" xr:uid="{00000000-0005-0000-0000-00003C000000}"/>
    <cellStyle name="Normal 2 54" xfId="60" xr:uid="{00000000-0005-0000-0000-00003D000000}"/>
    <cellStyle name="Normal 2 55" xfId="61" xr:uid="{00000000-0005-0000-0000-00003E000000}"/>
    <cellStyle name="Normal 2 56" xfId="62" xr:uid="{00000000-0005-0000-0000-00003F000000}"/>
    <cellStyle name="Normal 2 57" xfId="63" xr:uid="{00000000-0005-0000-0000-000040000000}"/>
    <cellStyle name="Normal 2 58" xfId="64" xr:uid="{00000000-0005-0000-0000-000041000000}"/>
    <cellStyle name="Normal 2 59" xfId="65" xr:uid="{00000000-0005-0000-0000-000042000000}"/>
    <cellStyle name="Normal 2 6" xfId="66" xr:uid="{00000000-0005-0000-0000-000043000000}"/>
    <cellStyle name="Normal 2 60" xfId="67" xr:uid="{00000000-0005-0000-0000-000044000000}"/>
    <cellStyle name="Normal 2 61" xfId="68" xr:uid="{00000000-0005-0000-0000-000045000000}"/>
    <cellStyle name="Normal 2 62" xfId="69" xr:uid="{00000000-0005-0000-0000-000046000000}"/>
    <cellStyle name="Normal 2 63" xfId="70" xr:uid="{00000000-0005-0000-0000-000047000000}"/>
    <cellStyle name="Normal 2 64" xfId="71" xr:uid="{00000000-0005-0000-0000-000048000000}"/>
    <cellStyle name="Normal 2 65" xfId="72" xr:uid="{00000000-0005-0000-0000-000049000000}"/>
    <cellStyle name="Normal 2 66" xfId="73" xr:uid="{00000000-0005-0000-0000-00004A000000}"/>
    <cellStyle name="Normal 2 67" xfId="74" xr:uid="{00000000-0005-0000-0000-00004B000000}"/>
    <cellStyle name="Normal 2 68" xfId="75" xr:uid="{00000000-0005-0000-0000-00004C000000}"/>
    <cellStyle name="Normal 2 69" xfId="76" xr:uid="{00000000-0005-0000-0000-00004D000000}"/>
    <cellStyle name="Normal 2 7" xfId="77" xr:uid="{00000000-0005-0000-0000-00004E000000}"/>
    <cellStyle name="Normal 2 70" xfId="78" xr:uid="{00000000-0005-0000-0000-00004F000000}"/>
    <cellStyle name="Normal 2 71" xfId="79" xr:uid="{00000000-0005-0000-0000-000050000000}"/>
    <cellStyle name="Normal 2 72" xfId="80" xr:uid="{00000000-0005-0000-0000-000051000000}"/>
    <cellStyle name="Normal 2 73" xfId="81" xr:uid="{00000000-0005-0000-0000-000052000000}"/>
    <cellStyle name="Normal 2 74" xfId="82" xr:uid="{00000000-0005-0000-0000-000053000000}"/>
    <cellStyle name="Normal 2 75" xfId="83" xr:uid="{00000000-0005-0000-0000-000054000000}"/>
    <cellStyle name="Normal 2 76" xfId="84" xr:uid="{00000000-0005-0000-0000-000055000000}"/>
    <cellStyle name="Normal 2 77" xfId="85" xr:uid="{00000000-0005-0000-0000-000056000000}"/>
    <cellStyle name="Normal 2 78" xfId="86" xr:uid="{00000000-0005-0000-0000-000057000000}"/>
    <cellStyle name="Normal 2 79" xfId="87" xr:uid="{00000000-0005-0000-0000-000058000000}"/>
    <cellStyle name="Normal 2 8" xfId="88" xr:uid="{00000000-0005-0000-0000-000059000000}"/>
    <cellStyle name="Normal 2 80" xfId="89" xr:uid="{00000000-0005-0000-0000-00005A000000}"/>
    <cellStyle name="Normal 2 81" xfId="90" xr:uid="{00000000-0005-0000-0000-00005B000000}"/>
    <cellStyle name="Normal 2 82" xfId="91" xr:uid="{00000000-0005-0000-0000-00005C000000}"/>
    <cellStyle name="Normal 2 83" xfId="92" xr:uid="{00000000-0005-0000-0000-00005D000000}"/>
    <cellStyle name="Normal 2 84" xfId="93" xr:uid="{00000000-0005-0000-0000-00005E000000}"/>
    <cellStyle name="Normal 2 85" xfId="94" xr:uid="{00000000-0005-0000-0000-00005F000000}"/>
    <cellStyle name="Normal 2 86" xfId="95" xr:uid="{00000000-0005-0000-0000-000060000000}"/>
    <cellStyle name="Normal 2 87" xfId="96" xr:uid="{00000000-0005-0000-0000-000061000000}"/>
    <cellStyle name="Normal 2 88" xfId="97" xr:uid="{00000000-0005-0000-0000-000062000000}"/>
    <cellStyle name="Normal 2 89" xfId="98" xr:uid="{00000000-0005-0000-0000-000063000000}"/>
    <cellStyle name="Normal 2 9" xfId="99" xr:uid="{00000000-0005-0000-0000-000064000000}"/>
    <cellStyle name="Normal 2 90" xfId="100" xr:uid="{00000000-0005-0000-0000-000065000000}"/>
    <cellStyle name="Normal 2 91" xfId="101" xr:uid="{00000000-0005-0000-0000-000066000000}"/>
    <cellStyle name="Normal 2 92" xfId="102" xr:uid="{00000000-0005-0000-0000-000067000000}"/>
    <cellStyle name="Normal 2 93" xfId="103" xr:uid="{00000000-0005-0000-0000-000068000000}"/>
    <cellStyle name="Normal 2 94" xfId="104" xr:uid="{00000000-0005-0000-0000-000069000000}"/>
    <cellStyle name="Normal 2 95" xfId="105" xr:uid="{00000000-0005-0000-0000-00006A000000}"/>
    <cellStyle name="Normal 2 96" xfId="106" xr:uid="{00000000-0005-0000-0000-00006B000000}"/>
    <cellStyle name="Normal 2 97" xfId="107" xr:uid="{00000000-0005-0000-0000-00006C000000}"/>
    <cellStyle name="Normal 2 98" xfId="108" xr:uid="{00000000-0005-0000-0000-00006D000000}"/>
    <cellStyle name="Normal 2 99" xfId="109" xr:uid="{00000000-0005-0000-0000-00006E000000}"/>
    <cellStyle name="Normal 3" xfId="110" xr:uid="{00000000-0005-0000-0000-00006F000000}"/>
    <cellStyle name="Normal 4" xfId="111" xr:uid="{00000000-0005-0000-0000-000070000000}"/>
    <cellStyle name="Percent" xfId="112" builtinId="5"/>
    <cellStyle name="Percent 2" xfId="113" xr:uid="{00000000-0005-0000-0000-00007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iff"/><Relationship Id="rId1" Type="http://schemas.openxmlformats.org/officeDocument/2006/relationships/image" Target="../media/image2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247650</xdr:colOff>
      <xdr:row>3</xdr:row>
      <xdr:rowOff>136071</xdr:rowOff>
    </xdr:to>
    <xdr:pic>
      <xdr:nvPicPr>
        <xdr:cNvPr id="6167" name="Picture 1">
          <a:extLst>
            <a:ext uri="{FF2B5EF4-FFF2-40B4-BE49-F238E27FC236}">
              <a16:creationId xmlns:a16="http://schemas.microsoft.com/office/drawing/2014/main" id="{3EA4688B-A221-2B24-85F9-FE75B5E42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71" y="157843"/>
          <a:ext cx="5644243" cy="451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15</xdr:col>
      <xdr:colOff>152400</xdr:colOff>
      <xdr:row>7</xdr:row>
      <xdr:rowOff>35378</xdr:rowOff>
    </xdr:to>
    <xdr:pic>
      <xdr:nvPicPr>
        <xdr:cNvPr id="7191" name="Picture 1">
          <a:extLst>
            <a:ext uri="{FF2B5EF4-FFF2-40B4-BE49-F238E27FC236}">
              <a16:creationId xmlns:a16="http://schemas.microsoft.com/office/drawing/2014/main" id="{057FA75D-C8B6-6A8F-915D-4A903815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4357" y="662214"/>
          <a:ext cx="5586186" cy="7511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70757</xdr:colOff>
      <xdr:row>7</xdr:row>
      <xdr:rowOff>141514</xdr:rowOff>
    </xdr:from>
    <xdr:to>
      <xdr:col>12</xdr:col>
      <xdr:colOff>32657</xdr:colOff>
      <xdr:row>12</xdr:row>
      <xdr:rowOff>58705</xdr:rowOff>
    </xdr:to>
    <xdr:pic>
      <xdr:nvPicPr>
        <xdr:cNvPr id="7192" name="Picture 2">
          <a:extLst>
            <a:ext uri="{FF2B5EF4-FFF2-40B4-BE49-F238E27FC236}">
              <a16:creationId xmlns:a16="http://schemas.microsoft.com/office/drawing/2014/main" id="{07C2D886-E91F-AAED-BFFE-D8140E075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4043" y="1540329"/>
          <a:ext cx="3075214" cy="8436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ensusindia.gov.in/census.website/data/population-finder" TargetMode="External"/><Relationship Id="rId1" Type="http://schemas.openxmlformats.org/officeDocument/2006/relationships/hyperlink" Target="https://censusindia.gov.in/census.website/data/population-finder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5"/>
  <sheetViews>
    <sheetView zoomScaleNormal="100" workbookViewId="0">
      <selection activeCell="D22" sqref="D22"/>
    </sheetView>
  </sheetViews>
  <sheetFormatPr defaultColWidth="8.7109375" defaultRowHeight="12.6"/>
  <cols>
    <col min="1" max="1" width="5.28515625" customWidth="1"/>
    <col min="2" max="2" width="11.28515625" bestFit="1" customWidth="1"/>
    <col min="3" max="3" width="80.7109375" bestFit="1" customWidth="1"/>
    <col min="4" max="256" width="11" customWidth="1"/>
  </cols>
  <sheetData>
    <row r="2" spans="2:3">
      <c r="B2" s="93" t="s">
        <v>0</v>
      </c>
      <c r="C2" s="93" t="s">
        <v>1</v>
      </c>
    </row>
    <row r="3" spans="2:3">
      <c r="B3" s="93" t="s">
        <v>2</v>
      </c>
      <c r="C3" s="2">
        <v>45345</v>
      </c>
    </row>
    <row r="4" spans="2:3">
      <c r="B4" s="93" t="s">
        <v>3</v>
      </c>
      <c r="C4" s="1">
        <v>3</v>
      </c>
    </row>
    <row r="5" spans="2:3">
      <c r="B5" s="93" t="s">
        <v>4</v>
      </c>
      <c r="C5" s="108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23"/>
  <sheetViews>
    <sheetView workbookViewId="0">
      <selection activeCell="E11" sqref="E11"/>
    </sheetView>
  </sheetViews>
  <sheetFormatPr defaultColWidth="8.7109375" defaultRowHeight="12.6"/>
  <cols>
    <col min="1" max="1" width="8.7109375" customWidth="1"/>
    <col min="2" max="2" width="18.28515625" bestFit="1" customWidth="1"/>
    <col min="4" max="4" width="9.42578125" bestFit="1" customWidth="1"/>
    <col min="5" max="5" width="15.28515625" bestFit="1" customWidth="1"/>
  </cols>
  <sheetData>
    <row r="1" spans="2:5" ht="12.95" thickBot="1"/>
    <row r="2" spans="2:5" ht="13.5" thickBot="1">
      <c r="B2" s="107" t="s">
        <v>6</v>
      </c>
    </row>
    <row r="3" spans="2:5" ht="13.5" thickBot="1">
      <c r="B3" s="6" t="s">
        <v>7</v>
      </c>
      <c r="C3" s="7" t="s">
        <v>8</v>
      </c>
      <c r="D3" s="7" t="s">
        <v>9</v>
      </c>
      <c r="E3" s="8" t="s">
        <v>10</v>
      </c>
    </row>
    <row r="4" spans="2:5">
      <c r="B4" s="143" t="s">
        <v>11</v>
      </c>
      <c r="C4" s="138" t="s">
        <v>12</v>
      </c>
      <c r="D4" s="135" t="s">
        <v>12</v>
      </c>
      <c r="E4" s="11">
        <v>1300</v>
      </c>
    </row>
    <row r="5" spans="2:5">
      <c r="B5" s="144"/>
      <c r="C5" s="139"/>
      <c r="D5" s="93" t="s">
        <v>13</v>
      </c>
      <c r="E5" s="9">
        <v>1450</v>
      </c>
    </row>
    <row r="6" spans="2:5">
      <c r="B6" s="144"/>
      <c r="C6" s="139"/>
      <c r="D6" s="93" t="s">
        <v>14</v>
      </c>
      <c r="E6" s="9">
        <v>1340</v>
      </c>
    </row>
    <row r="7" spans="2:5">
      <c r="B7" s="144"/>
      <c r="C7" s="139"/>
      <c r="D7" s="93" t="s">
        <v>15</v>
      </c>
      <c r="E7" s="9">
        <v>1440</v>
      </c>
    </row>
    <row r="8" spans="2:5">
      <c r="B8" s="144"/>
      <c r="C8" s="139"/>
      <c r="D8" s="93" t="s">
        <v>16</v>
      </c>
      <c r="E8" s="9">
        <v>249</v>
      </c>
    </row>
    <row r="9" spans="2:5">
      <c r="B9" s="144"/>
      <c r="C9" s="140" t="s">
        <v>17</v>
      </c>
      <c r="D9" s="93" t="s">
        <v>18</v>
      </c>
      <c r="E9" s="9">
        <v>1197</v>
      </c>
    </row>
    <row r="10" spans="2:5">
      <c r="B10" s="144"/>
      <c r="C10" s="139"/>
      <c r="D10" s="93" t="s">
        <v>19</v>
      </c>
      <c r="E10" s="9">
        <v>2674</v>
      </c>
    </row>
    <row r="11" spans="2:5">
      <c r="B11" s="144"/>
      <c r="C11" s="139"/>
      <c r="D11" s="93" t="s">
        <v>20</v>
      </c>
      <c r="E11" s="9">
        <v>1967</v>
      </c>
    </row>
    <row r="12" spans="2:5">
      <c r="B12" s="144"/>
      <c r="C12" s="139"/>
      <c r="D12" s="93" t="s">
        <v>17</v>
      </c>
      <c r="E12" s="9">
        <v>3</v>
      </c>
    </row>
    <row r="13" spans="2:5">
      <c r="B13" s="144"/>
      <c r="C13" s="139"/>
      <c r="D13" s="93" t="s">
        <v>21</v>
      </c>
      <c r="E13" s="9">
        <v>1</v>
      </c>
    </row>
    <row r="14" spans="2:5">
      <c r="B14" s="144"/>
      <c r="C14" s="139"/>
      <c r="D14" s="93" t="s">
        <v>22</v>
      </c>
      <c r="E14" s="9">
        <v>2</v>
      </c>
    </row>
    <row r="15" spans="2:5">
      <c r="B15" s="144"/>
      <c r="C15" s="141"/>
      <c r="D15" s="93" t="s">
        <v>23</v>
      </c>
      <c r="E15" s="9">
        <v>1</v>
      </c>
    </row>
    <row r="16" spans="2:5">
      <c r="B16" s="144"/>
      <c r="C16" s="140" t="s">
        <v>24</v>
      </c>
      <c r="D16" s="93" t="s">
        <v>25</v>
      </c>
      <c r="E16" s="9">
        <v>1430</v>
      </c>
    </row>
    <row r="17" spans="2:5">
      <c r="B17" s="144"/>
      <c r="C17" s="139"/>
      <c r="D17" s="93" t="s">
        <v>26</v>
      </c>
      <c r="E17" s="9">
        <v>1750</v>
      </c>
    </row>
    <row r="18" spans="2:5">
      <c r="B18" s="144"/>
      <c r="C18" s="139"/>
      <c r="D18" s="93" t="s">
        <v>27</v>
      </c>
      <c r="E18" s="9">
        <v>1901</v>
      </c>
    </row>
    <row r="19" spans="2:5" ht="12.95" thickBot="1">
      <c r="B19" s="145"/>
      <c r="C19" s="142"/>
      <c r="D19" s="136" t="s">
        <v>24</v>
      </c>
      <c r="E19" s="10">
        <v>674</v>
      </c>
    </row>
    <row r="20" spans="2:5" ht="13.5" thickBot="1">
      <c r="B20" s="12" t="s">
        <v>28</v>
      </c>
      <c r="C20" s="5"/>
      <c r="D20" s="137"/>
      <c r="E20" s="13">
        <f>SUM(E4:E19)</f>
        <v>17379</v>
      </c>
    </row>
    <row r="21" spans="2:5" ht="12.95">
      <c r="B21" s="102"/>
      <c r="D21" s="16"/>
      <c r="E21" s="102"/>
    </row>
    <row r="22" spans="2:5">
      <c r="B22" s="16"/>
    </row>
    <row r="23" spans="2:5" ht="13.5">
      <c r="B23" s="16"/>
      <c r="C23" s="103"/>
      <c r="D23" s="101"/>
    </row>
  </sheetData>
  <mergeCells count="4">
    <mergeCell ref="C4:C8"/>
    <mergeCell ref="C9:C15"/>
    <mergeCell ref="C16:C19"/>
    <mergeCell ref="B4:B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6:C17"/>
  <sheetViews>
    <sheetView workbookViewId="0">
      <selection activeCell="C11" sqref="C11"/>
    </sheetView>
  </sheetViews>
  <sheetFormatPr defaultColWidth="8.7109375" defaultRowHeight="12.6"/>
  <cols>
    <col min="1" max="1" width="11" customWidth="1"/>
    <col min="2" max="2" width="15.28515625" bestFit="1" customWidth="1"/>
    <col min="3" max="4" width="11" customWidth="1"/>
    <col min="5" max="5" width="38.7109375" bestFit="1" customWidth="1"/>
    <col min="6" max="256" width="11" customWidth="1"/>
  </cols>
  <sheetData>
    <row r="6" spans="2:3" ht="15.95">
      <c r="B6" s="3" t="s">
        <v>29</v>
      </c>
      <c r="C6">
        <v>0.33250000000000002</v>
      </c>
    </row>
    <row r="7" spans="2:3">
      <c r="B7" s="16"/>
    </row>
    <row r="8" spans="2:3">
      <c r="B8" s="4" t="s">
        <v>30</v>
      </c>
      <c r="C8" s="4">
        <f>C6</f>
        <v>0.33250000000000002</v>
      </c>
    </row>
    <row r="9" spans="2:3">
      <c r="B9" s="4" t="s">
        <v>31</v>
      </c>
      <c r="C9" s="4">
        <f>C8*0.99^(2-1)*0.94</f>
        <v>0.30942449999999999</v>
      </c>
    </row>
    <row r="10" spans="2:3">
      <c r="B10" s="4" t="s">
        <v>32</v>
      </c>
      <c r="C10" s="4">
        <f>$C$6*(0.99)^(3-1)*0.94</f>
        <v>0.306330255</v>
      </c>
    </row>
    <row r="11" spans="2:3">
      <c r="B11" s="4" t="s">
        <v>33</v>
      </c>
      <c r="C11" s="4">
        <f>$C$6*(0.99)^(4-1)*0.94</f>
        <v>0.30326695244999996</v>
      </c>
    </row>
    <row r="12" spans="2:3">
      <c r="B12" s="4" t="s">
        <v>34</v>
      </c>
      <c r="C12" s="4">
        <f>$C$6*(0.99)^(5-1)*0.94</f>
        <v>0.30023428292549997</v>
      </c>
    </row>
    <row r="13" spans="2:3">
      <c r="B13" s="129" t="s">
        <v>35</v>
      </c>
      <c r="C13" s="129">
        <f>$C$6*(0.99)^(6-1)*0.94</f>
        <v>0.29723194009624498</v>
      </c>
    </row>
    <row r="14" spans="2:3">
      <c r="B14" s="129" t="s">
        <v>36</v>
      </c>
      <c r="C14" s="129">
        <f>$C$6*(0.99)^(7-1)*0.94</f>
        <v>0.29425962069528255</v>
      </c>
    </row>
    <row r="15" spans="2:3">
      <c r="B15" s="129" t="s">
        <v>37</v>
      </c>
      <c r="C15" s="129">
        <f>$C$6*(0.99)^(8-1)*0.94</f>
        <v>0.29131702448832969</v>
      </c>
    </row>
    <row r="16" spans="2:3">
      <c r="B16" s="129" t="s">
        <v>38</v>
      </c>
      <c r="C16" s="129">
        <f>$C$6*(0.99)^(9-1)*0.94</f>
        <v>0.28840385424344639</v>
      </c>
    </row>
    <row r="17" spans="2:3">
      <c r="B17" s="129" t="s">
        <v>39</v>
      </c>
      <c r="C17" s="129">
        <f>$C$6*(0.99)^(10-1)*0.94</f>
        <v>0.28551981570101193</v>
      </c>
    </row>
  </sheetData>
  <phoneticPr fontId="2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K81"/>
  <sheetViews>
    <sheetView topLeftCell="D69" zoomScale="105" zoomScaleNormal="105" workbookViewId="0">
      <selection activeCell="E91" sqref="E91"/>
    </sheetView>
  </sheetViews>
  <sheetFormatPr defaultColWidth="9.28515625" defaultRowHeight="12.6"/>
  <cols>
    <col min="1" max="1" width="9.28515625" style="16"/>
    <col min="2" max="2" width="4.7109375" style="16" customWidth="1"/>
    <col min="3" max="3" width="38.42578125" style="16" customWidth="1"/>
    <col min="4" max="4" width="30.28515625" style="16" customWidth="1"/>
    <col min="5" max="5" width="81.7109375" style="16" bestFit="1" customWidth="1"/>
    <col min="6" max="6" width="18.28515625" style="16" bestFit="1" customWidth="1"/>
    <col min="7" max="7" width="26.42578125" style="16" customWidth="1"/>
    <col min="8" max="8" width="12.42578125" style="16" customWidth="1"/>
    <col min="9" max="9" width="15.42578125" style="16" bestFit="1" customWidth="1"/>
    <col min="10" max="11" width="9.7109375" style="16" bestFit="1" customWidth="1"/>
    <col min="12" max="12" width="9.28515625" style="16"/>
    <col min="13" max="13" width="15.42578125" style="16" bestFit="1" customWidth="1"/>
    <col min="14" max="16384" width="9.28515625" style="16"/>
  </cols>
  <sheetData>
    <row r="2" spans="2:11" ht="15">
      <c r="B2" s="14"/>
      <c r="C2" s="15" t="s">
        <v>40</v>
      </c>
      <c r="D2" s="150" t="s">
        <v>41</v>
      </c>
      <c r="E2" s="150"/>
      <c r="F2" s="14"/>
      <c r="G2" s="14"/>
    </row>
    <row r="3" spans="2:11">
      <c r="B3" s="14"/>
      <c r="C3" s="14"/>
      <c r="D3" s="14"/>
      <c r="E3" s="14"/>
      <c r="F3" s="14"/>
      <c r="G3" s="14"/>
    </row>
    <row r="4" spans="2:11" ht="12.95" thickBot="1">
      <c r="B4" s="14"/>
      <c r="C4" s="14"/>
      <c r="D4" s="14"/>
      <c r="E4" s="14"/>
      <c r="F4" s="14"/>
      <c r="G4" s="14"/>
      <c r="H4" s="24"/>
      <c r="I4" s="17"/>
    </row>
    <row r="5" spans="2:11" ht="15.6" thickBot="1">
      <c r="B5" s="14"/>
      <c r="C5" s="18" t="s">
        <v>42</v>
      </c>
      <c r="D5" s="14"/>
      <c r="E5" s="14"/>
      <c r="F5" s="14"/>
      <c r="G5" s="14"/>
    </row>
    <row r="6" spans="2:11" ht="12.95" thickBot="1">
      <c r="B6" s="19"/>
      <c r="C6" s="20"/>
      <c r="D6" s="20"/>
      <c r="E6" s="20"/>
      <c r="F6" s="21"/>
      <c r="G6" s="14"/>
    </row>
    <row r="7" spans="2:11" ht="15.6" thickBot="1">
      <c r="B7" s="22"/>
      <c r="C7" s="151" t="s">
        <v>43</v>
      </c>
      <c r="D7" s="152"/>
      <c r="E7" s="153"/>
      <c r="F7" s="23"/>
      <c r="G7" s="14"/>
      <c r="H7" s="24"/>
    </row>
    <row r="8" spans="2:11" ht="13.5" thickBot="1">
      <c r="B8" s="22"/>
      <c r="C8" s="25" t="s">
        <v>44</v>
      </c>
      <c r="D8" s="26" t="s">
        <v>45</v>
      </c>
      <c r="E8" s="27" t="s">
        <v>46</v>
      </c>
      <c r="F8" s="23"/>
      <c r="G8" s="14"/>
      <c r="H8" s="24"/>
    </row>
    <row r="9" spans="2:11" ht="15.6">
      <c r="B9" s="22"/>
      <c r="C9" s="28" t="s">
        <v>47</v>
      </c>
      <c r="D9" s="29">
        <v>0.5</v>
      </c>
      <c r="E9" s="30" t="s">
        <v>48</v>
      </c>
      <c r="F9" s="23"/>
      <c r="G9" s="14"/>
      <c r="H9" s="31"/>
    </row>
    <row r="10" spans="2:11" ht="15.95" thickBot="1">
      <c r="B10" s="22"/>
      <c r="C10" s="130" t="s">
        <v>49</v>
      </c>
      <c r="D10" s="131">
        <v>4.5999999999999996</v>
      </c>
      <c r="E10" s="132" t="s">
        <v>50</v>
      </c>
      <c r="F10" s="23"/>
      <c r="G10" s="14"/>
    </row>
    <row r="11" spans="2:11" ht="15.6" thickBot="1">
      <c r="B11" s="22"/>
      <c r="C11" s="33" t="s">
        <v>51</v>
      </c>
      <c r="D11" s="34">
        <f>ROUNDDOWN((D9*D10),2)</f>
        <v>2.2999999999999998</v>
      </c>
      <c r="E11" s="35" t="s">
        <v>52</v>
      </c>
      <c r="F11" s="23"/>
      <c r="G11" s="14"/>
    </row>
    <row r="12" spans="2:11" ht="12.95" thickBot="1">
      <c r="B12" s="22"/>
      <c r="F12" s="23"/>
      <c r="G12" s="14"/>
      <c r="I12" s="31"/>
      <c r="J12" s="36"/>
      <c r="K12" s="17"/>
    </row>
    <row r="13" spans="2:11" ht="15.6" thickBot="1">
      <c r="B13" s="22"/>
      <c r="C13" s="151" t="s">
        <v>53</v>
      </c>
      <c r="D13" s="152"/>
      <c r="E13" s="153"/>
      <c r="F13" s="23"/>
      <c r="G13" s="14"/>
    </row>
    <row r="14" spans="2:11" ht="13.5" thickBot="1">
      <c r="B14" s="22"/>
      <c r="C14" s="25" t="s">
        <v>44</v>
      </c>
      <c r="D14" s="26" t="s">
        <v>45</v>
      </c>
      <c r="E14" s="27" t="s">
        <v>46</v>
      </c>
      <c r="F14" s="23"/>
      <c r="G14" s="14"/>
      <c r="J14" s="17"/>
    </row>
    <row r="15" spans="2:11" ht="15.6" thickBot="1">
      <c r="B15" s="22"/>
      <c r="C15" s="37" t="s">
        <v>54</v>
      </c>
      <c r="D15" s="38">
        <f>0.74</f>
        <v>0.74</v>
      </c>
      <c r="E15" s="39" t="s">
        <v>55</v>
      </c>
      <c r="F15" s="23"/>
      <c r="G15" s="14"/>
    </row>
    <row r="16" spans="2:11">
      <c r="B16" s="22"/>
      <c r="C16" s="14"/>
      <c r="D16" s="14"/>
      <c r="E16" s="14"/>
      <c r="F16" s="23"/>
      <c r="G16" s="14"/>
    </row>
    <row r="17" spans="2:8" ht="12.95" thickBot="1">
      <c r="B17" s="22"/>
      <c r="C17" s="14"/>
      <c r="D17" s="14"/>
      <c r="E17" s="14"/>
      <c r="F17" s="23"/>
      <c r="G17" s="14"/>
    </row>
    <row r="18" spans="2:8" ht="15.6" thickBot="1">
      <c r="B18" s="22"/>
      <c r="C18" s="151" t="s">
        <v>56</v>
      </c>
      <c r="D18" s="152"/>
      <c r="E18" s="153"/>
      <c r="F18" s="23"/>
      <c r="G18" s="14"/>
    </row>
    <row r="19" spans="2:8" ht="13.5" thickBot="1">
      <c r="B19" s="22"/>
      <c r="C19" s="25" t="s">
        <v>44</v>
      </c>
      <c r="D19" s="26" t="s">
        <v>45</v>
      </c>
      <c r="E19" s="27" t="s">
        <v>46</v>
      </c>
      <c r="F19" s="23"/>
      <c r="G19" s="14"/>
    </row>
    <row r="20" spans="2:8" ht="15.6">
      <c r="B20" s="22"/>
      <c r="C20" s="40" t="s">
        <v>57</v>
      </c>
      <c r="D20" s="41">
        <f>D11</f>
        <v>2.2999999999999998</v>
      </c>
      <c r="E20" s="42" t="s">
        <v>52</v>
      </c>
      <c r="F20" s="23"/>
      <c r="G20" s="14"/>
    </row>
    <row r="21" spans="2:8" ht="15.6">
      <c r="B21" s="22"/>
      <c r="C21" s="43" t="s">
        <v>58</v>
      </c>
      <c r="D21" s="44">
        <v>0.1</v>
      </c>
      <c r="E21" s="45" t="s">
        <v>59</v>
      </c>
      <c r="F21" s="23"/>
      <c r="G21" s="14"/>
    </row>
    <row r="22" spans="2:8" ht="25.5" thickBot="1">
      <c r="B22" s="22"/>
      <c r="C22" s="32" t="s">
        <v>60</v>
      </c>
      <c r="D22" s="46">
        <f>'Cookstove efficiency'!C11</f>
        <v>0.30326695244999996</v>
      </c>
      <c r="E22" s="47" t="s">
        <v>61</v>
      </c>
      <c r="F22" s="23"/>
      <c r="G22" s="14"/>
    </row>
    <row r="23" spans="2:8" ht="15.6" thickBot="1">
      <c r="B23" s="22"/>
      <c r="C23" s="33" t="s">
        <v>62</v>
      </c>
      <c r="D23" s="34">
        <f>ROUNDDOWN((D20*(1-(D21/D22))),2)</f>
        <v>1.54</v>
      </c>
      <c r="E23" s="35" t="s">
        <v>52</v>
      </c>
      <c r="F23" s="23"/>
      <c r="G23" s="14"/>
    </row>
    <row r="24" spans="2:8" ht="12.95" thickBot="1">
      <c r="B24" s="22"/>
      <c r="C24" s="14"/>
      <c r="D24" s="14"/>
      <c r="E24" s="14"/>
      <c r="F24" s="23"/>
      <c r="G24" s="14"/>
    </row>
    <row r="25" spans="2:8" ht="13.5" thickBot="1">
      <c r="B25" s="22"/>
      <c r="C25" s="48" t="s">
        <v>63</v>
      </c>
      <c r="D25" s="49" t="s">
        <v>64</v>
      </c>
      <c r="E25" s="50" t="s">
        <v>45</v>
      </c>
      <c r="F25" s="23"/>
      <c r="G25" s="14"/>
    </row>
    <row r="26" spans="2:8" ht="24.95">
      <c r="B26" s="22"/>
      <c r="C26" s="28" t="s">
        <v>65</v>
      </c>
      <c r="D26" s="51" t="s">
        <v>66</v>
      </c>
      <c r="E26" s="52">
        <f>ROUND(D23,2)</f>
        <v>1.54</v>
      </c>
      <c r="F26" s="23"/>
      <c r="G26" s="14"/>
    </row>
    <row r="27" spans="2:8" ht="24.95">
      <c r="B27" s="22"/>
      <c r="C27" s="53" t="s">
        <v>67</v>
      </c>
      <c r="D27" s="54" t="s">
        <v>68</v>
      </c>
      <c r="E27" s="55">
        <f>ROUND(D15,2)</f>
        <v>0.74</v>
      </c>
      <c r="F27" s="23"/>
      <c r="G27" s="14"/>
    </row>
    <row r="28" spans="2:8" ht="15.6">
      <c r="B28" s="22"/>
      <c r="C28" s="53" t="s">
        <v>69</v>
      </c>
      <c r="D28" s="56" t="s">
        <v>70</v>
      </c>
      <c r="E28" s="57">
        <v>1.5599999999999999E-2</v>
      </c>
      <c r="F28" s="23"/>
      <c r="G28" s="14"/>
    </row>
    <row r="29" spans="2:8" ht="27.95">
      <c r="B29" s="22"/>
      <c r="C29" s="58" t="s">
        <v>71</v>
      </c>
      <c r="D29" s="54" t="s">
        <v>72</v>
      </c>
      <c r="E29" s="59">
        <v>112</v>
      </c>
      <c r="F29" s="23"/>
      <c r="G29" s="14"/>
      <c r="H29" s="60"/>
    </row>
    <row r="30" spans="2:8" ht="27.95">
      <c r="B30" s="22"/>
      <c r="C30" s="61" t="s">
        <v>73</v>
      </c>
      <c r="D30" s="54" t="s">
        <v>74</v>
      </c>
      <c r="E30" s="59">
        <v>26.23</v>
      </c>
      <c r="F30" s="23"/>
      <c r="G30" s="14"/>
    </row>
    <row r="31" spans="2:8" ht="24.95">
      <c r="B31" s="22"/>
      <c r="C31" s="61" t="s">
        <v>75</v>
      </c>
      <c r="D31" s="54" t="s">
        <v>76</v>
      </c>
      <c r="E31" s="62">
        <v>17379</v>
      </c>
      <c r="F31" s="23"/>
      <c r="G31" s="14"/>
    </row>
    <row r="32" spans="2:8" ht="15.95" thickBot="1">
      <c r="B32" s="22"/>
      <c r="C32" s="63" t="s">
        <v>77</v>
      </c>
      <c r="D32" s="64" t="s">
        <v>78</v>
      </c>
      <c r="E32" s="65">
        <f>µold!C5</f>
        <v>2.5000000000000001E-3</v>
      </c>
      <c r="F32" s="23"/>
      <c r="G32" s="14"/>
    </row>
    <row r="33" spans="2:7" ht="15.6" thickBot="1">
      <c r="B33" s="22"/>
      <c r="C33" s="66" t="s">
        <v>79</v>
      </c>
      <c r="D33" s="67" t="s">
        <v>80</v>
      </c>
      <c r="E33" s="68">
        <f>ROUND(E26*E27*E28*(E29+E30)*E31*(1-E32)*0.95,0)</f>
        <v>40471</v>
      </c>
      <c r="F33" s="23"/>
      <c r="G33" s="14"/>
    </row>
    <row r="34" spans="2:7" ht="25.5" thickBot="1">
      <c r="B34" s="69"/>
      <c r="C34" s="70"/>
      <c r="D34" s="71" t="s">
        <v>81</v>
      </c>
      <c r="E34" s="72">
        <f>E33/E31/365</f>
        <v>6.3800824014497107E-3</v>
      </c>
      <c r="F34" s="73"/>
      <c r="G34" s="14"/>
    </row>
    <row r="35" spans="2:7">
      <c r="B35" s="14"/>
      <c r="C35" s="14"/>
      <c r="D35" s="14"/>
      <c r="E35" s="14"/>
      <c r="F35" s="14"/>
      <c r="G35" s="14"/>
    </row>
    <row r="36" spans="2:7">
      <c r="B36" s="14"/>
      <c r="C36" s="14"/>
      <c r="D36" s="74"/>
      <c r="E36" s="14"/>
      <c r="F36" s="14"/>
      <c r="G36" s="14"/>
    </row>
    <row r="37" spans="2:7" ht="12.95" thickBot="1">
      <c r="B37" s="14"/>
      <c r="C37" s="14"/>
      <c r="D37" s="14"/>
      <c r="E37" s="14"/>
      <c r="F37" s="14"/>
      <c r="G37" s="14"/>
    </row>
    <row r="38" spans="2:7" ht="15.6" thickBot="1">
      <c r="B38" s="14"/>
      <c r="C38" s="75" t="s">
        <v>82</v>
      </c>
      <c r="D38" s="14"/>
      <c r="E38" s="14"/>
      <c r="F38" s="14"/>
      <c r="G38" s="14"/>
    </row>
    <row r="39" spans="2:7" ht="12.95" thickBot="1">
      <c r="B39" s="19"/>
      <c r="C39" s="20"/>
      <c r="D39" s="20"/>
      <c r="E39" s="20"/>
      <c r="F39" s="21"/>
      <c r="G39" s="14"/>
    </row>
    <row r="40" spans="2:7" ht="15.6" thickBot="1">
      <c r="B40" s="22"/>
      <c r="C40" s="151" t="s">
        <v>43</v>
      </c>
      <c r="D40" s="152"/>
      <c r="E40" s="153"/>
      <c r="F40" s="23"/>
      <c r="G40" s="14"/>
    </row>
    <row r="41" spans="2:7" ht="13.5" thickBot="1">
      <c r="B41" s="22"/>
      <c r="C41" s="25" t="s">
        <v>44</v>
      </c>
      <c r="D41" s="26" t="s">
        <v>45</v>
      </c>
      <c r="E41" s="27" t="s">
        <v>46</v>
      </c>
      <c r="F41" s="23"/>
      <c r="G41" s="14"/>
    </row>
    <row r="42" spans="2:7" ht="15.6">
      <c r="B42" s="22"/>
      <c r="C42" s="133" t="s">
        <v>47</v>
      </c>
      <c r="D42" s="29">
        <v>0.5</v>
      </c>
      <c r="E42" s="30" t="s">
        <v>48</v>
      </c>
      <c r="F42" s="23"/>
      <c r="G42" s="14"/>
    </row>
    <row r="43" spans="2:7" ht="15.95" thickBot="1">
      <c r="B43" s="22"/>
      <c r="C43" s="130" t="s">
        <v>49</v>
      </c>
      <c r="D43" s="131">
        <v>4.5999999999999996</v>
      </c>
      <c r="E43" s="132" t="s">
        <v>50</v>
      </c>
      <c r="F43" s="23"/>
      <c r="G43" s="14"/>
    </row>
    <row r="44" spans="2:7" ht="15.6" thickBot="1">
      <c r="B44" s="22"/>
      <c r="C44" s="33" t="s">
        <v>51</v>
      </c>
      <c r="D44" s="34">
        <f>ROUNDDOWN((D42*D43),2)</f>
        <v>2.2999999999999998</v>
      </c>
      <c r="E44" s="35" t="s">
        <v>52</v>
      </c>
      <c r="F44" s="23"/>
      <c r="G44" s="14"/>
    </row>
    <row r="45" spans="2:7" ht="12.95" thickBot="1">
      <c r="B45" s="22"/>
      <c r="C45" s="14"/>
      <c r="D45" s="14"/>
      <c r="E45" s="14"/>
      <c r="F45" s="23"/>
      <c r="G45" s="14"/>
    </row>
    <row r="46" spans="2:7" ht="15.6" thickBot="1">
      <c r="B46" s="22"/>
      <c r="C46" s="151" t="s">
        <v>53</v>
      </c>
      <c r="D46" s="152"/>
      <c r="E46" s="153"/>
      <c r="F46" s="23"/>
      <c r="G46" s="14"/>
    </row>
    <row r="47" spans="2:7" ht="13.5" thickBot="1">
      <c r="B47" s="22"/>
      <c r="C47" s="25" t="s">
        <v>44</v>
      </c>
      <c r="D47" s="26" t="s">
        <v>45</v>
      </c>
      <c r="E47" s="27" t="s">
        <v>46</v>
      </c>
      <c r="F47" s="23"/>
      <c r="G47" s="14"/>
    </row>
    <row r="48" spans="2:7" ht="15.6" thickBot="1">
      <c r="B48" s="22"/>
      <c r="C48" s="37" t="s">
        <v>54</v>
      </c>
      <c r="D48" s="38">
        <f>0.74</f>
        <v>0.74</v>
      </c>
      <c r="E48" s="39" t="s">
        <v>55</v>
      </c>
      <c r="F48" s="23"/>
      <c r="G48" s="14"/>
    </row>
    <row r="49" spans="2:7">
      <c r="B49" s="22"/>
      <c r="C49" s="14"/>
      <c r="D49" s="14"/>
      <c r="E49" s="14"/>
      <c r="F49" s="23"/>
      <c r="G49" s="14"/>
    </row>
    <row r="50" spans="2:7" ht="12.95" thickBot="1">
      <c r="B50" s="22"/>
      <c r="C50" s="14"/>
      <c r="D50" s="14"/>
      <c r="E50" s="14"/>
      <c r="F50" s="23"/>
      <c r="G50" s="14"/>
    </row>
    <row r="51" spans="2:7" ht="15.6" thickBot="1">
      <c r="B51" s="22"/>
      <c r="C51" s="151" t="s">
        <v>56</v>
      </c>
      <c r="D51" s="152"/>
      <c r="E51" s="153"/>
      <c r="F51" s="23"/>
      <c r="G51" s="14"/>
    </row>
    <row r="52" spans="2:7" ht="13.5" thickBot="1">
      <c r="B52" s="22"/>
      <c r="C52" s="25" t="s">
        <v>44</v>
      </c>
      <c r="D52" s="26" t="s">
        <v>45</v>
      </c>
      <c r="E52" s="27" t="s">
        <v>46</v>
      </c>
      <c r="F52" s="23"/>
      <c r="G52" s="14"/>
    </row>
    <row r="53" spans="2:7" ht="15.6">
      <c r="B53" s="22"/>
      <c r="C53" s="40" t="s">
        <v>57</v>
      </c>
      <c r="D53" s="41">
        <f>D44</f>
        <v>2.2999999999999998</v>
      </c>
      <c r="E53" s="42" t="s">
        <v>52</v>
      </c>
      <c r="F53" s="23"/>
      <c r="G53" s="14"/>
    </row>
    <row r="54" spans="2:7" ht="15.6">
      <c r="B54" s="22"/>
      <c r="C54" s="43" t="s">
        <v>58</v>
      </c>
      <c r="D54" s="44">
        <v>0.1</v>
      </c>
      <c r="E54" s="45" t="s">
        <v>59</v>
      </c>
      <c r="F54" s="23"/>
      <c r="G54" s="14"/>
    </row>
    <row r="55" spans="2:7" ht="25.5" thickBot="1">
      <c r="B55" s="22"/>
      <c r="C55" s="32" t="s">
        <v>60</v>
      </c>
      <c r="D55" s="46">
        <f>'Cookstove efficiency'!C12</f>
        <v>0.30023428292549997</v>
      </c>
      <c r="E55" s="47" t="s">
        <v>83</v>
      </c>
      <c r="F55" s="23"/>
      <c r="G55" s="14"/>
    </row>
    <row r="56" spans="2:7" ht="15.6" thickBot="1">
      <c r="B56" s="22"/>
      <c r="C56" s="33" t="s">
        <v>62</v>
      </c>
      <c r="D56" s="34">
        <f>ROUNDDOWN((D53*(1-(D54/D55))),2)</f>
        <v>1.53</v>
      </c>
      <c r="E56" s="35" t="s">
        <v>52</v>
      </c>
      <c r="F56" s="23"/>
      <c r="G56" s="14"/>
    </row>
    <row r="57" spans="2:7" ht="12.95" thickBot="1">
      <c r="B57" s="22"/>
      <c r="C57" s="14"/>
      <c r="D57" s="14"/>
      <c r="E57" s="14"/>
      <c r="F57" s="23"/>
      <c r="G57" s="14"/>
    </row>
    <row r="58" spans="2:7" ht="13.5" thickBot="1">
      <c r="B58" s="22"/>
      <c r="C58" s="48" t="s">
        <v>63</v>
      </c>
      <c r="D58" s="49" t="s">
        <v>64</v>
      </c>
      <c r="E58" s="50" t="s">
        <v>45</v>
      </c>
      <c r="F58" s="23"/>
      <c r="G58" s="14"/>
    </row>
    <row r="59" spans="2:7" ht="24.95">
      <c r="B59" s="22"/>
      <c r="C59" s="28" t="s">
        <v>65</v>
      </c>
      <c r="D59" s="51" t="s">
        <v>66</v>
      </c>
      <c r="E59" s="52">
        <f>ROUND(D56,2)</f>
        <v>1.53</v>
      </c>
      <c r="F59" s="23"/>
      <c r="G59" s="14"/>
    </row>
    <row r="60" spans="2:7" ht="24.95">
      <c r="B60" s="22"/>
      <c r="C60" s="53" t="s">
        <v>67</v>
      </c>
      <c r="D60" s="54" t="s">
        <v>68</v>
      </c>
      <c r="E60" s="55">
        <f>ROUND(D48,2)</f>
        <v>0.74</v>
      </c>
      <c r="F60" s="23"/>
      <c r="G60" s="14"/>
    </row>
    <row r="61" spans="2:7" ht="15.6">
      <c r="B61" s="22"/>
      <c r="C61" s="53" t="s">
        <v>69</v>
      </c>
      <c r="D61" s="56" t="s">
        <v>70</v>
      </c>
      <c r="E61" s="57">
        <v>1.5599999999999999E-2</v>
      </c>
      <c r="F61" s="23"/>
      <c r="G61" s="14"/>
    </row>
    <row r="62" spans="2:7" ht="27.95">
      <c r="B62" s="22"/>
      <c r="C62" s="58" t="s">
        <v>71</v>
      </c>
      <c r="D62" s="54" t="s">
        <v>72</v>
      </c>
      <c r="E62" s="59">
        <v>112</v>
      </c>
      <c r="F62" s="23"/>
      <c r="G62" s="14"/>
    </row>
    <row r="63" spans="2:7" ht="27.95">
      <c r="B63" s="22"/>
      <c r="C63" s="61" t="s">
        <v>73</v>
      </c>
      <c r="D63" s="54" t="s">
        <v>74</v>
      </c>
      <c r="E63" s="59">
        <v>26.23</v>
      </c>
      <c r="F63" s="23"/>
      <c r="G63" s="14"/>
    </row>
    <row r="64" spans="2:7" ht="24.95">
      <c r="B64" s="22"/>
      <c r="C64" s="61" t="s">
        <v>75</v>
      </c>
      <c r="D64" s="54" t="s">
        <v>76</v>
      </c>
      <c r="E64" s="62">
        <v>17379</v>
      </c>
      <c r="F64" s="23"/>
      <c r="G64" s="14"/>
    </row>
    <row r="65" spans="2:8" ht="15.95" thickBot="1">
      <c r="B65" s="22"/>
      <c r="C65" s="63" t="s">
        <v>77</v>
      </c>
      <c r="D65" s="64" t="s">
        <v>78</v>
      </c>
      <c r="E65" s="65">
        <f>µold!C5</f>
        <v>2.5000000000000001E-3</v>
      </c>
      <c r="F65" s="23"/>
      <c r="G65" s="14"/>
    </row>
    <row r="66" spans="2:8" ht="15.6" thickBot="1">
      <c r="B66" s="22"/>
      <c r="C66" s="66" t="s">
        <v>84</v>
      </c>
      <c r="D66" s="67" t="s">
        <v>80</v>
      </c>
      <c r="E66" s="68">
        <f>ROUND(E59*E60*E61*(E62+E63)*E64*(1-E65)*0.95,0)</f>
        <v>40208</v>
      </c>
      <c r="F66" s="23"/>
      <c r="G66" s="14"/>
    </row>
    <row r="67" spans="2:8" ht="25.5" thickBot="1">
      <c r="B67" s="69"/>
      <c r="C67" s="70"/>
      <c r="D67" s="71" t="s">
        <v>81</v>
      </c>
      <c r="E67" s="72">
        <f>E66/E64/365</f>
        <v>6.3386215610558164E-3</v>
      </c>
      <c r="F67" s="73"/>
      <c r="G67" s="14"/>
    </row>
    <row r="68" spans="2:8">
      <c r="B68" s="14"/>
      <c r="C68" s="14"/>
      <c r="D68" s="14"/>
      <c r="E68" s="14"/>
      <c r="F68" s="14"/>
      <c r="G68" s="14"/>
    </row>
    <row r="69" spans="2:8">
      <c r="B69" s="14"/>
      <c r="C69" s="14"/>
      <c r="D69" s="14"/>
      <c r="E69" s="14"/>
      <c r="F69" s="14"/>
      <c r="G69" s="14"/>
    </row>
    <row r="70" spans="2:8" ht="12.95" thickBot="1">
      <c r="B70" s="14"/>
      <c r="C70" s="14"/>
      <c r="D70" s="14"/>
      <c r="E70" s="14"/>
      <c r="F70" s="14"/>
      <c r="G70" s="14"/>
    </row>
    <row r="71" spans="2:8" ht="46.15" customHeight="1" thickBot="1">
      <c r="B71" s="76"/>
      <c r="C71" s="148" t="s">
        <v>85</v>
      </c>
      <c r="D71" s="149"/>
      <c r="E71" s="94" t="s">
        <v>86</v>
      </c>
      <c r="F71" s="95" t="s">
        <v>87</v>
      </c>
      <c r="G71" s="95" t="s">
        <v>88</v>
      </c>
      <c r="H71" s="14"/>
    </row>
    <row r="72" spans="2:8">
      <c r="B72" s="22"/>
      <c r="C72" s="96">
        <v>44652</v>
      </c>
      <c r="D72" s="77">
        <v>44926</v>
      </c>
      <c r="E72" s="109">
        <f>(D72-C72)+1</f>
        <v>275</v>
      </c>
      <c r="F72" s="110">
        <f>ROUNDDOWN((59577/365*E72),0)</f>
        <v>44886</v>
      </c>
      <c r="G72" s="111">
        <f>ROUNDDOWN(($E$33*E72/365),0)</f>
        <v>30491</v>
      </c>
      <c r="H72" s="14"/>
    </row>
    <row r="73" spans="2:8" ht="16.5" customHeight="1" thickBot="1">
      <c r="B73" s="22"/>
      <c r="C73" s="97">
        <v>44927</v>
      </c>
      <c r="D73" s="78">
        <v>45104</v>
      </c>
      <c r="E73" s="112">
        <f>(D73-C73)+1</f>
        <v>178</v>
      </c>
      <c r="F73" s="113">
        <f>ROUNDDOWN((59190/365*E73),)</f>
        <v>28865</v>
      </c>
      <c r="G73" s="114">
        <f>ROUNDDOWN(($E$66*E73/365),0)</f>
        <v>19608</v>
      </c>
      <c r="H73" s="14"/>
    </row>
    <row r="74" spans="2:8" ht="13.5" thickBot="1">
      <c r="B74" s="79"/>
      <c r="C74" s="146" t="s">
        <v>28</v>
      </c>
      <c r="D74" s="147"/>
      <c r="E74" s="98">
        <f>SUM(E72:E73)</f>
        <v>453</v>
      </c>
      <c r="F74" s="99">
        <f>SUM(F72:F73)</f>
        <v>73751</v>
      </c>
      <c r="G74" s="100">
        <f>SUM(G72:G73)</f>
        <v>50099</v>
      </c>
      <c r="H74" s="134">
        <f>G74/F74-1</f>
        <v>-0.32070073626120321</v>
      </c>
    </row>
    <row r="75" spans="2:8">
      <c r="C75" s="157"/>
      <c r="D75" s="157"/>
      <c r="E75" s="157"/>
      <c r="F75" s="157"/>
      <c r="G75" s="157"/>
    </row>
    <row r="76" spans="2:8">
      <c r="C76" s="157"/>
      <c r="D76" s="157"/>
      <c r="E76" s="157"/>
      <c r="F76" s="157"/>
      <c r="G76" s="157"/>
    </row>
    <row r="77" spans="2:8" ht="12.75"/>
    <row r="79" spans="2:8" ht="12.75"/>
    <row r="81" ht="12.75"/>
  </sheetData>
  <mergeCells count="9">
    <mergeCell ref="C74:D74"/>
    <mergeCell ref="C71:D71"/>
    <mergeCell ref="D2:E2"/>
    <mergeCell ref="C40:E40"/>
    <mergeCell ref="C46:E46"/>
    <mergeCell ref="C51:E51"/>
    <mergeCell ref="C7:E7"/>
    <mergeCell ref="C13:E13"/>
    <mergeCell ref="C18:E18"/>
  </mergeCells>
  <hyperlinks>
    <hyperlink ref="E10" r:id="rId1" display="https://censusindia.gov.in/census.website/data/population-finder" xr:uid="{906BE663-C0C4-47BA-AA75-5B3B20D7D987}"/>
    <hyperlink ref="E43" r:id="rId2" display="https://censusindia.gov.in/census.website/data/population-finder" xr:uid="{FD7CC81D-68DF-4C3D-9E32-7B99B23C6EFC}"/>
  </hyperlinks>
  <pageMargins left="0.7" right="0.7" top="0.75" bottom="0.75" header="0.3" footer="0.3"/>
  <pageSetup paperSize="9"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643DF-4599-4C9E-BFA9-ECEEF337D472}">
  <dimension ref="A1"/>
  <sheetViews>
    <sheetView workbookViewId="0"/>
  </sheetViews>
  <sheetFormatPr defaultRowHeight="12.6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4BA7C-78B6-48B8-8102-8BCF92D24936}">
  <dimension ref="A1"/>
  <sheetViews>
    <sheetView workbookViewId="0"/>
  </sheetViews>
  <sheetFormatPr defaultRowHeight="12.6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97AEB-6E39-4E1A-85A9-BE93675B799D}">
  <dimension ref="B3:C5"/>
  <sheetViews>
    <sheetView tabSelected="1" workbookViewId="0">
      <selection activeCell="C5" sqref="C5"/>
    </sheetView>
  </sheetViews>
  <sheetFormatPr defaultColWidth="8.7109375" defaultRowHeight="12.6"/>
  <cols>
    <col min="2" max="2" width="40.28515625" bestFit="1" customWidth="1"/>
    <col min="4" max="4" width="9.28515625" bestFit="1" customWidth="1"/>
  </cols>
  <sheetData>
    <row r="3" spans="2:3" ht="12.4" customHeight="1">
      <c r="B3" s="93" t="s">
        <v>89</v>
      </c>
      <c r="C3" s="104">
        <v>2.5000000000000001E-3</v>
      </c>
    </row>
    <row r="4" spans="2:3" ht="13.15" customHeight="1">
      <c r="B4" s="93" t="s">
        <v>90</v>
      </c>
      <c r="C4" s="1">
        <v>0</v>
      </c>
    </row>
    <row r="5" spans="2:3" ht="15.6">
      <c r="B5" s="105" t="s">
        <v>91</v>
      </c>
      <c r="C5" s="106">
        <f>SUM(C3:C4)</f>
        <v>2.5000000000000001E-3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15"/>
  <sheetViews>
    <sheetView zoomScaleNormal="100" workbookViewId="0">
      <selection activeCell="C10" sqref="C10"/>
    </sheetView>
  </sheetViews>
  <sheetFormatPr defaultColWidth="9.28515625" defaultRowHeight="12.6"/>
  <cols>
    <col min="1" max="1" width="5.7109375" style="16" customWidth="1"/>
    <col min="2" max="2" width="39.28515625" style="16" bestFit="1" customWidth="1"/>
    <col min="3" max="3" width="16.7109375" style="16" customWidth="1"/>
    <col min="4" max="4" width="17.7109375" style="16" bestFit="1" customWidth="1"/>
    <col min="5" max="5" width="14" style="16" customWidth="1"/>
    <col min="6" max="6" width="13.7109375" style="16" customWidth="1"/>
    <col min="7" max="8" width="9.28515625" style="16"/>
    <col min="9" max="9" width="39.28515625" style="16" bestFit="1" customWidth="1"/>
    <col min="10" max="16384" width="9.28515625" style="16"/>
  </cols>
  <sheetData>
    <row r="1" spans="2:8" ht="12.95" thickBot="1"/>
    <row r="2" spans="2:8" ht="15.95" thickBot="1">
      <c r="B2" s="80" t="s">
        <v>92</v>
      </c>
      <c r="C2" s="81" t="s">
        <v>62</v>
      </c>
      <c r="D2" s="82" t="s">
        <v>93</v>
      </c>
    </row>
    <row r="3" spans="2:8">
      <c r="B3" s="115" t="s">
        <v>94</v>
      </c>
      <c r="C3" s="116">
        <f>ROUNDDOWN('ER Sheet'!$D$20*(1-('ER Sheet'!$D$21/'Cookstove efficiency'!C11)),2)</f>
        <v>1.54</v>
      </c>
      <c r="D3" s="117">
        <f>µold!C5</f>
        <v>2.5000000000000001E-3</v>
      </c>
    </row>
    <row r="4" spans="2:8" ht="12.95" thickBot="1">
      <c r="B4" s="84" t="s">
        <v>95</v>
      </c>
      <c r="C4" s="85">
        <f>ROUNDDOWN('ER Sheet'!$D$20*(1-('ER Sheet'!$D$21/'Cookstove efficiency'!C12)),2)</f>
        <v>1.53</v>
      </c>
      <c r="D4" s="86">
        <f>µold!C5</f>
        <v>2.5000000000000001E-3</v>
      </c>
    </row>
    <row r="7" spans="2:8" ht="12.95" thickBot="1"/>
    <row r="8" spans="2:8" ht="13.5" thickBot="1">
      <c r="B8" s="154" t="s">
        <v>96</v>
      </c>
      <c r="C8" s="155"/>
      <c r="D8" s="155"/>
      <c r="E8" s="155"/>
      <c r="F8" s="156"/>
    </row>
    <row r="9" spans="2:8" ht="41.1" thickBot="1">
      <c r="B9" s="87" t="s">
        <v>92</v>
      </c>
      <c r="C9" s="88" t="s">
        <v>97</v>
      </c>
      <c r="D9" s="89" t="s">
        <v>98</v>
      </c>
      <c r="E9" s="89" t="s">
        <v>99</v>
      </c>
      <c r="F9" s="90" t="s">
        <v>100</v>
      </c>
    </row>
    <row r="10" spans="2:8">
      <c r="B10" s="83" t="s">
        <v>94</v>
      </c>
      <c r="C10" s="91">
        <v>17379</v>
      </c>
      <c r="D10" s="119">
        <f>(C10*C3*(1-D3)*'ER Sheet'!$E$27*'ER Sheet'!$E$28*('ER Sheet'!$E$29+'ER Sheet'!$E$30))*275/365</f>
        <v>32096.439919144414</v>
      </c>
      <c r="E10" s="120">
        <f t="shared" ref="E10" si="0">D10*(1-0.95)</f>
        <v>1604.821995957222</v>
      </c>
      <c r="F10" s="92">
        <f t="shared" ref="F10" si="1">ROUNDDOWN(D10-E10,0)</f>
        <v>30491</v>
      </c>
    </row>
    <row r="11" spans="2:8" ht="12.95" thickBot="1">
      <c r="B11" s="83" t="s">
        <v>95</v>
      </c>
      <c r="C11" s="121">
        <v>17379</v>
      </c>
      <c r="D11" s="122">
        <f>(C11*C4*(1-D4)*'ER Sheet'!$E$27*'ER Sheet'!$E$28*('ER Sheet'!$E$29+'ER Sheet'!$E$30))*178/365</f>
        <v>20640.246629468216</v>
      </c>
      <c r="E11" s="123">
        <f t="shared" ref="E11" si="2">D11*(1-0.95)</f>
        <v>1032.0123314734117</v>
      </c>
      <c r="F11" s="124">
        <f t="shared" ref="F11" si="3">ROUNDDOWN(D11-E11,0)</f>
        <v>19608</v>
      </c>
    </row>
    <row r="12" spans="2:8" ht="13.5" thickBot="1">
      <c r="B12" s="126" t="s">
        <v>101</v>
      </c>
      <c r="C12" s="125"/>
      <c r="D12" s="127">
        <f>ROUNDDOWN(SUM(D10:D11),0)</f>
        <v>52736</v>
      </c>
      <c r="E12" s="127">
        <f>ROUNDUP(SUM(E10:E11),0)</f>
        <v>2637</v>
      </c>
      <c r="F12" s="128">
        <f>SUM(F10:F11)</f>
        <v>50099</v>
      </c>
      <c r="G12"/>
      <c r="H12"/>
    </row>
    <row r="13" spans="2:8">
      <c r="G13"/>
      <c r="H13"/>
    </row>
    <row r="15" spans="2:8">
      <c r="E15" s="118"/>
    </row>
  </sheetData>
  <mergeCells count="1">
    <mergeCell ref="B8:F8"/>
  </mergeCells>
  <phoneticPr fontId="2" type="noConversion"/>
  <pageMargins left="0.74803149606299213" right="0.74803149606299213" top="0.27" bottom="0.3" header="0.3" footer="0.25"/>
  <pageSetup paperSize="9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44c9fc-9421-4c39-b608-61ce31788618">
      <Terms xmlns="http://schemas.microsoft.com/office/infopath/2007/PartnerControls"/>
    </lcf76f155ced4ddcb4097134ff3c332f>
    <TaxCatchAll xmlns="3ba820af-9c36-47fb-8383-9944acc4573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DC1F0F2D97C04690DF7AC407C65BA5" ma:contentTypeVersion="19" ma:contentTypeDescription="Create a new document." ma:contentTypeScope="" ma:versionID="138ac169aaadc9c430b97b25b46ecc4e">
  <xsd:schema xmlns:xsd="http://www.w3.org/2001/XMLSchema" xmlns:xs="http://www.w3.org/2001/XMLSchema" xmlns:p="http://schemas.microsoft.com/office/2006/metadata/properties" xmlns:ns2="5944c9fc-9421-4c39-b608-61ce31788618" xmlns:ns3="3ba820af-9c36-47fb-8383-9944acc4573c" targetNamespace="http://schemas.microsoft.com/office/2006/metadata/properties" ma:root="true" ma:fieldsID="4cce58cbed9668fc3dbbcfb9a7470718" ns2:_="" ns3:_="">
    <xsd:import namespace="5944c9fc-9421-4c39-b608-61ce31788618"/>
    <xsd:import namespace="3ba820af-9c36-47fb-8383-9944acc457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4c9fc-9421-4c39-b608-61ce317886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b97863a-9c53-4d79-aa62-b4edf9878b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a820af-9c36-47fb-8383-9944acc4573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4e236bb-6ba1-491a-998c-53c379aa7070}" ma:internalName="TaxCatchAll" ma:showField="CatchAllData" ma:web="3ba820af-9c36-47fb-8383-9944acc457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0D54D-BED6-4628-B7B1-41467D7979A8}"/>
</file>

<file path=customXml/itemProps2.xml><?xml version="1.0" encoding="utf-8"?>
<ds:datastoreItem xmlns:ds="http://schemas.openxmlformats.org/officeDocument/2006/customXml" ds:itemID="{42F4D546-64DA-458E-97CF-F3F08B587133}"/>
</file>

<file path=customXml/itemProps3.xml><?xml version="1.0" encoding="utf-8"?>
<ds:datastoreItem xmlns:ds="http://schemas.openxmlformats.org/officeDocument/2006/customXml" ds:itemID="{ADBBC689-A0B9-45BB-89A0-122D7B5108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sudha</dc:creator>
  <cp:keywords/>
  <dc:description/>
  <cp:lastModifiedBy/>
  <cp:revision/>
  <dcterms:created xsi:type="dcterms:W3CDTF">1996-10-14T23:33:28Z</dcterms:created>
  <dcterms:modified xsi:type="dcterms:W3CDTF">2025-02-20T22:41:00Z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0x010100CDDC1F0F2D97C04690DF7AC407C65BA5</vt:lpwstr>
  </property>
  <property fmtid="{D5CDD505-2E9C-101B-9397-08002B2CF9AE}" pid="3" name="MediaServiceImageTags">
    <vt:lpwstr/>
  </property>
</Properties>
</file>