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EstaPastaDeTrabalho" defaultThemeVersion="166925"/>
  <mc:AlternateContent xmlns:mc="http://schemas.openxmlformats.org/markup-compatibility/2006">
    <mc:Choice Requires="x15">
      <x15ac:absPath xmlns:x15ac="http://schemas.microsoft.com/office/spreadsheetml/2010/11/ac" url="https://vcs024.sharepoint.com/sites/Program/Shared Documents/General/Programs Cross-Cutting/Project Tracking/Project Reviews/0875 Florestal Santa Maria ARR, Brazil/Verification 3/Round 3_responses/0875 Round 3/Additional annexes/"/>
    </mc:Choice>
  </mc:AlternateContent>
  <xr:revisionPtr revIDLastSave="226" documentId="13_ncr:1_{0AA3CBF3-7D74-4156-8537-8BF174ADF29C}" xr6:coauthVersionLast="47" xr6:coauthVersionMax="47" xr10:uidLastSave="{10A333AD-A2C3-4F92-B1BA-8DF3E3A32411}"/>
  <bookViews>
    <workbookView minimized="1" xWindow="5510" yWindow="3490" windowWidth="14370" windowHeight="7270" tabRatio="837" activeTab="2" xr2:uid="{B0C501E9-F87B-4581-9F48-5BB37478A819}"/>
  </bookViews>
  <sheets>
    <sheet name="Overview" sheetId="1" r:id="rId1"/>
    <sheet name="Default factors" sheetId="2" r:id="rId2"/>
    <sheet name="Deforestation" sheetId="8" r:id="rId3"/>
    <sheet name="Biomass inventory" sheetId="22" r:id="rId4"/>
    <sheet name="Biomass" sheetId="3" r:id="rId5"/>
    <sheet name="BL-ED" sheetId="10" r:id="rId6"/>
    <sheet name="BL-GHG" sheetId="9" r:id="rId7"/>
    <sheet name="PER" sheetId="12" r:id="rId8"/>
    <sheet name="Leakage_ME" sheetId="14" r:id="rId9"/>
    <sheet name="LK-GHG_ex_ante" sheetId="17" r:id="rId10"/>
    <sheet name="Leakage_AS" sheetId="20" r:id="rId11"/>
    <sheet name="Leakage_Outside" sheetId="16" r:id="rId12"/>
    <sheet name="Total Leakage_Ex-ante" sheetId="25" r:id="rId13"/>
    <sheet name="Resume_Ex-ante" sheetId="13" r:id="rId14"/>
    <sheet name="Net GHG" sheetId="26" r:id="rId15"/>
  </sheets>
  <definedNames>
    <definedName name="ATL">'Default factors'!$D$61</definedName>
    <definedName name="BCEF">'Default factors'!$D$6</definedName>
    <definedName name="bit">'Default factors'!#REF!</definedName>
    <definedName name="Buffer">'Default factors'!$H$11</definedName>
    <definedName name="CBSLi" localSheetId="9">'LK-GHG_ex_ante'!$H$25</definedName>
    <definedName name="CBSLi">'BL-GHG'!$H$25</definedName>
    <definedName name="CF">'Default factors'!$D$8</definedName>
    <definedName name="CLB">'Default factors'!$D$44</definedName>
    <definedName name="CLB_total">'Default factors'!#REF!</definedName>
    <definedName name="coffee_percentage">'Default factors'!$I$8</definedName>
    <definedName name="coffee_tcoha">'Default factors'!$H$8</definedName>
    <definedName name="COLB">'Default factors'!$D$43</definedName>
    <definedName name="COMFi">'Default factors'!$D$51</definedName>
    <definedName name="Conversion">'Default factors'!$D$56</definedName>
    <definedName name="CWP_average">Biomass!$L$20</definedName>
    <definedName name="Dmn">'Default factors'!$D$17</definedName>
    <definedName name="Dolar">'Default factors'!$H$14</definedName>
    <definedName name="GgCH4">'Default factors'!$D$52</definedName>
    <definedName name="GgN2O">'Default factors'!$D$53</definedName>
    <definedName name="GWPgCH4">'Default factors'!$D$54</definedName>
    <definedName name="GWPgN2O">'Default factors'!$D$55</definedName>
    <definedName name="LBFOR">'Default factors'!$D$32</definedName>
    <definedName name="LDF">'Default factors'!$D$15</definedName>
    <definedName name="Leakage_factor">'Default factors'!#REF!</definedName>
    <definedName name="LEAS">'Default factors'!#REF!</definedName>
    <definedName name="LFME">'Default factors'!$D$31</definedName>
    <definedName name="LIF">'Default factors'!$D$16</definedName>
    <definedName name="LK_percentage">'Default factors'!$D$57</definedName>
    <definedName name="LKPROP">'Default factors'!$D$46</definedName>
    <definedName name="MWE">'Default factors'!$D$64</definedName>
    <definedName name="NTL">'Default factors'!$D$62</definedName>
    <definedName name="OFTY">'Default factors'!$D$67</definedName>
    <definedName name="pasture_percentage">'Default factors'!$I$7</definedName>
    <definedName name="pasture_tco2ha">'Default factors'!$H$7</definedName>
    <definedName name="percentage">'Default factors'!#REF!</definedName>
    <definedName name="Projeto">Overview!$B$5</definedName>
    <definedName name="PROPIMM">'Default factors'!$D$33</definedName>
    <definedName name="root_shoot">'Default factors'!$D$7</definedName>
    <definedName name="SK">'Default factors'!$D$63</definedName>
    <definedName name="SLFTY">'Default factors'!$D$66</definedName>
    <definedName name="tC_to_tCO2">'Default factors'!$D$9</definedName>
    <definedName name="tCO2_to_tC">'Default factors'!$D$10</definedName>
    <definedName name="VBSL">'Default factors'!$D$68</definedName>
    <definedName name="VCU">'Default factors'!$H$13</definedName>
    <definedName name="WSKID">'Default factors'!$D$69</definedName>
    <definedName name="WWTY">'Default factors'!$D$65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 i="26" l="1"/>
  <c r="G5" i="26"/>
  <c r="G6" i="26"/>
  <c r="G7" i="26"/>
  <c r="G8" i="26"/>
  <c r="G3" i="26"/>
  <c r="G25" i="12"/>
  <c r="R8" i="12" l="1"/>
  <c r="J16" i="12" l="1"/>
  <c r="H26" i="12"/>
  <c r="I26" i="12"/>
  <c r="G26" i="12"/>
  <c r="C1" i="26"/>
  <c r="C17" i="22" l="1"/>
  <c r="D8" i="17" l="1"/>
  <c r="C26" i="22"/>
  <c r="C28" i="22" s="1"/>
  <c r="F26" i="22"/>
  <c r="F28" i="22" s="1"/>
  <c r="E26" i="22"/>
  <c r="E28" i="22" s="1"/>
  <c r="D26" i="22"/>
  <c r="D28" i="22" s="1"/>
  <c r="F7" i="22"/>
  <c r="F17" i="22" s="1"/>
  <c r="E7" i="22"/>
  <c r="E17" i="22" s="1"/>
  <c r="D7" i="22"/>
  <c r="D17" i="22" s="1"/>
  <c r="C7" i="22"/>
  <c r="C7" i="3" l="1"/>
  <c r="F8" i="22"/>
  <c r="E8" i="22"/>
  <c r="D8" i="22"/>
  <c r="C8" i="22"/>
  <c r="D25" i="2"/>
  <c r="L17" i="3" l="1"/>
  <c r="L13" i="3"/>
  <c r="D16" i="8"/>
  <c r="L18" i="3" l="1"/>
  <c r="L19" i="3" s="1"/>
  <c r="F1" i="26" l="1"/>
  <c r="E1" i="26"/>
  <c r="H9" i="2"/>
  <c r="O12" i="12"/>
  <c r="D69" i="2"/>
  <c r="G24" i="12" l="1"/>
  <c r="P12" i="12"/>
  <c r="Q12" i="12"/>
  <c r="G20" i="12" s="1"/>
  <c r="D40" i="3" l="1"/>
  <c r="D28" i="8"/>
  <c r="E28" i="8" s="1"/>
  <c r="F28" i="8" s="1"/>
  <c r="G28" i="8" s="1"/>
  <c r="H28" i="8" s="1"/>
  <c r="I28" i="8" s="1"/>
  <c r="J27" i="8"/>
  <c r="D19" i="8"/>
  <c r="E19" i="8" s="1"/>
  <c r="F19" i="8" s="1"/>
  <c r="G19" i="8" s="1"/>
  <c r="H19" i="8" s="1"/>
  <c r="I19" i="8" s="1"/>
  <c r="J18" i="8"/>
  <c r="D21" i="8"/>
  <c r="E21" i="8" s="1"/>
  <c r="F21" i="8" s="1"/>
  <c r="G21" i="8" s="1"/>
  <c r="H21" i="8" s="1"/>
  <c r="I21" i="8" s="1"/>
  <c r="D26" i="8"/>
  <c r="J22" i="8"/>
  <c r="E8" i="14"/>
  <c r="P13" i="12"/>
  <c r="Q13" i="12"/>
  <c r="O13" i="12"/>
  <c r="O10" i="12"/>
  <c r="H7" i="12"/>
  <c r="H23" i="12" s="1"/>
  <c r="I7" i="12"/>
  <c r="I23" i="12" s="1"/>
  <c r="G7" i="12"/>
  <c r="R9" i="12"/>
  <c r="R11" i="12"/>
  <c r="R7" i="12"/>
  <c r="H17" i="12"/>
  <c r="I17" i="12"/>
  <c r="G17" i="12"/>
  <c r="Q10" i="12"/>
  <c r="P10" i="12"/>
  <c r="G13" i="12"/>
  <c r="G14" i="12" s="1"/>
  <c r="H13" i="12"/>
  <c r="I13" i="12"/>
  <c r="D28" i="2"/>
  <c r="D27" i="2"/>
  <c r="H11" i="12" l="1"/>
  <c r="H12" i="12" s="1"/>
  <c r="I24" i="12"/>
  <c r="I25" i="12" s="1"/>
  <c r="I27" i="12" s="1"/>
  <c r="I28" i="12" s="1"/>
  <c r="I29" i="12" s="1"/>
  <c r="I30" i="12" s="1"/>
  <c r="H24" i="12"/>
  <c r="H25" i="12" s="1"/>
  <c r="H27" i="12" s="1"/>
  <c r="H28" i="12" s="1"/>
  <c r="H29" i="12" s="1"/>
  <c r="H30" i="12" s="1"/>
  <c r="I11" i="12"/>
  <c r="I12" i="12" s="1"/>
  <c r="R13" i="12"/>
  <c r="G11" i="12"/>
  <c r="G12" i="12" s="1"/>
  <c r="G23" i="12"/>
  <c r="G27" i="12" s="1"/>
  <c r="G28" i="12" s="1"/>
  <c r="G29" i="12" s="1"/>
  <c r="G30" i="12" s="1"/>
  <c r="G16" i="12"/>
  <c r="G18" i="12" s="1"/>
  <c r="R12" i="12"/>
  <c r="R10" i="12"/>
  <c r="H16" i="12"/>
  <c r="H20" i="12"/>
  <c r="I20" i="12"/>
  <c r="I16" i="12"/>
  <c r="F13" i="16"/>
  <c r="F11" i="16"/>
  <c r="F8" i="16"/>
  <c r="D10" i="8" l="1"/>
  <c r="D11" i="8" s="1"/>
  <c r="D41" i="3"/>
  <c r="D42" i="3"/>
  <c r="D43" i="3"/>
  <c r="C15" i="3"/>
  <c r="C9" i="3" l="1"/>
  <c r="C8" i="3"/>
  <c r="E40" i="3"/>
  <c r="F7" i="16"/>
  <c r="F27" i="16"/>
  <c r="C10" i="3" l="1"/>
  <c r="L14" i="3"/>
  <c r="L15" i="3" s="1"/>
  <c r="F40" i="3"/>
  <c r="G40" i="3" s="1"/>
  <c r="H40" i="3" s="1"/>
  <c r="D26" i="9"/>
  <c r="D29" i="2"/>
  <c r="D27" i="9" l="1"/>
  <c r="D25" i="9" s="1"/>
  <c r="D15" i="3"/>
  <c r="E15" i="3"/>
  <c r="F15" i="3"/>
  <c r="D1" i="22"/>
  <c r="D7" i="3" l="1"/>
  <c r="E7" i="3"/>
  <c r="F7" i="3"/>
  <c r="G15" i="3"/>
  <c r="E43" i="3" l="1"/>
  <c r="O17" i="3"/>
  <c r="E42" i="3"/>
  <c r="N17" i="3"/>
  <c r="E41" i="3"/>
  <c r="M17" i="3"/>
  <c r="D24" i="2"/>
  <c r="D26" i="2" s="1"/>
  <c r="D30" i="2" s="1"/>
  <c r="D31" i="2" s="1"/>
  <c r="B19" i="10"/>
  <c r="E11" i="14" l="1"/>
  <c r="F11" i="14"/>
  <c r="G11" i="14"/>
  <c r="G26" i="16"/>
  <c r="H26" i="16"/>
  <c r="I26" i="16"/>
  <c r="J26" i="16"/>
  <c r="K26" i="16"/>
  <c r="G27" i="16"/>
  <c r="H27" i="16"/>
  <c r="I27" i="16"/>
  <c r="J27" i="16"/>
  <c r="K27" i="16"/>
  <c r="F26" i="16"/>
  <c r="E1" i="20" l="1"/>
  <c r="H11" i="14"/>
  <c r="I11" i="14"/>
  <c r="J11" i="14"/>
  <c r="D9" i="2"/>
  <c r="D43" i="2" l="1"/>
  <c r="O13" i="3"/>
  <c r="M13" i="3"/>
  <c r="N13" i="3"/>
  <c r="D10" i="2"/>
  <c r="H8" i="2"/>
  <c r="H7" i="2"/>
  <c r="D37" i="2"/>
  <c r="D36" i="2"/>
  <c r="F9" i="16"/>
  <c r="D33" i="2" l="1"/>
  <c r="F28" i="16" s="1"/>
  <c r="D40" i="2"/>
  <c r="J28" i="16" l="1"/>
  <c r="I28" i="16"/>
  <c r="H28" i="16"/>
  <c r="K28" i="16"/>
  <c r="G28" i="16"/>
  <c r="I9" i="2"/>
  <c r="D5" i="17" l="1"/>
  <c r="E5" i="17" s="1"/>
  <c r="F5" i="17" s="1"/>
  <c r="G5" i="17" s="1"/>
  <c r="H5" i="17" s="1"/>
  <c r="I5" i="17" s="1"/>
  <c r="C1" i="17"/>
  <c r="C16" i="3" l="1"/>
  <c r="J20" i="8"/>
  <c r="D30" i="8"/>
  <c r="J29" i="8"/>
  <c r="E31" i="14"/>
  <c r="F16" i="3" l="1"/>
  <c r="E16" i="3"/>
  <c r="D16" i="3"/>
  <c r="E30" i="8"/>
  <c r="F30" i="8" s="1"/>
  <c r="G30" i="8" s="1"/>
  <c r="H30" i="8" s="1"/>
  <c r="D41" i="2"/>
  <c r="C1" i="16"/>
  <c r="F8" i="14"/>
  <c r="G8" i="14"/>
  <c r="H8" i="14"/>
  <c r="I8" i="14"/>
  <c r="J8" i="14"/>
  <c r="I30" i="8" l="1"/>
  <c r="D42" i="2" l="1"/>
  <c r="D39" i="2"/>
  <c r="D38" i="2"/>
  <c r="F12" i="14" l="1"/>
  <c r="G12" i="14"/>
  <c r="H12" i="14"/>
  <c r="I12" i="14"/>
  <c r="J12" i="14"/>
  <c r="E12" i="14"/>
  <c r="E21" i="14"/>
  <c r="F31" i="14"/>
  <c r="G31" i="14"/>
  <c r="H31" i="14"/>
  <c r="I31" i="14"/>
  <c r="J31" i="14"/>
  <c r="B10" i="1" l="1"/>
  <c r="F29" i="14" l="1"/>
  <c r="F26" i="14" s="1"/>
  <c r="G29" i="14"/>
  <c r="G26" i="14" s="1"/>
  <c r="H29" i="14"/>
  <c r="H26" i="14" s="1"/>
  <c r="I29" i="14"/>
  <c r="I26" i="14" s="1"/>
  <c r="J29" i="14"/>
  <c r="J26" i="14" s="1"/>
  <c r="E29" i="14"/>
  <c r="E26" i="14" s="1"/>
  <c r="E25" i="14"/>
  <c r="F25" i="14"/>
  <c r="G25" i="14"/>
  <c r="H25" i="14"/>
  <c r="I25" i="14"/>
  <c r="J25" i="14"/>
  <c r="F17" i="14"/>
  <c r="G17" i="14"/>
  <c r="H17" i="14"/>
  <c r="I17" i="14"/>
  <c r="J17" i="14"/>
  <c r="E17" i="14"/>
  <c r="E18" i="14" s="1"/>
  <c r="E22" i="14" s="1"/>
  <c r="F21" i="14"/>
  <c r="J21" i="14"/>
  <c r="I21" i="14"/>
  <c r="H21" i="14"/>
  <c r="G21" i="14"/>
  <c r="B1" i="14"/>
  <c r="E24" i="14" l="1"/>
  <c r="K25" i="14"/>
  <c r="F24" i="14"/>
  <c r="J24" i="14"/>
  <c r="I24" i="14"/>
  <c r="H24" i="14"/>
  <c r="G24" i="14"/>
  <c r="J18" i="14"/>
  <c r="J22" i="14" s="1"/>
  <c r="I18" i="14"/>
  <c r="I22" i="14" s="1"/>
  <c r="F18" i="14"/>
  <c r="F22" i="14" s="1"/>
  <c r="G18" i="14"/>
  <c r="G22" i="14" s="1"/>
  <c r="H18" i="14"/>
  <c r="H22" i="14" s="1"/>
  <c r="I18" i="12"/>
  <c r="H18" i="12"/>
  <c r="I14" i="12"/>
  <c r="H14" i="12"/>
  <c r="E8" i="12"/>
  <c r="F8" i="12"/>
  <c r="D8" i="12"/>
  <c r="E7" i="12"/>
  <c r="F7" i="12"/>
  <c r="H9" i="12"/>
  <c r="D7" i="12"/>
  <c r="B1" i="13"/>
  <c r="D18" i="12"/>
  <c r="D14" i="12"/>
  <c r="D31" i="12" l="1"/>
  <c r="D11" i="12"/>
  <c r="D12" i="12" s="1"/>
  <c r="E31" i="12"/>
  <c r="D10" i="13" s="1"/>
  <c r="C4" i="26" s="1"/>
  <c r="E11" i="12"/>
  <c r="E12" i="12" s="1"/>
  <c r="F31" i="12"/>
  <c r="E10" i="13" s="1"/>
  <c r="C5" i="26" s="1"/>
  <c r="F11" i="12"/>
  <c r="F12" i="12" s="1"/>
  <c r="E26" i="8"/>
  <c r="E8" i="17"/>
  <c r="E19" i="17" s="1"/>
  <c r="G9" i="12"/>
  <c r="G10" i="12" s="1"/>
  <c r="K22" i="14"/>
  <c r="K18" i="14"/>
  <c r="I9" i="12"/>
  <c r="I10" i="12" s="1"/>
  <c r="H10" i="12"/>
  <c r="D9" i="12"/>
  <c r="D10" i="12" s="1"/>
  <c r="C10" i="13" l="1"/>
  <c r="C3" i="26" s="1"/>
  <c r="E17" i="17"/>
  <c r="K31" i="14"/>
  <c r="E9" i="12"/>
  <c r="E10" i="12" s="1"/>
  <c r="F9" i="12"/>
  <c r="F10" i="12" s="1"/>
  <c r="B15" i="10" l="1"/>
  <c r="F14" i="12" l="1"/>
  <c r="E14" i="12"/>
  <c r="B1" i="12"/>
  <c r="J6" i="8"/>
  <c r="L7" i="3" s="1"/>
  <c r="D5" i="8"/>
  <c r="L9" i="3" l="1"/>
  <c r="L10" i="3"/>
  <c r="E18" i="12"/>
  <c r="F18" i="12"/>
  <c r="E10" i="8" l="1"/>
  <c r="F25" i="16"/>
  <c r="F24" i="16" s="1"/>
  <c r="F29" i="16" s="1"/>
  <c r="F30" i="16" s="1"/>
  <c r="F31" i="16" s="1"/>
  <c r="J13" i="8"/>
  <c r="J12" i="8"/>
  <c r="I16" i="8"/>
  <c r="I10" i="8"/>
  <c r="K25" i="16" s="1"/>
  <c r="K24" i="16" s="1"/>
  <c r="K29" i="16" s="1"/>
  <c r="K30" i="16" s="1"/>
  <c r="K31" i="16" s="1"/>
  <c r="K32" i="16" s="1"/>
  <c r="J24" i="8"/>
  <c r="J23" i="8"/>
  <c r="H16" i="8"/>
  <c r="G16" i="8"/>
  <c r="F16" i="8"/>
  <c r="E16" i="8"/>
  <c r="D17" i="8"/>
  <c r="E17" i="8" s="1"/>
  <c r="J15" i="8"/>
  <c r="J14" i="8"/>
  <c r="F17" i="8" l="1"/>
  <c r="G17" i="8" s="1"/>
  <c r="H17" i="8" s="1"/>
  <c r="I17" i="8" s="1"/>
  <c r="G25" i="16"/>
  <c r="G24" i="16" s="1"/>
  <c r="G29" i="16" s="1"/>
  <c r="G30" i="16" s="1"/>
  <c r="G31" i="16" s="1"/>
  <c r="G32" i="16" s="1"/>
  <c r="E11" i="8"/>
  <c r="J25" i="8"/>
  <c r="F32" i="16"/>
  <c r="H8" i="17"/>
  <c r="I8" i="17"/>
  <c r="F8" i="17"/>
  <c r="G8" i="17"/>
  <c r="E7" i="14"/>
  <c r="J7" i="14"/>
  <c r="J9" i="14" s="1"/>
  <c r="F26" i="8"/>
  <c r="G26" i="8" s="1"/>
  <c r="H26" i="8" s="1"/>
  <c r="I26" i="8" s="1"/>
  <c r="E8" i="9"/>
  <c r="F7" i="14"/>
  <c r="F9" i="14" s="1"/>
  <c r="I8" i="9"/>
  <c r="D8" i="9"/>
  <c r="D17" i="9" s="1"/>
  <c r="J16" i="8"/>
  <c r="J28" i="9"/>
  <c r="E9" i="14" l="1"/>
  <c r="D17" i="17"/>
  <c r="D18" i="17" s="1"/>
  <c r="E18" i="17" s="1"/>
  <c r="D9" i="17"/>
  <c r="E9" i="17" s="1"/>
  <c r="F9" i="17" s="1"/>
  <c r="G9" i="17" s="1"/>
  <c r="H9" i="17" s="1"/>
  <c r="I9" i="17" s="1"/>
  <c r="G17" i="17"/>
  <c r="F17" i="17"/>
  <c r="J8" i="17"/>
  <c r="I17" i="17"/>
  <c r="H17" i="17"/>
  <c r="E17" i="9"/>
  <c r="J13" i="14"/>
  <c r="J32" i="14" s="1"/>
  <c r="H3" i="25" s="1"/>
  <c r="F13" i="14"/>
  <c r="F32" i="14" s="1"/>
  <c r="D3" i="25" s="1"/>
  <c r="I17" i="9"/>
  <c r="D9" i="9"/>
  <c r="E9" i="9" s="1"/>
  <c r="E13" i="14" l="1"/>
  <c r="E32" i="14" s="1"/>
  <c r="C3" i="25" s="1"/>
  <c r="J17" i="17"/>
  <c r="F18" i="17"/>
  <c r="G18" i="17" s="1"/>
  <c r="H18" i="17" s="1"/>
  <c r="I18" i="17" s="1"/>
  <c r="D18" i="9"/>
  <c r="E18" i="9" s="1"/>
  <c r="E6" i="10"/>
  <c r="E5" i="8"/>
  <c r="F5" i="8" s="1"/>
  <c r="G5" i="8" s="1"/>
  <c r="H5" i="8" s="1"/>
  <c r="I5" i="8" s="1"/>
  <c r="J7" i="8"/>
  <c r="M7" i="3" s="1"/>
  <c r="J8" i="8"/>
  <c r="N7" i="3" s="1"/>
  <c r="J9" i="8"/>
  <c r="O7" i="3" s="1"/>
  <c r="F10" i="8"/>
  <c r="G10" i="8"/>
  <c r="I25" i="16" s="1"/>
  <c r="I24" i="16" s="1"/>
  <c r="I29" i="16" s="1"/>
  <c r="I30" i="16" s="1"/>
  <c r="I31" i="16" s="1"/>
  <c r="I32" i="16" s="1"/>
  <c r="H10" i="8"/>
  <c r="J25" i="16" s="1"/>
  <c r="J24" i="16" s="1"/>
  <c r="J29" i="16" s="1"/>
  <c r="J30" i="16" s="1"/>
  <c r="J31" i="16" s="1"/>
  <c r="J32" i="16" s="1"/>
  <c r="C1" i="10"/>
  <c r="D5" i="9"/>
  <c r="E5" i="9" s="1"/>
  <c r="F5" i="9" s="1"/>
  <c r="G5" i="9" s="1"/>
  <c r="H5" i="9" s="1"/>
  <c r="I5" i="9" s="1"/>
  <c r="C1" i="9"/>
  <c r="E7" i="10" l="1"/>
  <c r="E19" i="10"/>
  <c r="H25" i="16"/>
  <c r="H24" i="16" s="1"/>
  <c r="H29" i="16" s="1"/>
  <c r="H30" i="16" s="1"/>
  <c r="H31" i="16" s="1"/>
  <c r="H32" i="16" s="1"/>
  <c r="F11" i="8"/>
  <c r="G11" i="8" s="1"/>
  <c r="H11" i="8" s="1"/>
  <c r="I11" i="8" s="1"/>
  <c r="I7" i="14"/>
  <c r="I9" i="14" s="1"/>
  <c r="H7" i="14"/>
  <c r="H9" i="14" s="1"/>
  <c r="H13" i="14" s="1"/>
  <c r="G7" i="14"/>
  <c r="G9" i="14" s="1"/>
  <c r="B30" i="10"/>
  <c r="B31" i="10" s="1"/>
  <c r="B32" i="10" s="1"/>
  <c r="B33" i="10" s="1"/>
  <c r="B34" i="10" s="1"/>
  <c r="B35" i="10" s="1"/>
  <c r="G8" i="9"/>
  <c r="F8" i="9"/>
  <c r="J10" i="8"/>
  <c r="H8" i="9"/>
  <c r="E11" i="10"/>
  <c r="F6" i="10"/>
  <c r="F7" i="10" s="1"/>
  <c r="E15" i="10"/>
  <c r="C1" i="8"/>
  <c r="L31" i="16" l="1"/>
  <c r="C30" i="10"/>
  <c r="D30" i="10" s="1"/>
  <c r="I13" i="14"/>
  <c r="I32" i="14" s="1"/>
  <c r="G3" i="25" s="1"/>
  <c r="G13" i="14"/>
  <c r="K9" i="14"/>
  <c r="H32" i="14"/>
  <c r="F3" i="25" s="1"/>
  <c r="H17" i="9"/>
  <c r="F17" i="9"/>
  <c r="G17" i="9"/>
  <c r="F19" i="10"/>
  <c r="F11" i="10"/>
  <c r="J8" i="9"/>
  <c r="F9" i="9"/>
  <c r="G9" i="9" s="1"/>
  <c r="H9" i="9" s="1"/>
  <c r="I9" i="9" s="1"/>
  <c r="E12" i="10"/>
  <c r="E8" i="10"/>
  <c r="F8" i="10" s="1"/>
  <c r="E16" i="10"/>
  <c r="G6" i="10"/>
  <c r="F15" i="10"/>
  <c r="E20" i="10"/>
  <c r="G32" i="14" l="1"/>
  <c r="E3" i="25" s="1"/>
  <c r="I3" i="25" s="1"/>
  <c r="K13" i="14"/>
  <c r="F18" i="9"/>
  <c r="G18" i="9" s="1"/>
  <c r="H18" i="9" s="1"/>
  <c r="I18" i="9" s="1"/>
  <c r="J17" i="9"/>
  <c r="F20" i="10"/>
  <c r="F12" i="10"/>
  <c r="C31" i="10"/>
  <c r="D31" i="10" s="1"/>
  <c r="H6" i="10"/>
  <c r="G15" i="10"/>
  <c r="G19" i="10"/>
  <c r="G7" i="10"/>
  <c r="G11" i="10"/>
  <c r="F16" i="10"/>
  <c r="B1" i="3"/>
  <c r="B1" i="1"/>
  <c r="B1" i="2"/>
  <c r="K32" i="14" l="1"/>
  <c r="G12" i="10"/>
  <c r="G20" i="10"/>
  <c r="G8" i="10"/>
  <c r="C32" i="10"/>
  <c r="G16" i="10"/>
  <c r="I6" i="10"/>
  <c r="J6" i="10" s="1"/>
  <c r="H7" i="10"/>
  <c r="H11" i="10"/>
  <c r="H19" i="10"/>
  <c r="H15" i="10"/>
  <c r="J11" i="10" l="1"/>
  <c r="J15" i="10"/>
  <c r="J7" i="10"/>
  <c r="J19" i="10"/>
  <c r="D32" i="10"/>
  <c r="C33" i="10"/>
  <c r="I7" i="10"/>
  <c r="I11" i="10"/>
  <c r="I19" i="10"/>
  <c r="I15" i="10"/>
  <c r="H12" i="10"/>
  <c r="H16" i="10"/>
  <c r="H20" i="10"/>
  <c r="H8" i="10"/>
  <c r="P7" i="3"/>
  <c r="L8" i="3" s="1"/>
  <c r="D29" i="9" s="1"/>
  <c r="A7" i="2"/>
  <c r="D9" i="3" l="1"/>
  <c r="K19" i="10"/>
  <c r="K7" i="10"/>
  <c r="C35" i="10"/>
  <c r="J16" i="10"/>
  <c r="J8" i="10"/>
  <c r="J20" i="10"/>
  <c r="J12" i="10"/>
  <c r="D33" i="10"/>
  <c r="C34" i="10"/>
  <c r="I8" i="10"/>
  <c r="I12" i="10"/>
  <c r="I20" i="10"/>
  <c r="I16" i="10"/>
  <c r="O8" i="3"/>
  <c r="G29" i="9" s="1"/>
  <c r="N8" i="3"/>
  <c r="F29" i="9" s="1"/>
  <c r="M8" i="3"/>
  <c r="E29" i="9" s="1"/>
  <c r="E8" i="3"/>
  <c r="F42" i="3" s="1"/>
  <c r="G42" i="3" s="1"/>
  <c r="H42" i="3" s="1"/>
  <c r="E9" i="3"/>
  <c r="F9" i="3"/>
  <c r="F8" i="3"/>
  <c r="F43" i="3" s="1"/>
  <c r="G43" i="3" s="1"/>
  <c r="H43" i="3" s="1"/>
  <c r="D8" i="3"/>
  <c r="F41" i="3" s="1"/>
  <c r="G41" i="3" s="1"/>
  <c r="H41" i="3" s="1"/>
  <c r="M9" i="3"/>
  <c r="O9" i="3"/>
  <c r="N9" i="3"/>
  <c r="C17" i="3" l="1"/>
  <c r="D19" i="9"/>
  <c r="E19" i="9"/>
  <c r="I19" i="9"/>
  <c r="G19" i="17"/>
  <c r="D19" i="17"/>
  <c r="I19" i="17"/>
  <c r="H19" i="17"/>
  <c r="F19" i="17"/>
  <c r="F19" i="9"/>
  <c r="H19" i="9"/>
  <c r="G19" i="9"/>
  <c r="L12" i="3"/>
  <c r="C11" i="3"/>
  <c r="E26" i="9"/>
  <c r="M18" i="3"/>
  <c r="M19" i="3" s="1"/>
  <c r="L20" i="3" s="1"/>
  <c r="F26" i="9"/>
  <c r="N18" i="3"/>
  <c r="N19" i="3" s="1"/>
  <c r="G26" i="9"/>
  <c r="O18" i="3"/>
  <c r="O19" i="3" s="1"/>
  <c r="E10" i="3"/>
  <c r="N12" i="3" s="1"/>
  <c r="N14" i="3"/>
  <c r="F10" i="3"/>
  <c r="O12" i="3" s="1"/>
  <c r="O14" i="3"/>
  <c r="D10" i="3"/>
  <c r="M14" i="3"/>
  <c r="C36" i="10"/>
  <c r="D34" i="10"/>
  <c r="D35" i="10" s="1"/>
  <c r="K12" i="10"/>
  <c r="K16" i="10"/>
  <c r="K8" i="10"/>
  <c r="K11" i="10"/>
  <c r="K15" i="10"/>
  <c r="K20" i="10"/>
  <c r="P8" i="3"/>
  <c r="N10" i="3"/>
  <c r="L11" i="3"/>
  <c r="O10" i="3"/>
  <c r="M10" i="3"/>
  <c r="N11" i="3"/>
  <c r="O11" i="3"/>
  <c r="M11" i="3"/>
  <c r="P9" i="3"/>
  <c r="M12" i="3" l="1"/>
  <c r="P12" i="3" s="1"/>
  <c r="C18" i="3"/>
  <c r="D18" i="3"/>
  <c r="E6" i="17"/>
  <c r="D44" i="2"/>
  <c r="F14" i="16" s="1"/>
  <c r="F15" i="16" s="1"/>
  <c r="E9" i="10"/>
  <c r="D15" i="9"/>
  <c r="D20" i="9"/>
  <c r="E20" i="9" s="1"/>
  <c r="F20" i="9" s="1"/>
  <c r="G20" i="9" s="1"/>
  <c r="H20" i="9" s="1"/>
  <c r="I20" i="9" s="1"/>
  <c r="J19" i="9"/>
  <c r="D20" i="17"/>
  <c r="E20" i="17" s="1"/>
  <c r="F20" i="17" s="1"/>
  <c r="G20" i="17" s="1"/>
  <c r="H20" i="17" s="1"/>
  <c r="I20" i="17" s="1"/>
  <c r="J19" i="17"/>
  <c r="H26" i="9"/>
  <c r="I26" i="9" s="1"/>
  <c r="F9" i="10"/>
  <c r="J9" i="10"/>
  <c r="J26" i="9"/>
  <c r="F11" i="3"/>
  <c r="E21" i="10" s="1"/>
  <c r="E11" i="3"/>
  <c r="D11" i="3"/>
  <c r="P10" i="3"/>
  <c r="G27" i="9"/>
  <c r="G25" i="9" s="1"/>
  <c r="O15" i="3"/>
  <c r="F27" i="9"/>
  <c r="F25" i="9" s="1"/>
  <c r="N15" i="3"/>
  <c r="E27" i="9"/>
  <c r="M15" i="3"/>
  <c r="G9" i="10"/>
  <c r="H9" i="10"/>
  <c r="I9" i="10"/>
  <c r="P11" i="3"/>
  <c r="I12" i="17" l="1"/>
  <c r="D10" i="17"/>
  <c r="H21" i="12"/>
  <c r="I21" i="12"/>
  <c r="G21" i="12"/>
  <c r="E12" i="17"/>
  <c r="D12" i="17"/>
  <c r="F10" i="17"/>
  <c r="G12" i="17"/>
  <c r="H12" i="17"/>
  <c r="G10" i="17"/>
  <c r="H10" i="17"/>
  <c r="D12" i="9"/>
  <c r="D13" i="9" s="1"/>
  <c r="D10" i="9"/>
  <c r="F12" i="17"/>
  <c r="E10" i="17"/>
  <c r="I10" i="17"/>
  <c r="G19" i="12"/>
  <c r="D71" i="2"/>
  <c r="D63" i="2" s="1"/>
  <c r="G15" i="12" s="1"/>
  <c r="I12" i="9"/>
  <c r="G10" i="9"/>
  <c r="H12" i="9"/>
  <c r="F10" i="9"/>
  <c r="G12" i="9"/>
  <c r="E10" i="9"/>
  <c r="F12" i="9"/>
  <c r="E12" i="9"/>
  <c r="I10" i="9"/>
  <c r="H10" i="9"/>
  <c r="D6" i="17"/>
  <c r="P18" i="3"/>
  <c r="D15" i="17"/>
  <c r="D16" i="17" s="1"/>
  <c r="D13" i="17"/>
  <c r="D11" i="17"/>
  <c r="G6" i="17"/>
  <c r="I6" i="17"/>
  <c r="F6" i="17"/>
  <c r="H6" i="17"/>
  <c r="H15" i="17"/>
  <c r="G15" i="17"/>
  <c r="E15" i="17"/>
  <c r="F15" i="17"/>
  <c r="I15" i="17"/>
  <c r="J17" i="10"/>
  <c r="E17" i="10"/>
  <c r="E13" i="10"/>
  <c r="H19" i="12"/>
  <c r="I19" i="12"/>
  <c r="H21" i="10"/>
  <c r="I21" i="10"/>
  <c r="H13" i="10"/>
  <c r="G21" i="10"/>
  <c r="F21" i="10"/>
  <c r="F17" i="10"/>
  <c r="J21" i="10"/>
  <c r="G17" i="10"/>
  <c r="F13" i="10"/>
  <c r="D19" i="12"/>
  <c r="D21" i="12"/>
  <c r="E15" i="9"/>
  <c r="I15" i="9"/>
  <c r="F15" i="9"/>
  <c r="H15" i="9"/>
  <c r="G15" i="9"/>
  <c r="I17" i="10"/>
  <c r="H17" i="10"/>
  <c r="I13" i="10"/>
  <c r="E19" i="12"/>
  <c r="E21" i="12"/>
  <c r="F21" i="12"/>
  <c r="F19" i="12"/>
  <c r="G13" i="10"/>
  <c r="J13" i="10"/>
  <c r="I27" i="9"/>
  <c r="E25" i="9"/>
  <c r="J27" i="9"/>
  <c r="E22" i="10"/>
  <c r="E10" i="10"/>
  <c r="F10" i="10" s="1"/>
  <c r="G10" i="10" s="1"/>
  <c r="H10" i="10" s="1"/>
  <c r="I10" i="10" s="1"/>
  <c r="J10" i="10" s="1"/>
  <c r="K9" i="10"/>
  <c r="E21" i="17" l="1"/>
  <c r="I8" i="20" s="1"/>
  <c r="E31" i="10"/>
  <c r="E30" i="10"/>
  <c r="D6" i="9" s="1"/>
  <c r="D21" i="9" s="1"/>
  <c r="E35" i="10"/>
  <c r="E34" i="10"/>
  <c r="H6" i="9" s="1"/>
  <c r="E23" i="10"/>
  <c r="I23" i="10"/>
  <c r="H23" i="10"/>
  <c r="J23" i="10"/>
  <c r="F23" i="10"/>
  <c r="G23" i="10"/>
  <c r="E32" i="10"/>
  <c r="E14" i="10"/>
  <c r="F14" i="10" s="1"/>
  <c r="G14" i="10" s="1"/>
  <c r="H14" i="10" s="1"/>
  <c r="I14" i="10" s="1"/>
  <c r="J14" i="10" s="1"/>
  <c r="G22" i="12"/>
  <c r="G31" i="12" s="1"/>
  <c r="D15" i="12"/>
  <c r="D22" i="12" s="1"/>
  <c r="I15" i="12"/>
  <c r="I22" i="12" s="1"/>
  <c r="H15" i="12"/>
  <c r="E15" i="12"/>
  <c r="E22" i="12" s="1"/>
  <c r="F15" i="12"/>
  <c r="F22" i="12" s="1"/>
  <c r="E13" i="9"/>
  <c r="F13" i="9" s="1"/>
  <c r="G13" i="9" s="1"/>
  <c r="H13" i="9" s="1"/>
  <c r="I13" i="9" s="1"/>
  <c r="J12" i="17"/>
  <c r="D14" i="17"/>
  <c r="D46" i="2"/>
  <c r="D45" i="2"/>
  <c r="I14" i="17"/>
  <c r="E13" i="17"/>
  <c r="F13" i="17" s="1"/>
  <c r="G13" i="17" s="1"/>
  <c r="H13" i="17" s="1"/>
  <c r="I13" i="17" s="1"/>
  <c r="H14" i="17"/>
  <c r="F14" i="17"/>
  <c r="E14" i="17"/>
  <c r="E11" i="17"/>
  <c r="F11" i="17" s="1"/>
  <c r="G11" i="17" s="1"/>
  <c r="H11" i="17" s="1"/>
  <c r="I11" i="17" s="1"/>
  <c r="H21" i="17"/>
  <c r="L8" i="20" s="1"/>
  <c r="G14" i="17"/>
  <c r="F21" i="17"/>
  <c r="J8" i="20" s="1"/>
  <c r="J10" i="17"/>
  <c r="I21" i="17"/>
  <c r="M8" i="20" s="1"/>
  <c r="G21" i="17"/>
  <c r="K8" i="20" s="1"/>
  <c r="D21" i="17"/>
  <c r="H8" i="20" s="1"/>
  <c r="E16" i="17"/>
  <c r="F16" i="17" s="1"/>
  <c r="G16" i="17" s="1"/>
  <c r="H16" i="17" s="1"/>
  <c r="I16" i="17" s="1"/>
  <c r="J15" i="17"/>
  <c r="F22" i="10"/>
  <c r="G22" i="10" s="1"/>
  <c r="H22" i="10" s="1"/>
  <c r="I22" i="10" s="1"/>
  <c r="J22" i="10" s="1"/>
  <c r="E18" i="10"/>
  <c r="F18" i="10" s="1"/>
  <c r="G18" i="10" s="1"/>
  <c r="H18" i="10" s="1"/>
  <c r="I18" i="10" s="1"/>
  <c r="J18" i="10" s="1"/>
  <c r="D14" i="9"/>
  <c r="K17" i="10"/>
  <c r="K21" i="10"/>
  <c r="E33" i="10"/>
  <c r="D16" i="9"/>
  <c r="E16" i="9" s="1"/>
  <c r="F16" i="9" s="1"/>
  <c r="G16" i="9" s="1"/>
  <c r="H16" i="9" s="1"/>
  <c r="I16" i="9" s="1"/>
  <c r="J15" i="9"/>
  <c r="F14" i="9"/>
  <c r="D11" i="9"/>
  <c r="E11" i="9" s="1"/>
  <c r="F11" i="9" s="1"/>
  <c r="G11" i="9" s="1"/>
  <c r="H11" i="9" s="1"/>
  <c r="I11" i="9" s="1"/>
  <c r="E14" i="9"/>
  <c r="I14" i="9"/>
  <c r="H14" i="9"/>
  <c r="G14" i="9"/>
  <c r="J10" i="9"/>
  <c r="J12" i="9"/>
  <c r="K13" i="10"/>
  <c r="J25" i="9"/>
  <c r="I31" i="12" l="1"/>
  <c r="H10" i="13" s="1"/>
  <c r="C8" i="26" s="1"/>
  <c r="F10" i="13"/>
  <c r="C6" i="26" s="1"/>
  <c r="H22" i="12"/>
  <c r="C9" i="13"/>
  <c r="H7" i="20"/>
  <c r="H9" i="20" s="1"/>
  <c r="H10" i="20" s="1"/>
  <c r="H11" i="20" s="1"/>
  <c r="F30" i="10"/>
  <c r="F31" i="10" s="1"/>
  <c r="F32" i="10" s="1"/>
  <c r="F33" i="10" s="1"/>
  <c r="F34" i="10" s="1"/>
  <c r="F35" i="10" s="1"/>
  <c r="E36" i="10"/>
  <c r="F21" i="16"/>
  <c r="G21" i="16"/>
  <c r="I21" i="16"/>
  <c r="J21" i="16"/>
  <c r="K21" i="16"/>
  <c r="H21" i="16"/>
  <c r="J14" i="17"/>
  <c r="E6" i="9"/>
  <c r="I6" i="9"/>
  <c r="F6" i="9"/>
  <c r="G6" i="9"/>
  <c r="I25" i="9"/>
  <c r="J14" i="9"/>
  <c r="H31" i="12" l="1"/>
  <c r="G10" i="13" s="1"/>
  <c r="E21" i="9"/>
  <c r="D7" i="9"/>
  <c r="E7" i="9" s="1"/>
  <c r="F7" i="9" s="1"/>
  <c r="G7" i="9" s="1"/>
  <c r="H7" i="9" s="1"/>
  <c r="I7" i="9" s="1"/>
  <c r="H21" i="9"/>
  <c r="G21" i="9"/>
  <c r="F9" i="13" s="1"/>
  <c r="B6" i="26" s="1"/>
  <c r="I21" i="9"/>
  <c r="F21" i="9"/>
  <c r="J6" i="9"/>
  <c r="D7" i="17"/>
  <c r="E7" i="17" s="1"/>
  <c r="F7" i="17" s="1"/>
  <c r="G7" i="17" s="1"/>
  <c r="H7" i="17" s="1"/>
  <c r="I7" i="17" s="1"/>
  <c r="J6" i="17"/>
  <c r="C7" i="26" l="1"/>
  <c r="C9" i="26" s="1"/>
  <c r="I10" i="13"/>
  <c r="B3" i="26"/>
  <c r="F22" i="16"/>
  <c r="F20" i="16" s="1"/>
  <c r="C4" i="25"/>
  <c r="J7" i="20"/>
  <c r="J9" i="20" s="1"/>
  <c r="J10" i="20" s="1"/>
  <c r="J11" i="20" s="1"/>
  <c r="E9" i="13"/>
  <c r="B5" i="26" s="1"/>
  <c r="L7" i="20"/>
  <c r="L9" i="20" s="1"/>
  <c r="L10" i="20" s="1"/>
  <c r="L11" i="20" s="1"/>
  <c r="G9" i="13"/>
  <c r="B7" i="26" s="1"/>
  <c r="I7" i="20"/>
  <c r="I9" i="20" s="1"/>
  <c r="I10" i="20" s="1"/>
  <c r="I11" i="20" s="1"/>
  <c r="D9" i="13"/>
  <c r="B4" i="26" s="1"/>
  <c r="K7" i="20"/>
  <c r="K9" i="20" s="1"/>
  <c r="K10" i="20" s="1"/>
  <c r="K11" i="20" s="1"/>
  <c r="M7" i="20"/>
  <c r="M9" i="20" s="1"/>
  <c r="M10" i="20" s="1"/>
  <c r="M11" i="20" s="1"/>
  <c r="H9" i="13"/>
  <c r="B8" i="26" s="1"/>
  <c r="B9" i="26" l="1"/>
  <c r="F23" i="16"/>
  <c r="C5" i="25" s="1"/>
  <c r="C6" i="25" s="1"/>
  <c r="C11" i="13" s="1"/>
  <c r="G22" i="16"/>
  <c r="G20" i="16" s="1"/>
  <c r="G23" i="16" s="1"/>
  <c r="D5" i="25" s="1"/>
  <c r="D4" i="25"/>
  <c r="G4" i="25"/>
  <c r="K22" i="16"/>
  <c r="H4" i="25"/>
  <c r="I22" i="16"/>
  <c r="I20" i="16" s="1"/>
  <c r="I23" i="16" s="1"/>
  <c r="F5" i="25" s="1"/>
  <c r="F4" i="25"/>
  <c r="H22" i="16"/>
  <c r="H20" i="16" s="1"/>
  <c r="H23" i="16" s="1"/>
  <c r="E5" i="25" s="1"/>
  <c r="E4" i="25"/>
  <c r="J22" i="16"/>
  <c r="J20" i="16" s="1"/>
  <c r="J23" i="16" s="1"/>
  <c r="I9" i="13"/>
  <c r="N11" i="20"/>
  <c r="C13" i="13" l="1"/>
  <c r="D3" i="26"/>
  <c r="F6" i="25"/>
  <c r="K20" i="16"/>
  <c r="K23" i="16" s="1"/>
  <c r="I4" i="25"/>
  <c r="G5" i="25"/>
  <c r="G6" i="25" s="1"/>
  <c r="E6" i="25"/>
  <c r="D6" i="25"/>
  <c r="C14" i="13" l="1"/>
  <c r="C15" i="13" s="1"/>
  <c r="C12" i="13"/>
  <c r="E3" i="26"/>
  <c r="G11" i="13"/>
  <c r="D11" i="13"/>
  <c r="E11" i="13"/>
  <c r="D5" i="26" s="1"/>
  <c r="F11" i="13"/>
  <c r="L23" i="16"/>
  <c r="H5" i="25"/>
  <c r="H6" i="25" s="1"/>
  <c r="L32" i="16"/>
  <c r="F3" i="26" l="1"/>
  <c r="G13" i="13"/>
  <c r="E7" i="26" s="1"/>
  <c r="D7" i="26"/>
  <c r="D6" i="26"/>
  <c r="F13" i="13"/>
  <c r="D13" i="13"/>
  <c r="D12" i="13" s="1"/>
  <c r="D4" i="26"/>
  <c r="E13" i="13"/>
  <c r="H11" i="13"/>
  <c r="I5" i="25"/>
  <c r="I6" i="25" s="1"/>
  <c r="G14" i="13" l="1"/>
  <c r="F7" i="26" s="1"/>
  <c r="H13" i="13"/>
  <c r="D8" i="26"/>
  <c r="E14" i="13"/>
  <c r="E5" i="26"/>
  <c r="I11" i="13"/>
  <c r="F14" i="13"/>
  <c r="F15" i="13" s="1"/>
  <c r="E6" i="26"/>
  <c r="G12" i="13"/>
  <c r="F12" i="13"/>
  <c r="D14" i="13"/>
  <c r="E4" i="26"/>
  <c r="E12" i="13"/>
  <c r="D9" i="26" l="1"/>
  <c r="G15" i="13"/>
  <c r="H14" i="13"/>
  <c r="E8" i="26"/>
  <c r="E9" i="26" s="1"/>
  <c r="F6" i="26"/>
  <c r="D15" i="13"/>
  <c r="F4" i="26"/>
  <c r="E15" i="13"/>
  <c r="F5" i="26"/>
  <c r="I13" i="13"/>
  <c r="H12" i="13"/>
  <c r="H15" i="13" l="1"/>
  <c r="F8" i="26"/>
  <c r="I14" i="13"/>
  <c r="F9" i="26" l="1"/>
  <c r="G9" i="26"/>
  <c r="I15" i="13"/>
</calcChain>
</file>

<file path=xl/sharedStrings.xml><?xml version="1.0" encoding="utf-8"?>
<sst xmlns="http://schemas.openxmlformats.org/spreadsheetml/2006/main" count="1007" uniqueCount="528">
  <si>
    <t xml:space="preserve">Project: </t>
  </si>
  <si>
    <t>Overviwe</t>
  </si>
  <si>
    <t xml:space="preserve">Data Project </t>
  </si>
  <si>
    <t>Element</t>
  </si>
  <si>
    <t>Module/ Tool</t>
  </si>
  <si>
    <t>Applicability</t>
  </si>
  <si>
    <t>Carbon Pool</t>
  </si>
  <si>
    <t>Status</t>
  </si>
  <si>
    <t>Justification</t>
  </si>
  <si>
    <t>Project</t>
  </si>
  <si>
    <t>FLORESTAL SANTA MARIA - CARAGUA AGRONEGÓCIOS LTDA</t>
  </si>
  <si>
    <t>Project Boundary</t>
  </si>
  <si>
    <t>T-SIG</t>
  </si>
  <si>
    <t>M</t>
  </si>
  <si>
    <t>Aboveground tree biomass</t>
  </si>
  <si>
    <t>Included</t>
  </si>
  <si>
    <t>ID</t>
  </si>
  <si>
    <t>Baseline Emissions</t>
  </si>
  <si>
    <t>BL-UP</t>
  </si>
  <si>
    <t>Aboveground non-tree biomass</t>
  </si>
  <si>
    <t>Start date</t>
  </si>
  <si>
    <t>X-STR</t>
  </si>
  <si>
    <t>Belowground biomass</t>
  </si>
  <si>
    <t>First baseline period</t>
  </si>
  <si>
    <t>CP-AB</t>
  </si>
  <si>
    <t>Litter</t>
  </si>
  <si>
    <t>Excluded</t>
  </si>
  <si>
    <t>Second baseline period</t>
  </si>
  <si>
    <t>CP-D</t>
  </si>
  <si>
    <t>M3</t>
  </si>
  <si>
    <t>Dead wood</t>
  </si>
  <si>
    <t>Project area (ha)</t>
  </si>
  <si>
    <t>CP-L</t>
  </si>
  <si>
    <t>O</t>
  </si>
  <si>
    <t>Soil Organic Carbon</t>
  </si>
  <si>
    <t>Crediting Period</t>
  </si>
  <si>
    <t>CP-S</t>
  </si>
  <si>
    <t xml:space="preserve">Wood products </t>
  </si>
  <si>
    <t>Project Location</t>
  </si>
  <si>
    <t>Colniza/ MT - Brasil</t>
  </si>
  <si>
    <t>CP-W</t>
  </si>
  <si>
    <t>M1</t>
  </si>
  <si>
    <t>Geographical Boundaries</t>
  </si>
  <si>
    <t>E-NA</t>
  </si>
  <si>
    <t>M4</t>
  </si>
  <si>
    <t>Legend</t>
  </si>
  <si>
    <t>Temporal boundaries</t>
  </si>
  <si>
    <t>E-FFC</t>
  </si>
  <si>
    <t>Methodology Reference</t>
  </si>
  <si>
    <t>VM0007 - REDD+ Methodology Framework (REDD+MF), V1.6</t>
  </si>
  <si>
    <t>E-BPB</t>
  </si>
  <si>
    <t>LK-ASU</t>
  </si>
  <si>
    <t>Optional</t>
  </si>
  <si>
    <t>Project Emissions</t>
  </si>
  <si>
    <t>M-REDD</t>
  </si>
  <si>
    <t>X-UNC</t>
  </si>
  <si>
    <t>Leakage</t>
  </si>
  <si>
    <t>LK-ME</t>
  </si>
  <si>
    <t>Mandatory</t>
  </si>
  <si>
    <t>Mandatory for the given project activity where the process of deforestation involves timber harvesting for commercial markets</t>
  </si>
  <si>
    <t>Mandatory for the given project activity if this carbon pool is greater in baseline (postdeforestation/degradation) than project scenario and significant; otherwise can be conservatively omitted</t>
  </si>
  <si>
    <t>Mandatory for the given project activity where leakage prevention activities include increases in the use of fertilizers</t>
  </si>
  <si>
    <t xml:space="preserve">Modules marked with an O are fully optional for the given project activity (i.e., the indicated pools and sources can be included or excluded as decided by the project, but if included in the baseline they must also be included in the project scenario) </t>
  </si>
  <si>
    <t>Default factors</t>
  </si>
  <si>
    <t>Biomass</t>
  </si>
  <si>
    <t>References</t>
  </si>
  <si>
    <t>Land use</t>
  </si>
  <si>
    <t>Parameter</t>
  </si>
  <si>
    <t>Description</t>
  </si>
  <si>
    <t>Unit</t>
  </si>
  <si>
    <t>Value</t>
  </si>
  <si>
    <t>Type</t>
  </si>
  <si>
    <r>
      <t>t CO</t>
    </r>
    <r>
      <rPr>
        <b/>
        <vertAlign val="subscript"/>
        <sz val="11"/>
        <color theme="1"/>
        <rFont val="Calibri"/>
        <family val="2"/>
        <scheme val="minor"/>
      </rPr>
      <t>2</t>
    </r>
    <r>
      <rPr>
        <b/>
        <sz val="11"/>
        <color theme="1"/>
        <rFont val="Calibri"/>
        <family val="2"/>
        <scheme val="minor"/>
      </rPr>
      <t>/ha</t>
    </r>
  </si>
  <si>
    <t>%</t>
  </si>
  <si>
    <t>BCEF</t>
  </si>
  <si>
    <t>Biomass conversion and expansion factor</t>
  </si>
  <si>
    <t>1989_Biomass Estimation Methods for Tropical Forests with Applications to Forest (Table 4; pg. 890; minimum value
deducted from lowest limit.: 1.743 - 0.083 = 1.66)</t>
  </si>
  <si>
    <t xml:space="preserve">Wood </t>
  </si>
  <si>
    <t>Root-shoot ratio</t>
  </si>
  <si>
    <t>Pasture</t>
  </si>
  <si>
    <t>2006_Chapter 6_IPCC Guidelines for National Greenhouse Gas Inventories, page 6.27, Table 6.4, tropical-dry</t>
  </si>
  <si>
    <t>CF</t>
  </si>
  <si>
    <t>Carbon fraction of dry matter</t>
  </si>
  <si>
    <r>
      <t>tC t d.m</t>
    </r>
    <r>
      <rPr>
        <vertAlign val="superscript"/>
        <sz val="11"/>
        <color rgb="FF000000"/>
        <rFont val="Calibri"/>
        <family val="2"/>
        <scheme val="minor"/>
      </rPr>
      <t>-1</t>
    </r>
  </si>
  <si>
    <t>2006_Chapter 4_IPCC Guidelines for National Greenhouse Gas Inventories, pg. 4.48, Table 4.3.</t>
  </si>
  <si>
    <t>Coffee</t>
  </si>
  <si>
    <t>2008_Above- and belowground biomass, nutrient and carbon</t>
  </si>
  <si>
    <r>
      <t>tC to tCO</t>
    </r>
    <r>
      <rPr>
        <vertAlign val="subscript"/>
        <sz val="11"/>
        <color theme="1"/>
        <rFont val="Calibri"/>
        <family val="2"/>
        <scheme val="minor"/>
      </rPr>
      <t>2</t>
    </r>
  </si>
  <si>
    <r>
      <t>Tons of carbon to tons of CO</t>
    </r>
    <r>
      <rPr>
        <vertAlign val="subscript"/>
        <sz val="11"/>
        <color rgb="FF000000"/>
        <rFont val="Calibri"/>
        <family val="2"/>
        <scheme val="minor"/>
      </rPr>
      <t>2</t>
    </r>
  </si>
  <si>
    <r>
      <t>tC tCO</t>
    </r>
    <r>
      <rPr>
        <vertAlign val="subscript"/>
        <sz val="11"/>
        <color rgb="FF000000"/>
        <rFont val="Calibri"/>
        <family val="2"/>
        <scheme val="minor"/>
      </rPr>
      <t>2</t>
    </r>
    <r>
      <rPr>
        <vertAlign val="superscript"/>
        <sz val="11"/>
        <color rgb="FF000000"/>
        <rFont val="Calibri"/>
        <family val="2"/>
        <scheme val="minor"/>
      </rPr>
      <t>-1</t>
    </r>
  </si>
  <si>
    <t>Total</t>
  </si>
  <si>
    <r>
      <t>tCO</t>
    </r>
    <r>
      <rPr>
        <vertAlign val="subscript"/>
        <sz val="11"/>
        <color theme="1"/>
        <rFont val="Calibri"/>
        <family val="2"/>
        <scheme val="minor"/>
      </rPr>
      <t xml:space="preserve">2 </t>
    </r>
    <r>
      <rPr>
        <sz val="11"/>
        <color theme="1"/>
        <rFont val="Calibri"/>
        <family val="2"/>
        <scheme val="minor"/>
      </rPr>
      <t>to tC</t>
    </r>
  </si>
  <si>
    <r>
      <t>Tons of CO</t>
    </r>
    <r>
      <rPr>
        <vertAlign val="subscript"/>
        <sz val="11"/>
        <color rgb="FF000000"/>
        <rFont val="Calibri"/>
        <family val="2"/>
        <scheme val="minor"/>
      </rPr>
      <t>2</t>
    </r>
    <r>
      <rPr>
        <sz val="11"/>
        <color rgb="FF000000"/>
        <rFont val="Calibri"/>
        <family val="2"/>
        <scheme val="minor"/>
      </rPr>
      <t xml:space="preserve"> to tons of carbon</t>
    </r>
  </si>
  <si>
    <r>
      <t>tCO</t>
    </r>
    <r>
      <rPr>
        <vertAlign val="subscript"/>
        <sz val="11"/>
        <color rgb="FF000000"/>
        <rFont val="Calibri"/>
        <family val="2"/>
        <scheme val="minor"/>
      </rPr>
      <t>2</t>
    </r>
    <r>
      <rPr>
        <sz val="11"/>
        <color rgb="FF000000"/>
        <rFont val="Calibri"/>
        <family val="2"/>
        <scheme val="minor"/>
      </rPr>
      <t xml:space="preserve"> tC</t>
    </r>
    <r>
      <rPr>
        <vertAlign val="superscript"/>
        <sz val="11"/>
        <color rgb="FF000000"/>
        <rFont val="Calibri"/>
        <family val="2"/>
        <scheme val="minor"/>
      </rPr>
      <t>-1</t>
    </r>
    <r>
      <rPr>
        <sz val="11"/>
        <color rgb="FF000000"/>
        <rFont val="Calibri"/>
        <family val="2"/>
        <scheme val="minor"/>
      </rPr>
      <t xml:space="preserve"> </t>
    </r>
  </si>
  <si>
    <t>Buffer</t>
  </si>
  <si>
    <t>Non-Permanence Risk document (Section 4. Overall Non-Permanence Risk Rating and Buffer Determination)</t>
  </si>
  <si>
    <t xml:space="preserve">Logging </t>
  </si>
  <si>
    <t>LDF</t>
  </si>
  <si>
    <t>Logging damage factor</t>
  </si>
  <si>
    <r>
      <t>t C m</t>
    </r>
    <r>
      <rPr>
        <vertAlign val="superscript"/>
        <sz val="11"/>
        <color rgb="FF000000"/>
        <rFont val="Calibri"/>
        <family val="2"/>
        <scheme val="minor"/>
      </rPr>
      <t>-3</t>
    </r>
  </si>
  <si>
    <t>VMD0015 - Annex 1: To ensure a conservative estimate, for broadleaf and mixed forests a default value of 0.67 t C m-3 may be used</t>
  </si>
  <si>
    <t>LIF</t>
  </si>
  <si>
    <t>Logging infrastructure factor</t>
  </si>
  <si>
    <t>VMD0011-LK-ME-v1.0._default 0.29 t C m-3</t>
  </si>
  <si>
    <r>
      <t>D</t>
    </r>
    <r>
      <rPr>
        <vertAlign val="subscript"/>
        <sz val="11"/>
        <color theme="1"/>
        <rFont val="Calibri"/>
        <family val="2"/>
        <scheme val="minor"/>
      </rPr>
      <t>mn</t>
    </r>
  </si>
  <si>
    <t>Mean wood density of commercially harvested species</t>
  </si>
  <si>
    <r>
      <t>t d.m. m</t>
    </r>
    <r>
      <rPr>
        <vertAlign val="superscript"/>
        <sz val="11"/>
        <color rgb="FF000000"/>
        <rFont val="Calibri"/>
        <family val="2"/>
        <scheme val="minor"/>
      </rPr>
      <t>-3</t>
    </r>
  </si>
  <si>
    <t>Total abouveground biomass trees from update Forest Inventory</t>
  </si>
  <si>
    <t>t</t>
  </si>
  <si>
    <t>Annex: Forest inventory total.xlsx</t>
  </si>
  <si>
    <t>Total commercial (DBH&gt;40 cm) aboveground biomass trees from update Forest Inventory</t>
  </si>
  <si>
    <t>Annex: Forest inventory_DBH 40.xlsx</t>
  </si>
  <si>
    <r>
      <t>PMP</t>
    </r>
    <r>
      <rPr>
        <vertAlign val="subscript"/>
        <sz val="11"/>
        <color theme="1"/>
        <rFont val="Calibri"/>
        <family val="2"/>
        <scheme val="minor"/>
      </rPr>
      <t>i</t>
    </r>
  </si>
  <si>
    <t xml:space="preserve">Merchantable biomass as a proportion of total aboveground tree biomass for stratum i within the project boundary </t>
  </si>
  <si>
    <t>Total volume of wood in the Amazon</t>
  </si>
  <si>
    <r>
      <t>m</t>
    </r>
    <r>
      <rPr>
        <vertAlign val="superscript"/>
        <sz val="11"/>
        <rFont val="Calibri"/>
        <family val="2"/>
        <scheme val="minor"/>
      </rPr>
      <t>3</t>
    </r>
  </si>
  <si>
    <t>2011_Madeira na amazônia_extração, manejo ou reflorestamento.pdf (page 151)</t>
  </si>
  <si>
    <t>Total volume commercial of wood in the Amazon</t>
  </si>
  <si>
    <r>
      <t>PML</t>
    </r>
    <r>
      <rPr>
        <vertAlign val="subscript"/>
        <sz val="11"/>
        <color theme="1"/>
        <rFont val="Calibri"/>
        <family val="2"/>
        <scheme val="minor"/>
      </rPr>
      <t>FT</t>
    </r>
  </si>
  <si>
    <t>Mean merchantable biomass as a proportion of total aboveground tree biomass for each forest type</t>
  </si>
  <si>
    <r>
      <t>PML</t>
    </r>
    <r>
      <rPr>
        <vertAlign val="subscript"/>
        <sz val="11"/>
        <color theme="1"/>
        <rFont val="Calibri"/>
        <family val="2"/>
        <scheme val="minor"/>
      </rPr>
      <t>FT</t>
    </r>
    <r>
      <rPr>
        <sz val="11"/>
        <color theme="1"/>
        <rFont val="Calibri"/>
        <family val="2"/>
        <scheme val="minor"/>
      </rPr>
      <t xml:space="preserve"> - PMP</t>
    </r>
    <r>
      <rPr>
        <vertAlign val="subscript"/>
        <sz val="11"/>
        <color theme="1"/>
        <rFont val="Calibri"/>
        <family val="2"/>
        <scheme val="minor"/>
      </rPr>
      <t>i</t>
    </r>
  </si>
  <si>
    <r>
      <t>LF</t>
    </r>
    <r>
      <rPr>
        <vertAlign val="subscript"/>
        <sz val="11"/>
        <color theme="1"/>
        <rFont val="Calibri"/>
        <family val="2"/>
        <scheme val="minor"/>
      </rPr>
      <t>ME</t>
    </r>
  </si>
  <si>
    <t>Leakage factor for market-effects calculations</t>
  </si>
  <si>
    <t>VMD0011-LK-ME-v1.1</t>
  </si>
  <si>
    <t>LBFOR</t>
  </si>
  <si>
    <t>Leakage Belt area</t>
  </si>
  <si>
    <t>ha</t>
  </si>
  <si>
    <r>
      <t>PROP</t>
    </r>
    <r>
      <rPr>
        <vertAlign val="subscript"/>
        <sz val="11"/>
        <color theme="1"/>
        <rFont val="Calibri"/>
        <family val="2"/>
        <scheme val="minor"/>
      </rPr>
      <t>IMM</t>
    </r>
  </si>
  <si>
    <t>The proportion of baseline deforestation caused by immigrating population</t>
  </si>
  <si>
    <t>proportion</t>
  </si>
  <si>
    <t>Total population (2020)</t>
  </si>
  <si>
    <t>inhab.</t>
  </si>
  <si>
    <t>2020_Population growth</t>
  </si>
  <si>
    <t>Total annual population growth (2015-2020)</t>
  </si>
  <si>
    <r>
      <t>inhab. year</t>
    </r>
    <r>
      <rPr>
        <vertAlign val="superscript"/>
        <sz val="11"/>
        <color theme="1"/>
        <rFont val="Calibri"/>
        <family val="2"/>
        <scheme val="minor"/>
      </rPr>
      <t>-1</t>
    </r>
  </si>
  <si>
    <t>Number of annual deaths (2015-2020)</t>
  </si>
  <si>
    <t>2020_Deaths_Colniza</t>
  </si>
  <si>
    <t>Number of annual births (2015-2020)</t>
  </si>
  <si>
    <t>2020_Nascidos Vivos_MT_Colniza</t>
  </si>
  <si>
    <t>AVFOR</t>
  </si>
  <si>
    <t>Total available national forest area for unplanned deforestation</t>
  </si>
  <si>
    <t>TOTFOR</t>
  </si>
  <si>
    <t>Total available national forest area</t>
  </si>
  <si>
    <t>2021_Municípios da Amazônia Legal; 2022_Unidade de Conservação</t>
  </si>
  <si>
    <t>PROTFOR</t>
  </si>
  <si>
    <t>Total area of fully protected forests nationally</t>
  </si>
  <si>
    <t>2022 _Painel de dados</t>
  </si>
  <si>
    <t>MANFOR</t>
  </si>
  <si>
    <t>Total area of forests under active management nationally</t>
  </si>
  <si>
    <t>2020_Manejo sustentável autorizado pelo Ibama em 2019 totalizou 39 mil hectares</t>
  </si>
  <si>
    <r>
      <t>PROP</t>
    </r>
    <r>
      <rPr>
        <vertAlign val="subscript"/>
        <sz val="11"/>
        <color theme="1"/>
        <rFont val="Calibri"/>
        <family val="2"/>
        <scheme val="minor"/>
      </rPr>
      <t>LB</t>
    </r>
  </si>
  <si>
    <t>Area of forest available for unplanned deforestation as a proportion of the total national forest area available for unplanned deforestation</t>
  </si>
  <si>
    <r>
      <t>C</t>
    </r>
    <r>
      <rPr>
        <vertAlign val="subscript"/>
        <sz val="11"/>
        <color theme="1"/>
        <rFont val="Calibri"/>
        <family val="2"/>
        <scheme val="minor"/>
      </rPr>
      <t>OLB</t>
    </r>
    <r>
      <rPr>
        <sz val="11"/>
        <color theme="1"/>
        <rFont val="Calibri"/>
        <family val="2"/>
        <scheme val="minor"/>
      </rPr>
      <t xml:space="preserve"> </t>
    </r>
  </si>
  <si>
    <t xml:space="preserve">Stock outside the Leakage Belt </t>
  </si>
  <si>
    <r>
      <t>tCO</t>
    </r>
    <r>
      <rPr>
        <vertAlign val="subscript"/>
        <sz val="11"/>
        <color theme="1"/>
        <rFont val="Calibri"/>
        <family val="2"/>
        <scheme val="minor"/>
      </rPr>
      <t>2</t>
    </r>
    <r>
      <rPr>
        <sz val="11"/>
        <color theme="1"/>
        <rFont val="Calibri"/>
        <family val="2"/>
        <scheme val="minor"/>
      </rPr>
      <t>-e ha</t>
    </r>
    <r>
      <rPr>
        <vertAlign val="superscript"/>
        <sz val="11"/>
        <color theme="1"/>
        <rFont val="Calibri"/>
        <family val="2"/>
        <scheme val="minor"/>
      </rPr>
      <t>-1</t>
    </r>
  </si>
  <si>
    <r>
      <t>2007_Distribution of aboveground live biomass in the Amazon (157.66.tC ha</t>
    </r>
    <r>
      <rPr>
        <vertAlign val="superscript"/>
        <sz val="11"/>
        <color theme="1"/>
        <rFont val="Calibri"/>
        <family val="2"/>
        <scheme val="minor"/>
      </rPr>
      <t>-1</t>
    </r>
    <r>
      <rPr>
        <sz val="11"/>
        <color theme="1"/>
        <rFont val="Calibri"/>
        <family val="2"/>
        <scheme val="minor"/>
      </rPr>
      <t>)</t>
    </r>
  </si>
  <si>
    <r>
      <t>C</t>
    </r>
    <r>
      <rPr>
        <vertAlign val="subscript"/>
        <sz val="11"/>
        <color theme="1"/>
        <rFont val="Calibri"/>
        <family val="2"/>
        <scheme val="minor"/>
      </rPr>
      <t>LB</t>
    </r>
  </si>
  <si>
    <t>Average carbon stock across the Leakage Belt above</t>
  </si>
  <si>
    <r>
      <t>PROP</t>
    </r>
    <r>
      <rPr>
        <vertAlign val="subscript"/>
        <sz val="11"/>
        <color theme="1"/>
        <rFont val="Calibri"/>
        <family val="2"/>
        <scheme val="minor"/>
      </rPr>
      <t>CS</t>
    </r>
  </si>
  <si>
    <t>Proportional difference in carbon stocks between areas of forest available for
unplanned deforestation both inside and outside the Leakage Belt</t>
  </si>
  <si>
    <r>
      <t>LK</t>
    </r>
    <r>
      <rPr>
        <vertAlign val="subscript"/>
        <sz val="11"/>
        <color theme="1"/>
        <rFont val="Calibri"/>
        <family val="2"/>
        <scheme val="minor"/>
      </rPr>
      <t>PROP</t>
    </r>
  </si>
  <si>
    <t>Proportional Leakage for Areas with Immigrating Populations.</t>
  </si>
  <si>
    <t>Calculation  - baseline GHG emission</t>
  </si>
  <si>
    <t>PD-Value</t>
  </si>
  <si>
    <r>
      <t>COMF</t>
    </r>
    <r>
      <rPr>
        <vertAlign val="subscript"/>
        <sz val="11"/>
        <color theme="1"/>
        <rFont val="Calibri"/>
        <family val="2"/>
        <scheme val="minor"/>
      </rPr>
      <t>i</t>
    </r>
  </si>
  <si>
    <t>Combustion factor for stratum i (default value derived from Table 2.6 of IPCC, 2006)</t>
  </si>
  <si>
    <t>2006_Chapter2_IPCC Guidelines for National Greenhouse Gas Inventories (Table 2.6, page 2.55)</t>
  </si>
  <si>
    <r>
      <t>Gg,</t>
    </r>
    <r>
      <rPr>
        <vertAlign val="subscript"/>
        <sz val="11"/>
        <color theme="1"/>
        <rFont val="Calibri"/>
        <family val="2"/>
        <scheme val="minor"/>
      </rPr>
      <t>CH4</t>
    </r>
  </si>
  <si>
    <r>
      <t>Emission factor for stratum i for gas g (default values derived from Table 2.5 of IPCC, 2006) - “Tropical forest”: For CH</t>
    </r>
    <r>
      <rPr>
        <vertAlign val="subscript"/>
        <sz val="11"/>
        <color theme="1"/>
        <rFont val="Calibri"/>
        <family val="2"/>
        <scheme val="minor"/>
      </rPr>
      <t>4</t>
    </r>
    <r>
      <rPr>
        <sz val="11"/>
        <color theme="1"/>
        <rFont val="Calibri"/>
        <family val="2"/>
        <scheme val="minor"/>
      </rPr>
      <t xml:space="preserve"> from 6.8 to 2 = 4.8 </t>
    </r>
    <r>
      <rPr>
        <b/>
        <sz val="11"/>
        <color theme="1"/>
        <rFont val="Calibri"/>
        <family val="2"/>
        <scheme val="minor"/>
      </rPr>
      <t>g kg</t>
    </r>
    <r>
      <rPr>
        <b/>
        <vertAlign val="superscript"/>
        <sz val="11"/>
        <color theme="1"/>
        <rFont val="Calibri"/>
        <family val="2"/>
        <scheme val="minor"/>
      </rPr>
      <t>-1</t>
    </r>
    <r>
      <rPr>
        <b/>
        <sz val="11"/>
        <color theme="1"/>
        <rFont val="Calibri"/>
        <family val="2"/>
        <scheme val="minor"/>
      </rPr>
      <t xml:space="preserve"> </t>
    </r>
    <r>
      <rPr>
        <sz val="11"/>
        <color theme="1"/>
        <rFont val="Calibri"/>
        <family val="2"/>
        <scheme val="minor"/>
      </rPr>
      <t>dry matter burnt (conservative); For N</t>
    </r>
    <r>
      <rPr>
        <vertAlign val="subscript"/>
        <sz val="11"/>
        <color theme="1"/>
        <rFont val="Calibri"/>
        <family val="2"/>
        <scheme val="minor"/>
      </rPr>
      <t>2</t>
    </r>
    <r>
      <rPr>
        <sz val="11"/>
        <color theme="1"/>
        <rFont val="Calibri"/>
        <family val="2"/>
        <scheme val="minor"/>
      </rPr>
      <t xml:space="preserve">O: 0.20 </t>
    </r>
    <r>
      <rPr>
        <b/>
        <sz val="11"/>
        <color theme="1"/>
        <rFont val="Calibri"/>
        <family val="2"/>
        <scheme val="minor"/>
      </rPr>
      <t>g kg</t>
    </r>
    <r>
      <rPr>
        <b/>
        <vertAlign val="superscript"/>
        <sz val="11"/>
        <color theme="1"/>
        <rFont val="Calibri"/>
        <family val="2"/>
        <scheme val="minor"/>
      </rPr>
      <t>-1</t>
    </r>
    <r>
      <rPr>
        <sz val="11"/>
        <color theme="1"/>
        <rFont val="Calibri"/>
        <family val="2"/>
        <scheme val="minor"/>
      </rPr>
      <t xml:space="preserve"> dry matter burnt (unique value proposed).</t>
    </r>
  </si>
  <si>
    <r>
      <t>kg t</t>
    </r>
    <r>
      <rPr>
        <vertAlign val="superscript"/>
        <sz val="11"/>
        <color theme="1"/>
        <rFont val="Calibri"/>
        <family val="2"/>
        <scheme val="minor"/>
      </rPr>
      <t>-1</t>
    </r>
  </si>
  <si>
    <t>2006_Chapter2_IPCC Guidelines for National Greenhouse Gas Inventories (Table 2.5, page 2.54)</t>
  </si>
  <si>
    <r>
      <t>Gg,</t>
    </r>
    <r>
      <rPr>
        <vertAlign val="subscript"/>
        <sz val="11"/>
        <color theme="1"/>
        <rFont val="Calibri"/>
        <family val="2"/>
        <scheme val="minor"/>
      </rPr>
      <t>N2O</t>
    </r>
  </si>
  <si>
    <r>
      <t>GWP</t>
    </r>
    <r>
      <rPr>
        <vertAlign val="subscript"/>
        <sz val="11"/>
        <color theme="1"/>
        <rFont val="Calibri"/>
        <family val="2"/>
        <scheme val="minor"/>
      </rPr>
      <t>g,CH4</t>
    </r>
  </si>
  <si>
    <r>
      <t>Global warming potential for gas g; t CO2/t gas g (default values from IPCC SAR: CO</t>
    </r>
    <r>
      <rPr>
        <vertAlign val="subscript"/>
        <sz val="11"/>
        <color theme="1"/>
        <rFont val="Calibri"/>
        <family val="2"/>
        <scheme val="minor"/>
      </rPr>
      <t>2</t>
    </r>
    <r>
      <rPr>
        <sz val="11"/>
        <color theme="1"/>
        <rFont val="Calibri"/>
        <family val="2"/>
        <scheme val="minor"/>
      </rPr>
      <t xml:space="preserve"> = 1; CH</t>
    </r>
    <r>
      <rPr>
        <vertAlign val="subscript"/>
        <sz val="11"/>
        <color theme="1"/>
        <rFont val="Calibri"/>
        <family val="2"/>
        <scheme val="minor"/>
      </rPr>
      <t>4</t>
    </r>
    <r>
      <rPr>
        <sz val="11"/>
        <color theme="1"/>
        <rFont val="Calibri"/>
        <family val="2"/>
        <scheme val="minor"/>
      </rPr>
      <t xml:space="preserve"> = 21; N</t>
    </r>
    <r>
      <rPr>
        <vertAlign val="subscript"/>
        <sz val="11"/>
        <color theme="1"/>
        <rFont val="Calibri"/>
        <family val="2"/>
        <scheme val="minor"/>
      </rPr>
      <t>2</t>
    </r>
    <r>
      <rPr>
        <sz val="11"/>
        <color theme="1"/>
        <rFont val="Calibri"/>
        <family val="2"/>
        <scheme val="minor"/>
      </rPr>
      <t>O = 310)</t>
    </r>
  </si>
  <si>
    <r>
      <t>tCO</t>
    </r>
    <r>
      <rPr>
        <vertAlign val="subscript"/>
        <sz val="11"/>
        <color theme="1"/>
        <rFont val="Calibri"/>
        <family val="2"/>
        <scheme val="minor"/>
      </rPr>
      <t>2</t>
    </r>
    <r>
      <rPr>
        <sz val="11"/>
        <color theme="1"/>
        <rFont val="Calibri"/>
        <family val="2"/>
        <scheme val="minor"/>
      </rPr>
      <t xml:space="preserve"> t</t>
    </r>
    <r>
      <rPr>
        <vertAlign val="subscript"/>
        <sz val="11"/>
        <color theme="1"/>
        <rFont val="Calibri"/>
        <family val="2"/>
        <scheme val="minor"/>
      </rPr>
      <t>gas</t>
    </r>
    <r>
      <rPr>
        <vertAlign val="superscript"/>
        <sz val="11"/>
        <color theme="1"/>
        <rFont val="Calibri"/>
        <family val="2"/>
        <scheme val="minor"/>
      </rPr>
      <t>-1</t>
    </r>
  </si>
  <si>
    <t>2014_AR5_IPCC (Box 3.2, Table 1, page 87); 2014_Global Warming Potential Values</t>
  </si>
  <si>
    <r>
      <t>GWP</t>
    </r>
    <r>
      <rPr>
        <vertAlign val="subscript"/>
        <sz val="11"/>
        <color theme="1"/>
        <rFont val="Calibri"/>
        <family val="2"/>
        <scheme val="minor"/>
      </rPr>
      <t>g,N2O</t>
    </r>
  </si>
  <si>
    <t>Convertion</t>
  </si>
  <si>
    <t>tonnes to kg</t>
  </si>
  <si>
    <t>%_LK</t>
  </si>
  <si>
    <t>If no leakage prevention activities are planned the factor must be equal to 1.</t>
  </si>
  <si>
    <t>PR_VCS_V3_the Leakage Belt in the baseline and in the project case, a 10% factor was considered (i.e. ∆CP,LB was considered to be 10% higher than ∆CBSL,LK,unplanned)</t>
  </si>
  <si>
    <t>Calculation  - Project emissions reductions</t>
  </si>
  <si>
    <r>
      <t>Average</t>
    </r>
    <r>
      <rPr>
        <vertAlign val="subscript"/>
        <sz val="11"/>
        <rFont val="Calibri"/>
        <family val="2"/>
        <scheme val="minor"/>
      </rPr>
      <t>Trail Lengh</t>
    </r>
  </si>
  <si>
    <t>Average lengh of trail</t>
  </si>
  <si>
    <t>m</t>
  </si>
  <si>
    <t>Annex: Trail Lengh E-mail confirmation.pdf</t>
  </si>
  <si>
    <r>
      <t>Number</t>
    </r>
    <r>
      <rPr>
        <vertAlign val="subscript"/>
        <sz val="11"/>
        <rFont val="Calibri"/>
        <family val="2"/>
        <scheme val="minor"/>
      </rPr>
      <t>Trail Lengh</t>
    </r>
  </si>
  <si>
    <t>Number of trails per deck</t>
  </si>
  <si>
    <t>SK</t>
  </si>
  <si>
    <t>Skid factor</t>
  </si>
  <si>
    <r>
      <t>tCO</t>
    </r>
    <r>
      <rPr>
        <vertAlign val="subscript"/>
        <sz val="11"/>
        <rFont val="Calibri"/>
        <family val="2"/>
        <scheme val="minor"/>
      </rPr>
      <t>2-e</t>
    </r>
    <r>
      <rPr>
        <sz val="11"/>
        <rFont val="Calibri"/>
        <family val="2"/>
        <scheme val="minor"/>
      </rPr>
      <t xml:space="preserve"> m</t>
    </r>
    <r>
      <rPr>
        <vertAlign val="superscript"/>
        <sz val="11"/>
        <rFont val="Calibri"/>
        <family val="2"/>
        <scheme val="minor"/>
      </rPr>
      <t>-1</t>
    </r>
  </si>
  <si>
    <t>MWE</t>
  </si>
  <si>
    <t>Merchantable wood in explonation</t>
  </si>
  <si>
    <r>
      <t>m</t>
    </r>
    <r>
      <rPr>
        <vertAlign val="superscript"/>
        <sz val="11"/>
        <rFont val="Calibri"/>
        <family val="2"/>
        <scheme val="minor"/>
      </rPr>
      <t>3</t>
    </r>
    <r>
      <rPr>
        <sz val="11"/>
        <rFont val="Calibri"/>
        <family val="2"/>
        <scheme val="minor"/>
      </rPr>
      <t xml:space="preserve"> ha</t>
    </r>
    <r>
      <rPr>
        <vertAlign val="superscript"/>
        <sz val="11"/>
        <rFont val="Calibri"/>
        <family val="2"/>
        <scheme val="minor"/>
      </rPr>
      <t>-1</t>
    </r>
  </si>
  <si>
    <t>2001_Impacto da exploração de madeira; 1992_ Logging impacts and prospects for sustainable forest management in an old Amazonian frontier</t>
  </si>
  <si>
    <r>
      <t>WW</t>
    </r>
    <r>
      <rPr>
        <vertAlign val="subscript"/>
        <sz val="11"/>
        <color theme="1"/>
        <rFont val="Calibri"/>
        <family val="2"/>
        <scheme val="minor"/>
      </rPr>
      <t>ty</t>
    </r>
  </si>
  <si>
    <t>Wood waste. The fraction immediately emitted through mill inefficiency by class of wood product</t>
  </si>
  <si>
    <t>1998_forestscience0272 (CommodityWoodand Waste, page 278); 2012_TMT-PA-007-11-R1-I-Report</t>
  </si>
  <si>
    <r>
      <t>SLF</t>
    </r>
    <r>
      <rPr>
        <vertAlign val="subscript"/>
        <sz val="11"/>
        <color theme="1"/>
        <rFont val="Calibri"/>
        <family val="2"/>
        <scheme val="minor"/>
      </rPr>
      <t>ty</t>
    </r>
  </si>
  <si>
    <t xml:space="preserve">Fraction of wood products that will be emitted to the atmosphere within 5 years of timber harvest </t>
  </si>
  <si>
    <t>1998_forestscience0272 (Step3. CommodityWood, page 276); 2012_TMT-PA-007-11-R1-I-Report</t>
  </si>
  <si>
    <r>
      <t>OF</t>
    </r>
    <r>
      <rPr>
        <vertAlign val="subscript"/>
        <sz val="11"/>
        <color theme="1"/>
        <rFont val="Calibri"/>
        <family val="2"/>
        <scheme val="minor"/>
      </rPr>
      <t>ty</t>
    </r>
  </si>
  <si>
    <t>Fraction of wood products that will be emitted to the atmosphere between 5 and 100 years of timber harvest</t>
  </si>
  <si>
    <r>
      <t>V</t>
    </r>
    <r>
      <rPr>
        <vertAlign val="subscript"/>
        <sz val="11"/>
        <color theme="1"/>
        <rFont val="Calibri"/>
        <family val="2"/>
        <scheme val="minor"/>
      </rPr>
      <t>BSL</t>
    </r>
  </si>
  <si>
    <t>Volume of timber projected to be extracted from within the project during baseline</t>
  </si>
  <si>
    <r>
      <t>W</t>
    </r>
    <r>
      <rPr>
        <vertAlign val="subscript"/>
        <sz val="11"/>
        <rFont val="Calibri"/>
        <family val="2"/>
        <scheme val="minor"/>
      </rPr>
      <t>SKID</t>
    </r>
  </si>
  <si>
    <t>Mean width of skid trails in stratum i</t>
  </si>
  <si>
    <t>Skidder Width</t>
  </si>
  <si>
    <t>Skidder (2.6 m) times 140% was used</t>
  </si>
  <si>
    <r>
      <t>C</t>
    </r>
    <r>
      <rPr>
        <vertAlign val="subscript"/>
        <sz val="11"/>
        <rFont val="Calibri"/>
        <family val="2"/>
        <scheme val="minor"/>
      </rPr>
      <t>dest,i</t>
    </r>
  </si>
  <si>
    <t>Mean live carbon stock of trees and non-tree biomass assumed to be killed per unit area in creation of skid trail in stratum i</t>
  </si>
  <si>
    <r>
      <t>∆C</t>
    </r>
    <r>
      <rPr>
        <vertAlign val="subscript"/>
        <sz val="11"/>
        <rFont val="Calibri"/>
        <family val="2"/>
        <scheme val="minor"/>
      </rPr>
      <t>SOC_sk,i</t>
    </r>
  </si>
  <si>
    <t>Soil carbon emission</t>
  </si>
  <si>
    <t>Conservative</t>
  </si>
  <si>
    <t xml:space="preserve"> Annual baseline deforestation per stratum (ha) </t>
  </si>
  <si>
    <t>Years</t>
  </si>
  <si>
    <t>TOTAL</t>
  </si>
  <si>
    <t>Note:</t>
  </si>
  <si>
    <t xml:space="preserve">Project Area without UPA's: Like in 2019, 2020, and 2021 the FSM project didn't have FSC (Forest Stewardship Council) certification. The areas contemplated by the Annual Production Unit (Unidade de Produção Anual - UPA) for the specificity year did not consider in the calculation. However, from May 25th, 2022, the FSC certification was recovered. The values of 2022 are just a projection based on management in recent years. Hence, the baseline deforestation per stratum in (i) 2019, 2020, and 2021 contemplate the project area without UPA area for the corresponding year, and (ii) 2022, 2023, and 2024 contemplate the project area because the projection of management emissions was considered for these years. </t>
  </si>
  <si>
    <t>Project Area without UPA's</t>
  </si>
  <si>
    <t>Aluvial</t>
  </si>
  <si>
    <t>Encosta</t>
  </si>
  <si>
    <t>FOB Densa Submontana</t>
  </si>
  <si>
    <t>FOB Submontana</t>
  </si>
  <si>
    <r>
      <t>A</t>
    </r>
    <r>
      <rPr>
        <b/>
        <vertAlign val="subscript"/>
        <sz val="11"/>
        <color theme="1"/>
        <rFont val="Calibri"/>
        <family val="2"/>
        <scheme val="minor"/>
      </rPr>
      <t>BSLPAt annual</t>
    </r>
  </si>
  <si>
    <r>
      <t>A</t>
    </r>
    <r>
      <rPr>
        <b/>
        <vertAlign val="subscript"/>
        <sz val="11"/>
        <color theme="1"/>
        <rFont val="Calibri"/>
        <family val="2"/>
        <scheme val="minor"/>
      </rPr>
      <t>BSLPA cumulative</t>
    </r>
  </si>
  <si>
    <t>Project Area</t>
  </si>
  <si>
    <t>FOB Submontana Cipó</t>
  </si>
  <si>
    <t>Project area_observed</t>
  </si>
  <si>
    <r>
      <t>A</t>
    </r>
    <r>
      <rPr>
        <b/>
        <vertAlign val="subscript"/>
        <sz val="11"/>
        <color theme="1"/>
        <rFont val="Calibri"/>
        <family val="2"/>
        <scheme val="minor"/>
      </rPr>
      <t>burnPA,i,t</t>
    </r>
    <r>
      <rPr>
        <b/>
        <sz val="11"/>
        <color theme="1"/>
        <rFont val="Calibri"/>
        <family val="2"/>
        <scheme val="minor"/>
      </rPr>
      <t xml:space="preserve"> </t>
    </r>
  </si>
  <si>
    <r>
      <t>A</t>
    </r>
    <r>
      <rPr>
        <b/>
        <vertAlign val="subscript"/>
        <sz val="11"/>
        <color theme="1"/>
        <rFont val="Calibri"/>
        <family val="2"/>
        <scheme val="minor"/>
      </rPr>
      <t>BurnPA,i,t cumulative</t>
    </r>
  </si>
  <si>
    <r>
      <t>A</t>
    </r>
    <r>
      <rPr>
        <b/>
        <vertAlign val="subscript"/>
        <sz val="11"/>
        <color theme="1"/>
        <rFont val="Calibri"/>
        <family val="2"/>
        <scheme val="minor"/>
      </rPr>
      <t>DelfPA,i,t</t>
    </r>
    <r>
      <rPr>
        <b/>
        <sz val="11"/>
        <color theme="1"/>
        <rFont val="Calibri"/>
        <family val="2"/>
        <scheme val="minor"/>
      </rPr>
      <t xml:space="preserve"> </t>
    </r>
  </si>
  <si>
    <r>
      <t>A</t>
    </r>
    <r>
      <rPr>
        <b/>
        <vertAlign val="subscript"/>
        <sz val="11"/>
        <color theme="1"/>
        <rFont val="Calibri"/>
        <family val="2"/>
        <scheme val="minor"/>
      </rPr>
      <t>DelfPA,i,t cumulative</t>
    </r>
  </si>
  <si>
    <t>Leakage Belt_projected</t>
  </si>
  <si>
    <t>(Fe)Floresta Ombrofila Densa Submontana</t>
  </si>
  <si>
    <t>(Fo)Floresta Ombrofila Aberta Submontana</t>
  </si>
  <si>
    <t>(FoFe) Contato</t>
  </si>
  <si>
    <r>
      <t>A</t>
    </r>
    <r>
      <rPr>
        <b/>
        <vertAlign val="subscript"/>
        <sz val="11"/>
        <color theme="1"/>
        <rFont val="Calibri"/>
        <family val="2"/>
        <scheme val="minor"/>
      </rPr>
      <t>BSLLBt annual</t>
    </r>
  </si>
  <si>
    <r>
      <t>A</t>
    </r>
    <r>
      <rPr>
        <b/>
        <vertAlign val="subscript"/>
        <sz val="11"/>
        <color theme="1"/>
        <rFont val="Calibri"/>
        <family val="2"/>
        <scheme val="minor"/>
      </rPr>
      <t>BSLLB cumulative</t>
    </r>
  </si>
  <si>
    <t>Leakage Belt_observed</t>
  </si>
  <si>
    <r>
      <t>A</t>
    </r>
    <r>
      <rPr>
        <b/>
        <vertAlign val="subscript"/>
        <sz val="11"/>
        <color theme="1"/>
        <rFont val="Calibri"/>
        <family val="2"/>
        <scheme val="minor"/>
      </rPr>
      <t>burnLK,i,t</t>
    </r>
    <r>
      <rPr>
        <b/>
        <sz val="11"/>
        <color theme="1"/>
        <rFont val="Calibri"/>
        <family val="2"/>
        <scheme val="minor"/>
      </rPr>
      <t xml:space="preserve"> </t>
    </r>
  </si>
  <si>
    <r>
      <t>A</t>
    </r>
    <r>
      <rPr>
        <b/>
        <vertAlign val="subscript"/>
        <sz val="11"/>
        <color theme="1"/>
        <rFont val="Calibri"/>
        <family val="2"/>
        <scheme val="minor"/>
      </rPr>
      <t>BurnLK,i,t cumulative</t>
    </r>
  </si>
  <si>
    <r>
      <t>A</t>
    </r>
    <r>
      <rPr>
        <b/>
        <vertAlign val="subscript"/>
        <sz val="11"/>
        <color theme="1"/>
        <rFont val="Calibri"/>
        <family val="2"/>
        <scheme val="minor"/>
      </rPr>
      <t>DelfLB,i,t</t>
    </r>
  </si>
  <si>
    <r>
      <t>A</t>
    </r>
    <r>
      <rPr>
        <b/>
        <vertAlign val="subscript"/>
        <sz val="11"/>
        <color theme="1"/>
        <rFont val="Calibri"/>
        <family val="2"/>
        <scheme val="minor"/>
      </rPr>
      <t>DelfLB,i,t cumulative</t>
    </r>
  </si>
  <si>
    <t>Update of the second baseline biomass inventory - Survey carried out by the company Brcarbon</t>
  </si>
  <si>
    <t>Stratum - Total</t>
  </si>
  <si>
    <r>
      <t>t* 0.25 ha</t>
    </r>
    <r>
      <rPr>
        <b/>
        <vertAlign val="superscript"/>
        <sz val="11"/>
        <color theme="1"/>
        <rFont val="Calibri"/>
        <family val="2"/>
        <scheme val="minor"/>
      </rPr>
      <t>-1</t>
    </r>
  </si>
  <si>
    <r>
      <t>t ha</t>
    </r>
    <r>
      <rPr>
        <b/>
        <vertAlign val="superscript"/>
        <sz val="11"/>
        <color theme="1"/>
        <rFont val="Calibri"/>
        <family val="2"/>
        <scheme val="minor"/>
      </rPr>
      <t>-1</t>
    </r>
  </si>
  <si>
    <r>
      <t>tCO</t>
    </r>
    <r>
      <rPr>
        <b/>
        <vertAlign val="subscript"/>
        <sz val="11"/>
        <color theme="1"/>
        <rFont val="Calibri"/>
        <family val="2"/>
        <scheme val="minor"/>
      </rPr>
      <t>2</t>
    </r>
    <r>
      <rPr>
        <b/>
        <sz val="11"/>
        <color theme="1"/>
        <rFont val="Calibri"/>
        <family val="2"/>
        <scheme val="minor"/>
      </rPr>
      <t xml:space="preserve"> ha</t>
    </r>
    <r>
      <rPr>
        <b/>
        <vertAlign val="superscript"/>
        <sz val="11"/>
        <color theme="1"/>
        <rFont val="Calibri"/>
        <family val="2"/>
        <scheme val="minor"/>
      </rPr>
      <t>-1</t>
    </r>
  </si>
  <si>
    <t xml:space="preserve"> t.0.25ha</t>
  </si>
  <si>
    <t>Annex: SOP - Standard Operating Procedure.pdf</t>
  </si>
  <si>
    <t>Stratum - DBH 40</t>
  </si>
  <si>
    <r>
      <t>Biomass volume estimation (m</t>
    </r>
    <r>
      <rPr>
        <b/>
        <vertAlign val="superscript"/>
        <sz val="11"/>
        <color theme="0"/>
        <rFont val="Calibri"/>
        <family val="2"/>
        <scheme val="minor"/>
      </rPr>
      <t>3</t>
    </r>
    <r>
      <rPr>
        <b/>
        <sz val="11"/>
        <color theme="0"/>
        <rFont val="Calibri"/>
        <family val="2"/>
        <scheme val="minor"/>
      </rPr>
      <t>)</t>
    </r>
  </si>
  <si>
    <t>VMD0005-CP-W-v1.1</t>
  </si>
  <si>
    <t>Stratum</t>
  </si>
  <si>
    <t>FOB submontana</t>
  </si>
  <si>
    <t xml:space="preserve">Aboveground (total) </t>
  </si>
  <si>
    <r>
      <t>t ha</t>
    </r>
    <r>
      <rPr>
        <vertAlign val="superscript"/>
        <sz val="11"/>
        <color theme="1"/>
        <rFont val="Calibri"/>
        <family val="2"/>
        <scheme val="minor"/>
      </rPr>
      <t>-1</t>
    </r>
  </si>
  <si>
    <t>Stratum area</t>
  </si>
  <si>
    <t>Belowground (total)</t>
  </si>
  <si>
    <t>Area distribution</t>
  </si>
  <si>
    <t>Aboveground (total)</t>
  </si>
  <si>
    <r>
      <t>tCO</t>
    </r>
    <r>
      <rPr>
        <vertAlign val="subscript"/>
        <sz val="11"/>
        <color theme="1"/>
        <rFont val="Calibri"/>
        <family val="2"/>
        <scheme val="minor"/>
      </rPr>
      <t>2-e</t>
    </r>
    <r>
      <rPr>
        <sz val="11"/>
        <color theme="1"/>
        <rFont val="Calibri"/>
        <family val="2"/>
        <scheme val="minor"/>
      </rPr>
      <t xml:space="preserve"> ha</t>
    </r>
    <r>
      <rPr>
        <vertAlign val="superscript"/>
        <sz val="11"/>
        <color theme="1"/>
        <rFont val="Calibri"/>
        <family val="2"/>
        <scheme val="minor"/>
      </rPr>
      <t>-1</t>
    </r>
  </si>
  <si>
    <t>Total ABG per stratum</t>
  </si>
  <si>
    <t xml:space="preserve">Belowground (total) </t>
  </si>
  <si>
    <t>Total BLG per stratum</t>
  </si>
  <si>
    <t>Total Carbon Stock</t>
  </si>
  <si>
    <r>
      <t>tCO</t>
    </r>
    <r>
      <rPr>
        <b/>
        <vertAlign val="subscript"/>
        <sz val="11"/>
        <color theme="1"/>
        <rFont val="Calibri"/>
        <family val="2"/>
        <scheme val="minor"/>
      </rPr>
      <t>2-e</t>
    </r>
    <r>
      <rPr>
        <b/>
        <sz val="11"/>
        <color theme="1"/>
        <rFont val="Calibri"/>
        <family val="2"/>
        <scheme val="minor"/>
      </rPr>
      <t xml:space="preserve"> ha</t>
    </r>
    <r>
      <rPr>
        <b/>
        <vertAlign val="superscript"/>
        <sz val="11"/>
        <color theme="1"/>
        <rFont val="Calibri"/>
        <family val="2"/>
        <scheme val="minor"/>
      </rPr>
      <t>-1</t>
    </r>
  </si>
  <si>
    <t xml:space="preserve">Carbon Pool_Aboveground per stratum </t>
  </si>
  <si>
    <r>
      <t>tCO</t>
    </r>
    <r>
      <rPr>
        <vertAlign val="subscript"/>
        <sz val="11"/>
        <color theme="1"/>
        <rFont val="Calibri"/>
        <family val="2"/>
        <scheme val="minor"/>
      </rPr>
      <t>2-e</t>
    </r>
  </si>
  <si>
    <t>Carbon Pool_Belowground per stratum</t>
  </si>
  <si>
    <r>
      <t>C</t>
    </r>
    <r>
      <rPr>
        <b/>
        <vertAlign val="subscript"/>
        <sz val="11"/>
        <color theme="1"/>
        <rFont val="Calibri"/>
        <family val="2"/>
        <scheme val="minor"/>
      </rPr>
      <t>ABtree,i</t>
    </r>
  </si>
  <si>
    <r>
      <t>C</t>
    </r>
    <r>
      <rPr>
        <b/>
        <vertAlign val="subscript"/>
        <sz val="11"/>
        <color theme="1"/>
        <rFont val="Calibri"/>
        <family val="2"/>
        <scheme val="minor"/>
      </rPr>
      <t>BBtree,i</t>
    </r>
  </si>
  <si>
    <t>Project management area</t>
  </si>
  <si>
    <r>
      <t>C</t>
    </r>
    <r>
      <rPr>
        <b/>
        <vertAlign val="subscript"/>
        <sz val="11"/>
        <color theme="1"/>
        <rFont val="Calibri"/>
        <family val="2"/>
        <scheme val="minor"/>
      </rPr>
      <t>BSL,i</t>
    </r>
  </si>
  <si>
    <r>
      <t>C</t>
    </r>
    <r>
      <rPr>
        <b/>
        <vertAlign val="subscript"/>
        <sz val="11"/>
        <color theme="1"/>
        <rFont val="Calibri"/>
        <family val="2"/>
        <scheme val="minor"/>
      </rPr>
      <t>DW,i</t>
    </r>
  </si>
  <si>
    <t xml:space="preserve">Aboveground biomass weighted average </t>
  </si>
  <si>
    <r>
      <t>P</t>
    </r>
    <r>
      <rPr>
        <b/>
        <vertAlign val="subscript"/>
        <sz val="11"/>
        <color theme="1"/>
        <rFont val="Calibri"/>
        <family val="2"/>
        <scheme val="minor"/>
      </rPr>
      <t>com</t>
    </r>
  </si>
  <si>
    <r>
      <t>m</t>
    </r>
    <r>
      <rPr>
        <vertAlign val="superscript"/>
        <sz val="11"/>
        <color theme="1"/>
        <rFont val="Calibri"/>
        <family val="2"/>
        <scheme val="minor"/>
      </rPr>
      <t>3</t>
    </r>
    <r>
      <rPr>
        <sz val="11"/>
        <color theme="1"/>
        <rFont val="Calibri"/>
        <family val="2"/>
        <scheme val="minor"/>
      </rPr>
      <t xml:space="preserve"> tCO</t>
    </r>
    <r>
      <rPr>
        <vertAlign val="subscript"/>
        <sz val="11"/>
        <color theme="1"/>
        <rFont val="Calibri"/>
        <family val="2"/>
        <scheme val="minor"/>
      </rPr>
      <t>2-e</t>
    </r>
    <r>
      <rPr>
        <vertAlign val="superscript"/>
        <sz val="11"/>
        <color theme="1"/>
        <rFont val="Calibri"/>
        <family val="2"/>
        <scheme val="minor"/>
      </rPr>
      <t>-1</t>
    </r>
  </si>
  <si>
    <t xml:space="preserve">Total biomass weighted average </t>
  </si>
  <si>
    <r>
      <t>C</t>
    </r>
    <r>
      <rPr>
        <b/>
        <vertAlign val="subscript"/>
        <sz val="11"/>
        <color theme="1"/>
        <rFont val="Calibri"/>
        <family val="2"/>
        <scheme val="minor"/>
      </rPr>
      <t>XB</t>
    </r>
  </si>
  <si>
    <r>
      <t>C</t>
    </r>
    <r>
      <rPr>
        <b/>
        <vertAlign val="subscript"/>
        <sz val="11"/>
        <color theme="1"/>
        <rFont val="Calibri"/>
        <family val="2"/>
        <scheme val="minor"/>
      </rPr>
      <t>WP</t>
    </r>
  </si>
  <si>
    <r>
      <t>C</t>
    </r>
    <r>
      <rPr>
        <b/>
        <vertAlign val="subscript"/>
        <sz val="11"/>
        <color theme="1"/>
        <rFont val="Calibri"/>
        <family val="2"/>
        <scheme val="minor"/>
      </rPr>
      <t>WP</t>
    </r>
    <r>
      <rPr>
        <b/>
        <sz val="11"/>
        <color theme="1"/>
        <rFont val="Calibri"/>
        <family val="2"/>
        <scheme val="minor"/>
      </rPr>
      <t xml:space="preserve"> </t>
    </r>
    <r>
      <rPr>
        <b/>
        <vertAlign val="subscript"/>
        <sz val="11"/>
        <color theme="1"/>
        <rFont val="Calibri"/>
        <family val="2"/>
        <scheme val="minor"/>
      </rPr>
      <t>AVERAGE</t>
    </r>
  </si>
  <si>
    <t>First Forest Inventory (2010)</t>
  </si>
  <si>
    <t>Second Forest Inventory (2022)</t>
  </si>
  <si>
    <t>Aboveground</t>
  </si>
  <si>
    <t>Belowgorund</t>
  </si>
  <si>
    <t>t/ha</t>
  </si>
  <si>
    <t>Annual baseline deforestation for the project area per stratum (ha)</t>
  </si>
  <si>
    <t>Year</t>
  </si>
  <si>
    <t>Area</t>
  </si>
  <si>
    <r>
      <t>A</t>
    </r>
    <r>
      <rPr>
        <b/>
        <vertAlign val="subscript"/>
        <sz val="11"/>
        <color theme="1"/>
        <rFont val="Arial"/>
        <family val="2"/>
      </rPr>
      <t>BSLPAcumulative</t>
    </r>
  </si>
  <si>
    <r>
      <t>tCO</t>
    </r>
    <r>
      <rPr>
        <b/>
        <vertAlign val="subscript"/>
        <sz val="8"/>
        <color theme="1"/>
        <rFont val="Arial"/>
        <family val="2"/>
      </rPr>
      <t>2</t>
    </r>
    <r>
      <rPr>
        <b/>
        <sz val="8"/>
        <color theme="1"/>
        <rFont val="Arial"/>
        <family val="2"/>
      </rPr>
      <t>-e ha</t>
    </r>
    <r>
      <rPr>
        <b/>
        <vertAlign val="superscript"/>
        <sz val="8"/>
        <color theme="1"/>
        <rFont val="Arial"/>
        <family val="2"/>
      </rPr>
      <t>-1</t>
    </r>
    <r>
      <rPr>
        <b/>
        <sz val="8"/>
        <color theme="1"/>
        <rFont val="Arial"/>
        <family val="2"/>
      </rPr>
      <t xml:space="preserve"> year</t>
    </r>
    <r>
      <rPr>
        <b/>
        <vertAlign val="superscript"/>
        <sz val="8"/>
        <color theme="1"/>
        <rFont val="Arial"/>
        <family val="2"/>
      </rPr>
      <t>-1</t>
    </r>
  </si>
  <si>
    <t>Total Accumulated</t>
  </si>
  <si>
    <r>
      <t>tCO</t>
    </r>
    <r>
      <rPr>
        <b/>
        <vertAlign val="subscript"/>
        <sz val="8"/>
        <color theme="1"/>
        <rFont val="Calibri"/>
        <family val="2"/>
        <scheme val="minor"/>
      </rPr>
      <t>2</t>
    </r>
    <r>
      <rPr>
        <b/>
        <sz val="8"/>
        <color theme="1"/>
        <rFont val="Calibri"/>
        <family val="2"/>
        <scheme val="minor"/>
      </rPr>
      <t>-e</t>
    </r>
  </si>
  <si>
    <t>Total (sum of stratum)</t>
  </si>
  <si>
    <t>Annual baseline deforestation for the project area (ha)</t>
  </si>
  <si>
    <t>Baseline Emissions from Deforestation</t>
  </si>
  <si>
    <t>Sum of Strata</t>
  </si>
  <si>
    <r>
      <t>A</t>
    </r>
    <r>
      <rPr>
        <b/>
        <vertAlign val="subscript"/>
        <sz val="11"/>
        <color theme="1"/>
        <rFont val="Calibri"/>
        <family val="2"/>
        <scheme val="minor"/>
      </rPr>
      <t>BSLPA,cumulative</t>
    </r>
  </si>
  <si>
    <t>Total Accumulative</t>
  </si>
  <si>
    <t>BL-GHG</t>
  </si>
  <si>
    <r>
      <t>A</t>
    </r>
    <r>
      <rPr>
        <b/>
        <vertAlign val="subscript"/>
        <sz val="8"/>
        <color theme="1"/>
        <rFont val="Calibri"/>
        <family val="2"/>
        <scheme val="minor"/>
      </rPr>
      <t>BSL,PA,annual,t</t>
    </r>
    <r>
      <rPr>
        <b/>
        <sz val="8"/>
        <color theme="1"/>
        <rFont val="Calibri"/>
        <family val="2"/>
        <scheme val="minor"/>
      </rPr>
      <t xml:space="preserve"> = A</t>
    </r>
    <r>
      <rPr>
        <b/>
        <vertAlign val="subscript"/>
        <sz val="8"/>
        <color theme="1"/>
        <rFont val="Calibri"/>
        <family val="2"/>
        <scheme val="minor"/>
      </rPr>
      <t>Burn,i,t</t>
    </r>
  </si>
  <si>
    <r>
      <t>A</t>
    </r>
    <r>
      <rPr>
        <b/>
        <vertAlign val="subscript"/>
        <sz val="8"/>
        <color theme="1"/>
        <rFont val="Calibri"/>
        <family val="2"/>
        <scheme val="minor"/>
      </rPr>
      <t>BSL,PA,cumulative</t>
    </r>
  </si>
  <si>
    <r>
      <t>Biomass Burning Emissions (CH</t>
    </r>
    <r>
      <rPr>
        <b/>
        <vertAlign val="subscript"/>
        <sz val="8"/>
        <color theme="1"/>
        <rFont val="Calibri"/>
        <family val="2"/>
        <scheme val="minor"/>
      </rPr>
      <t>4</t>
    </r>
    <r>
      <rPr>
        <b/>
        <sz val="8"/>
        <color theme="1"/>
        <rFont val="Calibri"/>
        <family val="2"/>
        <scheme val="minor"/>
      </rPr>
      <t>)</t>
    </r>
  </si>
  <si>
    <r>
      <t>E-CH</t>
    </r>
    <r>
      <rPr>
        <b/>
        <vertAlign val="subscript"/>
        <sz val="8"/>
        <color theme="1"/>
        <rFont val="Calibri"/>
        <family val="2"/>
        <scheme val="minor"/>
      </rPr>
      <t xml:space="preserve">4 </t>
    </r>
    <r>
      <rPr>
        <b/>
        <sz val="8"/>
        <color theme="1"/>
        <rFont val="Calibri"/>
        <family val="2"/>
        <scheme val="minor"/>
      </rPr>
      <t>Biomass Burning</t>
    </r>
  </si>
  <si>
    <r>
      <t>E-CH</t>
    </r>
    <r>
      <rPr>
        <b/>
        <vertAlign val="subscript"/>
        <sz val="8"/>
        <color theme="1"/>
        <rFont val="Calibri"/>
        <family val="2"/>
        <scheme val="minor"/>
      </rPr>
      <t xml:space="preserve">4 </t>
    </r>
    <r>
      <rPr>
        <b/>
        <sz val="8"/>
        <color theme="1"/>
        <rFont val="Calibri"/>
        <family val="2"/>
        <scheme val="minor"/>
      </rPr>
      <t>Biomass Burning Accumulative</t>
    </r>
  </si>
  <si>
    <r>
      <t>Biomass Burning Emissions (N</t>
    </r>
    <r>
      <rPr>
        <b/>
        <vertAlign val="subscript"/>
        <sz val="8"/>
        <color theme="1"/>
        <rFont val="Calibri"/>
        <family val="2"/>
        <scheme val="minor"/>
      </rPr>
      <t>2</t>
    </r>
    <r>
      <rPr>
        <b/>
        <sz val="8"/>
        <color theme="1"/>
        <rFont val="Calibri"/>
        <family val="2"/>
        <scheme val="minor"/>
      </rPr>
      <t>O)</t>
    </r>
  </si>
  <si>
    <r>
      <t>E-N</t>
    </r>
    <r>
      <rPr>
        <b/>
        <vertAlign val="subscript"/>
        <sz val="8"/>
        <color theme="1"/>
        <rFont val="Calibri"/>
        <family val="2"/>
        <scheme val="minor"/>
      </rPr>
      <t>2</t>
    </r>
    <r>
      <rPr>
        <b/>
        <sz val="8"/>
        <color theme="1"/>
        <rFont val="Calibri"/>
        <family val="2"/>
        <scheme val="minor"/>
      </rPr>
      <t>O Biomass Burning</t>
    </r>
  </si>
  <si>
    <r>
      <t>E-N</t>
    </r>
    <r>
      <rPr>
        <b/>
        <vertAlign val="subscript"/>
        <sz val="8"/>
        <color theme="1"/>
        <rFont val="Calibri"/>
        <family val="2"/>
        <scheme val="minor"/>
      </rPr>
      <t>2</t>
    </r>
    <r>
      <rPr>
        <b/>
        <sz val="8"/>
        <color theme="1"/>
        <rFont val="Calibri"/>
        <family val="2"/>
        <scheme val="minor"/>
      </rPr>
      <t>O Biomass Burning Accumulative</t>
    </r>
  </si>
  <si>
    <t>E-Biomass Burning = GHGP,E,i,t</t>
  </si>
  <si>
    <t>Wood products carbon pool</t>
  </si>
  <si>
    <t>E-Wood Carbon Pool</t>
  </si>
  <si>
    <t>E-Wood Carbon pool Accumulative</t>
  </si>
  <si>
    <t>Pasture Carbon Pool</t>
  </si>
  <si>
    <t>E-Pasture Carbon Pool</t>
  </si>
  <si>
    <t>E-Pasture Carbon pool Accumulative</t>
  </si>
  <si>
    <t>Coffee Carbon Pool</t>
  </si>
  <si>
    <t>E-Coffee Carbon Pool</t>
  </si>
  <si>
    <t>E-Coffee Carbon pool Accumulative</t>
  </si>
  <si>
    <t>Total BL-GHG</t>
  </si>
  <si>
    <t>Weighted average</t>
  </si>
  <si>
    <r>
      <t>tCO</t>
    </r>
    <r>
      <rPr>
        <b/>
        <vertAlign val="subscript"/>
        <sz val="10"/>
        <color theme="0"/>
        <rFont val="Calibri"/>
        <family val="2"/>
        <scheme val="minor"/>
      </rPr>
      <t>2</t>
    </r>
    <r>
      <rPr>
        <b/>
        <sz val="10"/>
        <color theme="0"/>
        <rFont val="Calibri"/>
        <family val="2"/>
        <scheme val="minor"/>
      </rPr>
      <t>-e ha</t>
    </r>
    <r>
      <rPr>
        <b/>
        <vertAlign val="superscript"/>
        <sz val="10"/>
        <color theme="0"/>
        <rFont val="Calibri"/>
        <family val="2"/>
        <scheme val="minor"/>
      </rPr>
      <t>-1</t>
    </r>
  </si>
  <si>
    <r>
      <t>tonnes d.m. ha</t>
    </r>
    <r>
      <rPr>
        <b/>
        <vertAlign val="superscript"/>
        <sz val="11"/>
        <color theme="0"/>
        <rFont val="Calibri"/>
        <family val="2"/>
        <scheme val="minor"/>
      </rPr>
      <t>-1</t>
    </r>
  </si>
  <si>
    <r>
      <t>tCO</t>
    </r>
    <r>
      <rPr>
        <b/>
        <vertAlign val="subscript"/>
        <sz val="10"/>
        <color theme="1"/>
        <rFont val="Calibri"/>
        <family val="2"/>
        <scheme val="minor"/>
      </rPr>
      <t>2</t>
    </r>
    <r>
      <rPr>
        <b/>
        <sz val="10"/>
        <color theme="1"/>
        <rFont val="Calibri"/>
        <family val="2"/>
        <scheme val="minor"/>
      </rPr>
      <t>-e ha</t>
    </r>
    <r>
      <rPr>
        <b/>
        <vertAlign val="superscript"/>
        <sz val="10"/>
        <color theme="1"/>
        <rFont val="Calibri"/>
        <family val="2"/>
        <scheme val="minor"/>
      </rPr>
      <t>-1</t>
    </r>
  </si>
  <si>
    <t>VDM0006_BL-PL_ V1.3</t>
  </si>
  <si>
    <t>% in relation to the total</t>
  </si>
  <si>
    <t>Project emissions reductions (PER)</t>
  </si>
  <si>
    <t>VMD0015-M-MON-v2.1</t>
  </si>
  <si>
    <t xml:space="preserve">VMD0005-CP-W-v1.1 </t>
  </si>
  <si>
    <t>Values of the last three years of wood management in the project area</t>
  </si>
  <si>
    <t>Avarage</t>
  </si>
  <si>
    <t>Logging emissions</t>
  </si>
  <si>
    <t>Total area explored</t>
  </si>
  <si>
    <r>
      <t>ha year</t>
    </r>
    <r>
      <rPr>
        <b/>
        <vertAlign val="superscript"/>
        <sz val="11"/>
        <color theme="1"/>
        <rFont val="Calibri"/>
        <family val="2"/>
        <scheme val="minor"/>
      </rPr>
      <t>-1</t>
    </r>
  </si>
  <si>
    <t>Annex: Forest movement report.pdf</t>
  </si>
  <si>
    <r>
      <t>Volume</t>
    </r>
    <r>
      <rPr>
        <b/>
        <vertAlign val="subscript"/>
        <sz val="11"/>
        <color theme="1"/>
        <rFont val="Calibri"/>
        <family val="2"/>
        <scheme val="minor"/>
      </rPr>
      <t>Extracted_Wood</t>
    </r>
  </si>
  <si>
    <r>
      <t>m</t>
    </r>
    <r>
      <rPr>
        <b/>
        <vertAlign val="superscript"/>
        <sz val="11"/>
        <color theme="1"/>
        <rFont val="Calibri"/>
        <family val="2"/>
        <scheme val="minor"/>
      </rPr>
      <t>3</t>
    </r>
    <r>
      <rPr>
        <b/>
        <sz val="11"/>
        <color theme="1"/>
        <rFont val="Calibri"/>
        <family val="2"/>
        <scheme val="minor"/>
      </rPr>
      <t xml:space="preserve"> ha</t>
    </r>
    <r>
      <rPr>
        <b/>
        <vertAlign val="superscript"/>
        <sz val="11"/>
        <color theme="1"/>
        <rFont val="Calibri"/>
        <family val="2"/>
        <scheme val="minor"/>
      </rPr>
      <t>-1</t>
    </r>
  </si>
  <si>
    <t xml:space="preserve">The conservative approach was used considering the maximum volume possible of extracted wood following Brazilian federal law nº 12.651 </t>
  </si>
  <si>
    <r>
      <t>V</t>
    </r>
    <r>
      <rPr>
        <b/>
        <vertAlign val="subscript"/>
        <sz val="11"/>
        <color theme="1"/>
        <rFont val="Calibri"/>
        <family val="2"/>
        <scheme val="minor"/>
      </rPr>
      <t>ext</t>
    </r>
  </si>
  <si>
    <r>
      <t>m</t>
    </r>
    <r>
      <rPr>
        <b/>
        <vertAlign val="superscript"/>
        <sz val="11"/>
        <rFont val="Calibri"/>
        <family val="2"/>
        <scheme val="minor"/>
      </rPr>
      <t>3</t>
    </r>
    <r>
      <rPr>
        <b/>
        <sz val="11"/>
        <rFont val="Calibri"/>
        <family val="2"/>
        <scheme val="minor"/>
      </rPr>
      <t xml:space="preserve"> year</t>
    </r>
    <r>
      <rPr>
        <b/>
        <vertAlign val="superscript"/>
        <sz val="11"/>
        <rFont val="Calibri"/>
        <family val="2"/>
        <scheme val="minor"/>
      </rPr>
      <t>-1</t>
    </r>
  </si>
  <si>
    <t>Infrastructure emissions</t>
  </si>
  <si>
    <t>Number of logging decks</t>
  </si>
  <si>
    <t>Annex: Wood management_1.pdf; Wood management_2.pdf; Wood management_3.pdf</t>
  </si>
  <si>
    <r>
      <t>t year</t>
    </r>
    <r>
      <rPr>
        <b/>
        <vertAlign val="superscript"/>
        <sz val="11"/>
        <rFont val="Calibri"/>
        <family val="2"/>
        <scheme val="minor"/>
      </rPr>
      <t>-1</t>
    </r>
  </si>
  <si>
    <t>Lengh of road</t>
  </si>
  <si>
    <r>
      <t>C</t>
    </r>
    <r>
      <rPr>
        <b/>
        <vertAlign val="subscript"/>
        <sz val="11"/>
        <color theme="1"/>
        <rFont val="Calibri"/>
        <family val="2"/>
        <scheme val="minor"/>
      </rPr>
      <t>ext</t>
    </r>
  </si>
  <si>
    <r>
      <t>tCO</t>
    </r>
    <r>
      <rPr>
        <b/>
        <vertAlign val="subscript"/>
        <sz val="11"/>
        <rFont val="Calibri"/>
        <family val="2"/>
        <scheme val="minor"/>
      </rPr>
      <t>2-e</t>
    </r>
    <r>
      <rPr>
        <b/>
        <sz val="11"/>
        <rFont val="Calibri"/>
        <family val="2"/>
        <scheme val="minor"/>
      </rPr>
      <t xml:space="preserve"> </t>
    </r>
  </si>
  <si>
    <t>Widht of road</t>
  </si>
  <si>
    <r>
      <t>C</t>
    </r>
    <r>
      <rPr>
        <b/>
        <vertAlign val="subscript"/>
        <sz val="11"/>
        <color theme="1"/>
        <rFont val="Calibri"/>
        <family val="2"/>
        <scheme val="minor"/>
      </rPr>
      <t>LG,i,t</t>
    </r>
  </si>
  <si>
    <r>
      <t>tCO</t>
    </r>
    <r>
      <rPr>
        <b/>
        <vertAlign val="subscript"/>
        <sz val="11"/>
        <rFont val="Calibri"/>
        <family val="2"/>
        <scheme val="minor"/>
      </rPr>
      <t>2-e</t>
    </r>
  </si>
  <si>
    <t>Area of decks</t>
  </si>
  <si>
    <t>Wood carbon pool</t>
  </si>
  <si>
    <t>Total length skid trails</t>
  </si>
  <si>
    <r>
      <t>∆C</t>
    </r>
    <r>
      <rPr>
        <b/>
        <vertAlign val="subscript"/>
        <sz val="11"/>
        <color theme="1"/>
        <rFont val="Calibri"/>
        <family val="2"/>
        <scheme val="minor"/>
      </rPr>
      <t>SKID</t>
    </r>
  </si>
  <si>
    <t>Area of road</t>
  </si>
  <si>
    <r>
      <t>∆C</t>
    </r>
    <r>
      <rPr>
        <b/>
        <vertAlign val="subscript"/>
        <sz val="11"/>
        <color theme="1"/>
        <rFont val="Calibri"/>
        <family val="2"/>
        <scheme val="minor"/>
      </rPr>
      <t>ROAD,t</t>
    </r>
  </si>
  <si>
    <r>
      <t>∆C</t>
    </r>
    <r>
      <rPr>
        <b/>
        <vertAlign val="subscript"/>
        <sz val="11"/>
        <color theme="1"/>
        <rFont val="Calibri"/>
        <family val="2"/>
        <scheme val="minor"/>
      </rPr>
      <t>DECKS</t>
    </r>
  </si>
  <si>
    <r>
      <t>∆C</t>
    </r>
    <r>
      <rPr>
        <b/>
        <vertAlign val="subscript"/>
        <sz val="11"/>
        <color theme="1"/>
        <rFont val="Calibri"/>
        <family val="2"/>
        <scheme val="minor"/>
      </rPr>
      <t>DECKS</t>
    </r>
    <r>
      <rPr>
        <b/>
        <sz val="11"/>
        <color theme="1"/>
        <rFont val="Calibri"/>
        <family val="2"/>
        <scheme val="minor"/>
      </rPr>
      <t>+∆C</t>
    </r>
    <r>
      <rPr>
        <b/>
        <vertAlign val="subscript"/>
        <sz val="11"/>
        <color theme="1"/>
        <rFont val="Calibri"/>
        <family val="2"/>
        <scheme val="minor"/>
      </rPr>
      <t>ROAD,t</t>
    </r>
    <r>
      <rPr>
        <b/>
        <sz val="11"/>
        <color theme="1"/>
        <rFont val="Calibri"/>
        <family val="2"/>
        <scheme val="minor"/>
      </rPr>
      <t>+∆C</t>
    </r>
    <r>
      <rPr>
        <b/>
        <vertAlign val="subscript"/>
        <sz val="11"/>
        <color theme="1"/>
        <rFont val="Calibri"/>
        <family val="2"/>
        <scheme val="minor"/>
      </rPr>
      <t>SKID</t>
    </r>
  </si>
  <si>
    <r>
      <t>tCO</t>
    </r>
    <r>
      <rPr>
        <b/>
        <vertAlign val="subscript"/>
        <sz val="11"/>
        <rFont val="Calibri"/>
        <family val="2"/>
        <scheme val="minor"/>
      </rPr>
      <t>2-e</t>
    </r>
    <r>
      <rPr>
        <b/>
        <sz val="11"/>
        <rFont val="Calibri"/>
        <family val="2"/>
        <scheme val="minor"/>
      </rPr>
      <t xml:space="preserve"> ha</t>
    </r>
    <r>
      <rPr>
        <b/>
        <vertAlign val="superscript"/>
        <sz val="11"/>
        <rFont val="Calibri"/>
        <family val="2"/>
        <scheme val="minor"/>
      </rPr>
      <t>-1</t>
    </r>
  </si>
  <si>
    <t>Leakage - Market-Effects</t>
  </si>
  <si>
    <t>VMD0011-LK-ME-v1.1.</t>
  </si>
  <si>
    <t>Market-Effects Leakage Through Decreased Timber Harvest</t>
  </si>
  <si>
    <r>
      <t>A</t>
    </r>
    <r>
      <rPr>
        <b/>
        <vertAlign val="subscript"/>
        <sz val="11"/>
        <rFont val="Calibri"/>
        <family val="2"/>
        <scheme val="minor"/>
      </rPr>
      <t>BSLPAt annual</t>
    </r>
  </si>
  <si>
    <r>
      <t>ha year</t>
    </r>
    <r>
      <rPr>
        <b/>
        <vertAlign val="superscript"/>
        <sz val="11"/>
        <rFont val="Calibri"/>
        <family val="2"/>
        <scheme val="minor"/>
      </rPr>
      <t>-1</t>
    </r>
  </si>
  <si>
    <r>
      <t>C</t>
    </r>
    <r>
      <rPr>
        <b/>
        <vertAlign val="subscript"/>
        <sz val="11"/>
        <rFont val="Calibri"/>
        <family val="2"/>
        <scheme val="minor"/>
      </rPr>
      <t>BSL,XBT,i,t</t>
    </r>
  </si>
  <si>
    <t xml:space="preserve">Carbon emission due to displaced timber harvests in the baseline scenario in stratum i in year t </t>
  </si>
  <si>
    <r>
      <t xml:space="preserve"> AL</t>
    </r>
    <r>
      <rPr>
        <b/>
        <vertAlign val="subscript"/>
        <sz val="11"/>
        <rFont val="Calibri"/>
        <family val="2"/>
        <scheme val="minor"/>
      </rPr>
      <t>T,i</t>
    </r>
    <r>
      <rPr>
        <b/>
        <sz val="11"/>
        <rFont val="Calibri"/>
        <family val="2"/>
        <scheme val="minor"/>
      </rPr>
      <t xml:space="preserve"> =  C</t>
    </r>
    <r>
      <rPr>
        <b/>
        <vertAlign val="subscript"/>
        <sz val="11"/>
        <rFont val="Calibri"/>
        <family val="2"/>
        <scheme val="minor"/>
      </rPr>
      <t xml:space="preserve">BSL,XBT,i,t </t>
    </r>
  </si>
  <si>
    <t>Summed emissions from timber harvest in stratum i in the baseline case potentially displaced through implementation of the project</t>
  </si>
  <si>
    <r>
      <t>PRODFC</t>
    </r>
    <r>
      <rPr>
        <b/>
        <vertAlign val="subscript"/>
        <sz val="11"/>
        <rFont val="Calibri"/>
        <family val="2"/>
        <scheme val="minor"/>
      </rPr>
      <t>LMA,t</t>
    </r>
  </si>
  <si>
    <t>Production biomass in commercial species that is merchantable in year t in leakage management areas</t>
  </si>
  <si>
    <r>
      <t>PRODFC</t>
    </r>
    <r>
      <rPr>
        <b/>
        <vertAlign val="subscript"/>
        <sz val="11"/>
        <rFont val="Calibri"/>
        <family val="2"/>
        <scheme val="minor"/>
      </rPr>
      <t>BL,t</t>
    </r>
  </si>
  <si>
    <t>Production of biomass in commercial species that is merchantable in year t in the baseline case</t>
  </si>
  <si>
    <r>
      <t>LKFC</t>
    </r>
    <r>
      <rPr>
        <b/>
        <vertAlign val="subscript"/>
        <sz val="11"/>
        <rFont val="Calibri"/>
        <family val="2"/>
        <scheme val="minor"/>
      </rPr>
      <t>MAF</t>
    </r>
  </si>
  <si>
    <t>Leakage management adjustment factor</t>
  </si>
  <si>
    <r>
      <t>LK</t>
    </r>
    <r>
      <rPr>
        <b/>
        <vertAlign val="subscript"/>
        <sz val="11"/>
        <rFont val="Calibri"/>
        <family val="2"/>
        <scheme val="minor"/>
      </rPr>
      <t>MarketEffects,timber</t>
    </r>
  </si>
  <si>
    <t>Total GHG emissions due to market-effects leakage through decreased timber harvest</t>
  </si>
  <si>
    <t>Market-Effects Leakage Through Decreased Harvest of Fuelwood and Charcoal Sold into Regional and/or National Markets</t>
  </si>
  <si>
    <r>
      <t xml:space="preserve"> AL</t>
    </r>
    <r>
      <rPr>
        <b/>
        <vertAlign val="subscript"/>
        <sz val="11"/>
        <rFont val="Calibri"/>
        <family val="2"/>
        <scheme val="minor"/>
      </rPr>
      <t>FW/C,i</t>
    </r>
  </si>
  <si>
    <t>Summed emissions from fuelwood/charcoal harvests in stratum i in the baseline case potentially displaced through implementation of carbon</t>
  </si>
  <si>
    <r>
      <t>FG</t>
    </r>
    <r>
      <rPr>
        <b/>
        <vertAlign val="subscript"/>
        <sz val="11"/>
        <rFont val="Calibri"/>
        <family val="2"/>
        <scheme val="minor"/>
      </rPr>
      <t>LP,i,t</t>
    </r>
  </si>
  <si>
    <t>Average projected annual volume of fuelwood to be gathered in the project area in the baseline scenario in stratum i in year t</t>
  </si>
  <si>
    <r>
      <t>m³ year</t>
    </r>
    <r>
      <rPr>
        <b/>
        <vertAlign val="superscript"/>
        <sz val="11"/>
        <rFont val="Calibri"/>
        <family val="2"/>
        <scheme val="minor"/>
      </rPr>
      <t>-1</t>
    </r>
  </si>
  <si>
    <r>
      <t>FG</t>
    </r>
    <r>
      <rPr>
        <b/>
        <vertAlign val="subscript"/>
        <sz val="11"/>
        <rFont val="Calibri"/>
        <family val="2"/>
        <scheme val="minor"/>
      </rPr>
      <t>BSL,i,t</t>
    </r>
  </si>
  <si>
    <t>Volume of fuelwood gathered in the project area and in areas designated by the project for leakage prevention (ie, fuelwood plantations) according to monitoring results in stratum i in year t</t>
  </si>
  <si>
    <r>
      <t>C</t>
    </r>
    <r>
      <rPr>
        <b/>
        <vertAlign val="subscript"/>
        <sz val="11"/>
        <rFont val="Calibri"/>
        <family val="2"/>
        <scheme val="minor"/>
      </rPr>
      <t>BSL,XBFWC,i,t</t>
    </r>
  </si>
  <si>
    <t>Carbon emission due to displaced fuelwood/charcoal harvests in stratum i in the baseline scenario in year t</t>
  </si>
  <si>
    <r>
      <t xml:space="preserve"> AL</t>
    </r>
    <r>
      <rPr>
        <b/>
        <vertAlign val="subscript"/>
        <sz val="11"/>
        <rFont val="Calibri"/>
        <family val="2"/>
        <scheme val="minor"/>
      </rPr>
      <t>FW/C,i</t>
    </r>
    <r>
      <rPr>
        <b/>
        <sz val="11"/>
        <rFont val="Calibri"/>
        <family val="2"/>
        <scheme val="minor"/>
      </rPr>
      <t xml:space="preserve"> =  C</t>
    </r>
    <r>
      <rPr>
        <b/>
        <vertAlign val="subscript"/>
        <sz val="11"/>
        <rFont val="Calibri"/>
        <family val="2"/>
        <scheme val="minor"/>
      </rPr>
      <t xml:space="preserve">BSL,XBFWC,i,t </t>
    </r>
  </si>
  <si>
    <t>Production of fuelwood/charcoal in year t in leakage management areas</t>
  </si>
  <si>
    <t xml:space="preserve">Production of fuelwood/charcoal in year t in the baseline case </t>
  </si>
  <si>
    <t>Fuelwood/charcoal leakage management adjustment factor</t>
  </si>
  <si>
    <r>
      <t>LK</t>
    </r>
    <r>
      <rPr>
        <b/>
        <vertAlign val="subscript"/>
        <sz val="11"/>
        <rFont val="Calibri"/>
        <family val="2"/>
        <scheme val="minor"/>
      </rPr>
      <t>MarketEffects,FW/C</t>
    </r>
  </si>
  <si>
    <t>Total GHG emissions due to market-effects leakage through decreased harvest of fuelwood and charcoal sold into regional and/or national markets</t>
  </si>
  <si>
    <t>Market-Effects Leakage Through Decreased Timber, Fuelwood and Charcoal Harvest Resulting in Increased Peatland Drainage</t>
  </si>
  <si>
    <r>
      <t>PROP</t>
    </r>
    <r>
      <rPr>
        <b/>
        <vertAlign val="subscript"/>
        <sz val="11"/>
        <rFont val="Calibri"/>
        <family val="2"/>
        <scheme val="minor"/>
      </rPr>
      <t>Peat-MLF</t>
    </r>
  </si>
  <si>
    <t>Proportion of undrained peatland areas in the ‘market leakage forest’ areas with respect to the total market leakage forest areas</t>
  </si>
  <si>
    <r>
      <t>LK</t>
    </r>
    <r>
      <rPr>
        <b/>
        <vertAlign val="subscript"/>
        <sz val="11"/>
        <rFont val="Calibri"/>
        <family val="2"/>
        <scheme val="minor"/>
      </rPr>
      <t>EFMKT,Peat</t>
    </r>
  </si>
  <si>
    <t>Leakage emission factor from market-effects leakage resulting in peatland drainage</t>
  </si>
  <si>
    <r>
      <t>C</t>
    </r>
    <r>
      <rPr>
        <b/>
        <vertAlign val="subscript"/>
        <sz val="11"/>
        <rFont val="Calibri"/>
        <family val="2"/>
        <scheme val="minor"/>
      </rPr>
      <t>peatloss,tPDT</t>
    </r>
  </si>
  <si>
    <t>Cumulative peat carbon loss at tPDT</t>
  </si>
  <si>
    <r>
      <t>C</t>
    </r>
    <r>
      <rPr>
        <b/>
        <vertAlign val="subscript"/>
        <sz val="11"/>
        <rFont val="Calibri"/>
        <family val="2"/>
        <scheme val="minor"/>
      </rPr>
      <t>MLF,i</t>
    </r>
  </si>
  <si>
    <t xml:space="preserve">Carbon in commercial species in market leakage forests </t>
  </si>
  <si>
    <r>
      <t>Depth</t>
    </r>
    <r>
      <rPr>
        <b/>
        <vertAlign val="subscript"/>
        <sz val="11"/>
        <rFont val="Calibri"/>
        <family val="2"/>
        <scheme val="minor"/>
      </rPr>
      <t>peatloss,tPDT</t>
    </r>
  </si>
  <si>
    <t xml:space="preserve"> Depth of peat loss at tPDT</t>
  </si>
  <si>
    <r>
      <t>VC</t>
    </r>
    <r>
      <rPr>
        <b/>
        <vertAlign val="subscript"/>
        <sz val="11"/>
        <rFont val="Calibri"/>
        <family val="2"/>
        <scheme val="minor"/>
      </rPr>
      <t>peat</t>
    </r>
  </si>
  <si>
    <t xml:space="preserve">Volumetric carbon content of peat in the baseline scenario </t>
  </si>
  <si>
    <r>
      <t>kg C m</t>
    </r>
    <r>
      <rPr>
        <b/>
        <vertAlign val="superscript"/>
        <sz val="11"/>
        <rFont val="Calibri"/>
        <family val="2"/>
        <scheme val="minor"/>
      </rPr>
      <t>-3</t>
    </r>
  </si>
  <si>
    <r>
      <t xml:space="preserve"> C</t>
    </r>
    <r>
      <rPr>
        <b/>
        <vertAlign val="subscript"/>
        <sz val="11"/>
        <rFont val="Calibri"/>
        <family val="2"/>
        <scheme val="minor"/>
      </rPr>
      <t>CS,i</t>
    </r>
    <r>
      <rPr>
        <b/>
        <sz val="11"/>
        <rFont val="Calibri"/>
        <family val="2"/>
        <scheme val="minor"/>
      </rPr>
      <t xml:space="preserve"> = C</t>
    </r>
    <r>
      <rPr>
        <b/>
        <vertAlign val="subscript"/>
        <sz val="11"/>
        <rFont val="Calibri"/>
        <family val="2"/>
        <scheme val="minor"/>
      </rPr>
      <t xml:space="preserve">MLF,i </t>
    </r>
  </si>
  <si>
    <t>Carbon in commercial species in market leakage forests in stratum I</t>
  </si>
  <si>
    <r>
      <t>V</t>
    </r>
    <r>
      <rPr>
        <b/>
        <vertAlign val="subscript"/>
        <sz val="11"/>
        <rFont val="Calibri"/>
        <family val="2"/>
        <scheme val="minor"/>
      </rPr>
      <t>MLF,i,t</t>
    </r>
  </si>
  <si>
    <t xml:space="preserve">Volume of timber in stratum i in ‘arket leakage forest </t>
  </si>
  <si>
    <r>
      <t>LK</t>
    </r>
    <r>
      <rPr>
        <b/>
        <vertAlign val="subscript"/>
        <sz val="11"/>
        <rFont val="Calibri"/>
        <family val="2"/>
        <scheme val="minor"/>
      </rPr>
      <t xml:space="preserve">MarketEffects,Peat </t>
    </r>
  </si>
  <si>
    <t>Total GHG emissions due to market-effects leakage through decreased timber, fuelwood and charcoal harvest resulting in increased peatland drainage</t>
  </si>
  <si>
    <t>Total leakage ME</t>
  </si>
  <si>
    <r>
      <t>ΔC</t>
    </r>
    <r>
      <rPr>
        <b/>
        <vertAlign val="subscript"/>
        <sz val="11"/>
        <rFont val="Calibri"/>
        <family val="2"/>
        <scheme val="minor"/>
      </rPr>
      <t>LK-ME</t>
    </r>
  </si>
  <si>
    <t>Net greenhouse gas emissions due to market-effects leakage</t>
  </si>
  <si>
    <t>LK-GHG-ex ante</t>
  </si>
  <si>
    <r>
      <t>A</t>
    </r>
    <r>
      <rPr>
        <b/>
        <vertAlign val="subscript"/>
        <sz val="11"/>
        <color theme="1"/>
        <rFont val="Calibri"/>
        <family val="2"/>
        <scheme val="minor"/>
      </rPr>
      <t>BSL,PA,annual,t</t>
    </r>
    <r>
      <rPr>
        <b/>
        <sz val="11"/>
        <color theme="1"/>
        <rFont val="Calibri"/>
        <family val="2"/>
        <scheme val="minor"/>
      </rPr>
      <t xml:space="preserve"> = A</t>
    </r>
    <r>
      <rPr>
        <b/>
        <vertAlign val="subscript"/>
        <sz val="11"/>
        <color theme="1"/>
        <rFont val="Calibri"/>
        <family val="2"/>
        <scheme val="minor"/>
      </rPr>
      <t>Burn,i,t</t>
    </r>
  </si>
  <si>
    <r>
      <t>A</t>
    </r>
    <r>
      <rPr>
        <b/>
        <vertAlign val="subscript"/>
        <sz val="11"/>
        <color theme="1"/>
        <rFont val="Calibri"/>
        <family val="2"/>
        <scheme val="minor"/>
      </rPr>
      <t>BSL,PA,cumulative</t>
    </r>
  </si>
  <si>
    <r>
      <t>E-CH</t>
    </r>
    <r>
      <rPr>
        <b/>
        <vertAlign val="subscript"/>
        <sz val="9"/>
        <color theme="1"/>
        <rFont val="Calibri"/>
        <family val="2"/>
        <scheme val="minor"/>
      </rPr>
      <t xml:space="preserve">4 </t>
    </r>
    <r>
      <rPr>
        <b/>
        <sz val="9"/>
        <color theme="1"/>
        <rFont val="Calibri"/>
        <family val="2"/>
        <scheme val="minor"/>
      </rPr>
      <t>Biomass Burning</t>
    </r>
  </si>
  <si>
    <r>
      <t>tCO</t>
    </r>
    <r>
      <rPr>
        <b/>
        <vertAlign val="subscript"/>
        <sz val="10"/>
        <color theme="1"/>
        <rFont val="Calibri"/>
        <family val="2"/>
        <scheme val="minor"/>
      </rPr>
      <t>2</t>
    </r>
    <r>
      <rPr>
        <b/>
        <sz val="10"/>
        <color theme="1"/>
        <rFont val="Calibri"/>
        <family val="2"/>
        <scheme val="minor"/>
      </rPr>
      <t>-e</t>
    </r>
  </si>
  <si>
    <r>
      <t>E-CH</t>
    </r>
    <r>
      <rPr>
        <b/>
        <vertAlign val="subscript"/>
        <sz val="9"/>
        <color theme="1"/>
        <rFont val="Calibri"/>
        <family val="2"/>
        <scheme val="minor"/>
      </rPr>
      <t xml:space="preserve">4 </t>
    </r>
    <r>
      <rPr>
        <b/>
        <sz val="9"/>
        <color theme="1"/>
        <rFont val="Calibri"/>
        <family val="2"/>
        <scheme val="minor"/>
      </rPr>
      <t>Biomass Burning Accumulative</t>
    </r>
  </si>
  <si>
    <r>
      <t>E-N</t>
    </r>
    <r>
      <rPr>
        <b/>
        <vertAlign val="subscript"/>
        <sz val="9"/>
        <color theme="1"/>
        <rFont val="Calibri"/>
        <family val="2"/>
        <scheme val="minor"/>
      </rPr>
      <t>2</t>
    </r>
    <r>
      <rPr>
        <b/>
        <sz val="9"/>
        <color theme="1"/>
        <rFont val="Calibri"/>
        <family val="2"/>
        <scheme val="minor"/>
      </rPr>
      <t>O Biomass Burning</t>
    </r>
  </si>
  <si>
    <r>
      <t>E-N</t>
    </r>
    <r>
      <rPr>
        <b/>
        <vertAlign val="subscript"/>
        <sz val="9"/>
        <color theme="1"/>
        <rFont val="Calibri"/>
        <family val="2"/>
        <scheme val="minor"/>
      </rPr>
      <t>2</t>
    </r>
    <r>
      <rPr>
        <b/>
        <sz val="9"/>
        <color theme="1"/>
        <rFont val="Calibri"/>
        <family val="2"/>
        <scheme val="minor"/>
      </rPr>
      <t>O Biomass Burning Accumulative</t>
    </r>
  </si>
  <si>
    <t>Total LK-GHG</t>
  </si>
  <si>
    <t>Leakage - Activity Shifting</t>
  </si>
  <si>
    <t>VMD0010-LK-ME-v1.2.</t>
  </si>
  <si>
    <t>Ex ante</t>
  </si>
  <si>
    <t>Project area</t>
  </si>
  <si>
    <t>Baseline</t>
  </si>
  <si>
    <r>
      <t>∆C</t>
    </r>
    <r>
      <rPr>
        <b/>
        <vertAlign val="subscript"/>
        <sz val="11"/>
        <rFont val="Calibri"/>
        <family val="2"/>
        <scheme val="minor"/>
      </rPr>
      <t>BSL,unplanned_B_PA</t>
    </r>
  </si>
  <si>
    <t>Net greenhouse gas emissions in the baseline from unplanned deforestation up to year t*</t>
  </si>
  <si>
    <t>Leakage belt</t>
  </si>
  <si>
    <r>
      <t>∆C</t>
    </r>
    <r>
      <rPr>
        <b/>
        <vertAlign val="subscript"/>
        <sz val="11"/>
        <rFont val="Calibri"/>
        <family val="2"/>
        <scheme val="minor"/>
      </rPr>
      <t>BSL,LK,unplanned_B_LB</t>
    </r>
  </si>
  <si>
    <r>
      <t>Net CO</t>
    </r>
    <r>
      <rPr>
        <b/>
        <vertAlign val="subscript"/>
        <sz val="8"/>
        <rFont val="Calibri"/>
        <family val="2"/>
        <scheme val="minor"/>
      </rPr>
      <t>2</t>
    </r>
    <r>
      <rPr>
        <b/>
        <sz val="8"/>
        <rFont val="Calibri"/>
        <family val="2"/>
        <scheme val="minor"/>
      </rPr>
      <t xml:space="preserve"> equivalent emissions in the baseline from unplanned deforestation + GHG emission in the leakage belt up to year t* - estimated baseline for the leakage belt to estimate carbon stock changes and greenhouse gas emissions in the leakage belt under the project scenario</t>
    </r>
  </si>
  <si>
    <t>Project Scenary</t>
  </si>
  <si>
    <r>
      <t>∆C</t>
    </r>
    <r>
      <rPr>
        <b/>
        <vertAlign val="subscript"/>
        <sz val="11"/>
        <rFont val="Calibri"/>
        <family val="2"/>
        <scheme val="minor"/>
      </rPr>
      <t>BSL,unplanned</t>
    </r>
    <r>
      <rPr>
        <b/>
        <sz val="11"/>
        <rFont val="Calibri"/>
        <family val="2"/>
        <scheme val="minor"/>
      </rPr>
      <t>_</t>
    </r>
    <r>
      <rPr>
        <b/>
        <vertAlign val="subscript"/>
        <sz val="11"/>
        <rFont val="Calibri"/>
        <family val="2"/>
        <scheme val="minor"/>
      </rPr>
      <t>PA_PA</t>
    </r>
  </si>
  <si>
    <t>Net greenhouse gas emissions in the project scenario from unplanned deforestation up to year t*</t>
  </si>
  <si>
    <r>
      <t>∆C</t>
    </r>
    <r>
      <rPr>
        <b/>
        <vertAlign val="subscript"/>
        <sz val="11"/>
        <rFont val="Calibri"/>
        <family val="2"/>
        <scheme val="minor"/>
      </rPr>
      <t>BSL,unplanned_PA_B_LB</t>
    </r>
  </si>
  <si>
    <t>The result is added to the estimated baseline for the leakage belt  to estimate carbon stock changes and greenhouse gas emissions in the leakage belt under the project scenario</t>
  </si>
  <si>
    <t>LK-Activity Shifting - Ex ante</t>
  </si>
  <si>
    <t>The difference between project and baseline carbon stock changes and greenhouse gas emissions in the leakage belt is the ex-ante estimated leakage due to displacement of unplanned deforestation from the project area to the leakage belt.</t>
  </si>
  <si>
    <t>Leakage - Outsite_migration</t>
  </si>
  <si>
    <t>Values</t>
  </si>
  <si>
    <t>Reference</t>
  </si>
  <si>
    <t>Amazon forest</t>
  </si>
  <si>
    <t>2021_Municípios da Amazônia Legal</t>
  </si>
  <si>
    <t>Preserved forest</t>
  </si>
  <si>
    <t>2022_Unidade de Conservação</t>
  </si>
  <si>
    <r>
      <t>PROP</t>
    </r>
    <r>
      <rPr>
        <b/>
        <vertAlign val="subscript"/>
        <sz val="11"/>
        <rFont val="Calibri"/>
        <family val="2"/>
        <scheme val="minor"/>
      </rPr>
      <t>LB</t>
    </r>
  </si>
  <si>
    <t xml:space="preserve">Area of forest available in the leakage belt for unplanned deforestation as a proportion of the total national forest area available for unplanned deforestation </t>
  </si>
  <si>
    <r>
      <t>PROP</t>
    </r>
    <r>
      <rPr>
        <b/>
        <vertAlign val="subscript"/>
        <sz val="11"/>
        <rFont val="Calibri"/>
        <family val="2"/>
        <scheme val="minor"/>
      </rPr>
      <t>CS</t>
    </r>
  </si>
  <si>
    <t>The proportional difference in carbon stocks between areas of forest available for unplanned deforestation both inside and outside the leakage belt</t>
  </si>
  <si>
    <r>
      <t>LK</t>
    </r>
    <r>
      <rPr>
        <b/>
        <vertAlign val="subscript"/>
        <sz val="11"/>
        <rFont val="Calibri"/>
        <family val="2"/>
        <scheme val="minor"/>
      </rPr>
      <t>PROP</t>
    </r>
  </si>
  <si>
    <t>Proportional leakage for areas with immigrating populations</t>
  </si>
  <si>
    <t>Leakage - Outsite</t>
  </si>
  <si>
    <r>
      <t>∆C</t>
    </r>
    <r>
      <rPr>
        <b/>
        <vertAlign val="subscript"/>
        <sz val="11"/>
        <rFont val="Calibri"/>
        <family val="2"/>
        <scheme val="minor"/>
      </rPr>
      <t>LK-ASU,OLB</t>
    </r>
  </si>
  <si>
    <r>
      <t>Net CO</t>
    </r>
    <r>
      <rPr>
        <b/>
        <vertAlign val="subscript"/>
        <sz val="8"/>
        <rFont val="Calibri"/>
        <family val="2"/>
        <scheme val="minor"/>
      </rPr>
      <t>2</t>
    </r>
    <r>
      <rPr>
        <b/>
        <sz val="8"/>
        <rFont val="Calibri"/>
        <family val="2"/>
        <scheme val="minor"/>
      </rPr>
      <t xml:space="preserve"> emissions due to unplanned deforestation displaced outside the leakage belt up to year t*</t>
    </r>
  </si>
  <si>
    <r>
      <t>∆C</t>
    </r>
    <r>
      <rPr>
        <vertAlign val="subscript"/>
        <sz val="11"/>
        <rFont val="Calibri"/>
        <family val="2"/>
        <scheme val="minor"/>
      </rPr>
      <t>BSL,LK,unplanned</t>
    </r>
  </si>
  <si>
    <r>
      <t>Net CO</t>
    </r>
    <r>
      <rPr>
        <vertAlign val="subscript"/>
        <sz val="10"/>
        <rFont val="Calibri"/>
        <family val="2"/>
        <scheme val="minor"/>
      </rPr>
      <t>2</t>
    </r>
    <r>
      <rPr>
        <sz val="8"/>
        <rFont val="Calibri"/>
        <family val="2"/>
        <scheme val="minor"/>
      </rPr>
      <t xml:space="preserve"> </t>
    </r>
    <r>
      <rPr>
        <b/>
        <sz val="8"/>
        <rFont val="Calibri"/>
        <family val="2"/>
        <scheme val="minor"/>
      </rPr>
      <t>equivalent emissions in the baseline from unplanned deforestation in the leakage belt up to year t*</t>
    </r>
  </si>
  <si>
    <r>
      <t>∆C</t>
    </r>
    <r>
      <rPr>
        <vertAlign val="subscript"/>
        <sz val="11"/>
        <rFont val="Calibri"/>
        <family val="2"/>
        <scheme val="minor"/>
      </rPr>
      <t>P,LB</t>
    </r>
  </si>
  <si>
    <r>
      <t>Net CO</t>
    </r>
    <r>
      <rPr>
        <vertAlign val="subscript"/>
        <sz val="10"/>
        <rFont val="Calibri"/>
        <family val="2"/>
        <scheme val="minor"/>
      </rPr>
      <t>2</t>
    </r>
    <r>
      <rPr>
        <sz val="10"/>
        <rFont val="Calibri"/>
        <family val="2"/>
        <scheme val="minor"/>
      </rPr>
      <t xml:space="preserve"> </t>
    </r>
    <r>
      <rPr>
        <b/>
        <sz val="8"/>
        <rFont val="Calibri"/>
        <family val="2"/>
        <scheme val="minor"/>
      </rPr>
      <t>equivalent emissions within the leakage belt in the project case up to year t*</t>
    </r>
  </si>
  <si>
    <t>LK-Outside - Ex ante</t>
  </si>
  <si>
    <t>Ex post</t>
  </si>
  <si>
    <r>
      <t>A</t>
    </r>
    <r>
      <rPr>
        <b/>
        <vertAlign val="subscript"/>
        <sz val="11"/>
        <rFont val="Calibri"/>
        <family val="2"/>
        <scheme val="minor"/>
      </rPr>
      <t>LK-IMM,t</t>
    </r>
  </si>
  <si>
    <t>Total area deforested by immigrant agents in the baseline and project scenario in year t</t>
  </si>
  <si>
    <r>
      <t>A</t>
    </r>
    <r>
      <rPr>
        <b/>
        <vertAlign val="subscript"/>
        <sz val="11"/>
        <rFont val="Calibri"/>
        <family val="2"/>
        <scheme val="minor"/>
      </rPr>
      <t>BSL,PA,unplanned,t</t>
    </r>
  </si>
  <si>
    <t>Projected area of unplanned baseline deforestation in the project area in year t</t>
  </si>
  <si>
    <r>
      <t>A</t>
    </r>
    <r>
      <rPr>
        <vertAlign val="subscript"/>
        <sz val="11"/>
        <rFont val="Calibri"/>
        <family val="2"/>
        <scheme val="minor"/>
      </rPr>
      <t>DefPA,i,t</t>
    </r>
  </si>
  <si>
    <t>Area of recorded deforestation in the project area stratum i converted to land use u at time t</t>
  </si>
  <si>
    <r>
      <t>A</t>
    </r>
    <r>
      <rPr>
        <vertAlign val="subscript"/>
        <sz val="11"/>
        <rFont val="Calibri"/>
        <family val="2"/>
        <scheme val="minor"/>
      </rPr>
      <t>DefLB,i,t</t>
    </r>
  </si>
  <si>
    <t>Area of recorded deforestation in the leakage belt stratum i converted to land use u at time t</t>
  </si>
  <si>
    <r>
      <t>A</t>
    </r>
    <r>
      <rPr>
        <b/>
        <vertAlign val="subscript"/>
        <sz val="11"/>
        <rFont val="Calibri"/>
        <family val="2"/>
        <scheme val="minor"/>
      </rPr>
      <t xml:space="preserve">LK-ACT-IMM,t </t>
    </r>
  </si>
  <si>
    <t>Area deforested by immigrants in the project area and leakage belt under the project scenario in year t</t>
  </si>
  <si>
    <r>
      <t>A</t>
    </r>
    <r>
      <rPr>
        <b/>
        <vertAlign val="subscript"/>
        <sz val="11"/>
        <rFont val="Calibri"/>
        <family val="2"/>
        <scheme val="minor"/>
      </rPr>
      <t>LK-OLB,t</t>
    </r>
  </si>
  <si>
    <t>Area deforested by immigrants outside the leakage belt and project area under the project scenario in year t</t>
  </si>
  <si>
    <t>Leakage outside the leakage belt</t>
  </si>
  <si>
    <t>LK-Outside - Ex post</t>
  </si>
  <si>
    <t>LK-Outside -Final</t>
  </si>
  <si>
    <r>
      <t>tCO</t>
    </r>
    <r>
      <rPr>
        <b/>
        <vertAlign val="subscript"/>
        <sz val="11"/>
        <color theme="0"/>
        <rFont val="Calibri"/>
        <family val="2"/>
        <scheme val="minor"/>
      </rPr>
      <t>2-e</t>
    </r>
    <r>
      <rPr>
        <b/>
        <sz val="11"/>
        <color theme="0"/>
        <rFont val="Calibri"/>
        <family val="2"/>
        <scheme val="minor"/>
      </rPr>
      <t xml:space="preserve"> </t>
    </r>
  </si>
  <si>
    <t>Leakage Ex-Ante</t>
  </si>
  <si>
    <t>2019-2020</t>
  </si>
  <si>
    <t>2020-2021</t>
  </si>
  <si>
    <t>2021-2022</t>
  </si>
  <si>
    <t>2022-2023</t>
  </si>
  <si>
    <t>2023-2024</t>
  </si>
  <si>
    <t>2024-2025</t>
  </si>
  <si>
    <t>Market-Effect</t>
  </si>
  <si>
    <r>
      <t>tCO</t>
    </r>
    <r>
      <rPr>
        <b/>
        <vertAlign val="subscript"/>
        <sz val="10"/>
        <color rgb="FF000000"/>
        <rFont val="Franklin Gothic Book"/>
        <family val="2"/>
      </rPr>
      <t>2-e</t>
    </r>
  </si>
  <si>
    <t>Outside the Leakage Belt: Local Deforestation Agents</t>
  </si>
  <si>
    <r>
      <t>tCO</t>
    </r>
    <r>
      <rPr>
        <b/>
        <vertAlign val="subscript"/>
        <sz val="10"/>
        <color rgb="FF000000"/>
        <rFont val="Franklin Gothic Book"/>
        <family val="2"/>
      </rPr>
      <t>2-e</t>
    </r>
    <r>
      <rPr>
        <b/>
        <sz val="10"/>
        <color rgb="FF000000"/>
        <rFont val="Franklin Gothic Book"/>
        <family val="2"/>
      </rPr>
      <t xml:space="preserve"> </t>
    </r>
  </si>
  <si>
    <t>Outside the Leakage Belt: Immigrant Deforestation Agents</t>
  </si>
  <si>
    <t>Total Leakage</t>
  </si>
  <si>
    <r>
      <t>tCO</t>
    </r>
    <r>
      <rPr>
        <b/>
        <vertAlign val="subscript"/>
        <sz val="10"/>
        <rFont val="Franklin Gothic Book"/>
        <family val="2"/>
      </rPr>
      <t>2-e</t>
    </r>
    <r>
      <rPr>
        <b/>
        <sz val="10"/>
        <rFont val="Franklin Gothic Book"/>
        <family val="2"/>
      </rPr>
      <t xml:space="preserve"> </t>
    </r>
  </si>
  <si>
    <t>Potential VPL</t>
  </si>
  <si>
    <t>Leakage emissions</t>
  </si>
  <si>
    <t>Buffer pool allocation</t>
  </si>
  <si>
    <t>VCUs eligible for issuance</t>
  </si>
  <si>
    <t>Estimated baseline emissions or removals</t>
  </si>
  <si>
    <t>Estimated leakage emissions</t>
  </si>
  <si>
    <r>
      <t>(tCO</t>
    </r>
    <r>
      <rPr>
        <b/>
        <vertAlign val="subscript"/>
        <sz val="10.5"/>
        <color rgb="FFFFFFFF"/>
        <rFont val="Franklin Gothic Book"/>
        <family val="2"/>
      </rPr>
      <t>2</t>
    </r>
    <r>
      <rPr>
        <b/>
        <sz val="10.5"/>
        <color rgb="FFFFFFFF"/>
        <rFont val="Franklin Gothic Book"/>
        <family val="2"/>
      </rPr>
      <t>e)</t>
    </r>
  </si>
  <si>
    <t xml:space="preserve">Total </t>
  </si>
  <si>
    <r>
      <t>PRODBM</t>
    </r>
    <r>
      <rPr>
        <b/>
        <vertAlign val="subscript"/>
        <sz val="11"/>
        <rFont val="Calibri"/>
        <family val="2"/>
        <scheme val="minor"/>
      </rPr>
      <t>LMA,t</t>
    </r>
  </si>
  <si>
    <r>
      <t>PRODBM</t>
    </r>
    <r>
      <rPr>
        <b/>
        <vertAlign val="subscript"/>
        <sz val="11"/>
        <rFont val="Calibri"/>
        <family val="2"/>
        <scheme val="minor"/>
      </rPr>
      <t>BL,t</t>
    </r>
  </si>
  <si>
    <t>Mean aboveground trees biomass</t>
  </si>
  <si>
    <t>Mean CO2 aboveground trees</t>
  </si>
  <si>
    <t>Stratified standart deviation</t>
  </si>
  <si>
    <t>Standard error</t>
  </si>
  <si>
    <t>Sampling error</t>
  </si>
  <si>
    <t>Coefficient of variance</t>
  </si>
  <si>
    <t>Superior confidence interval</t>
  </si>
  <si>
    <t>Inferior confidence interval</t>
  </si>
  <si>
    <t>Total aboveground trees</t>
  </si>
  <si>
    <t>Total aboveground trees biomass</t>
  </si>
  <si>
    <t>Stratified mean variance</t>
  </si>
  <si>
    <t>2019_Chapter 4_IPCC Guidelines for National Greenhouse Gas Inventories, pg. 4.18, Table 4.4.</t>
  </si>
  <si>
    <t>2007_Wood density in forests of Brazil’s ‘arc of deforestation’: Implications for biomass and flux of carbon from land-use change in Amazonia</t>
  </si>
  <si>
    <t>VCUs eligible for Issuance</t>
  </si>
  <si>
    <t>Baseline emissions</t>
  </si>
  <si>
    <t>Project emissions</t>
  </si>
  <si>
    <t xml:space="preserve">Net GHG emission reductions </t>
  </si>
  <si>
    <r>
      <t>t d.m.m</t>
    </r>
    <r>
      <rPr>
        <b/>
        <vertAlign val="superscript"/>
        <sz val="11"/>
        <color theme="1"/>
        <rFont val="Calibri"/>
        <family val="2"/>
        <scheme val="minor"/>
      </rPr>
      <t>-3</t>
    </r>
  </si>
  <si>
    <r>
      <t>D</t>
    </r>
    <r>
      <rPr>
        <b/>
        <vertAlign val="subscript"/>
        <sz val="11"/>
        <color theme="1"/>
        <rFont val="Calibri"/>
        <family val="2"/>
        <scheme val="minor"/>
      </rPr>
      <t>j</t>
    </r>
  </si>
  <si>
    <r>
      <t>C</t>
    </r>
    <r>
      <rPr>
        <b/>
        <vertAlign val="subscript"/>
        <sz val="11"/>
        <color theme="1"/>
        <rFont val="Calibri"/>
        <family val="2"/>
        <scheme val="minor"/>
      </rPr>
      <t>XB,ty,i</t>
    </r>
  </si>
  <si>
    <r>
      <t>C</t>
    </r>
    <r>
      <rPr>
        <b/>
        <vertAlign val="subscript"/>
        <sz val="11"/>
        <color theme="1"/>
        <rFont val="Calibri"/>
        <family val="2"/>
        <scheme val="minor"/>
      </rPr>
      <t>wp,i</t>
    </r>
  </si>
  <si>
    <r>
      <t>C</t>
    </r>
    <r>
      <rPr>
        <b/>
        <vertAlign val="subscript"/>
        <sz val="11"/>
        <color theme="1"/>
        <rFont val="Calibri"/>
        <family val="2"/>
        <scheme val="minor"/>
      </rPr>
      <t>WP100,i</t>
    </r>
  </si>
  <si>
    <r>
      <t>C</t>
    </r>
    <r>
      <rPr>
        <b/>
        <vertAlign val="subscript"/>
        <sz val="11"/>
        <color theme="1"/>
        <rFont val="Calibri"/>
        <family val="2"/>
        <scheme val="minor"/>
      </rPr>
      <t>WP100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</si>
</sst>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_-* #,##0.00_-;\-* #,##0.00_-;_-* &quot;-&quot;??_-;_-@_-"/>
    <numFmt numFmtId="165" formatCode="0.0%"/>
    <numFmt numFmtId="166" formatCode="0.0"/>
    <numFmt numFmtId="167" formatCode="_-* #,##0.00\ _€_-;\-* #,##0.00\ _€_-;_-* &quot;-&quot;??\ _€_-;_-@_-"/>
    <numFmt numFmtId="168" formatCode="_-* #,##0.000\ _€_-;\-* #,##0.000\ _€_-;_-* &quot;-&quot;??\ _€_-;_-@_-"/>
    <numFmt numFmtId="169" formatCode="_-* #,##0.0_-;\-* #,##0.0_-;_-* &quot;-&quot;??_-;_-@_-"/>
    <numFmt numFmtId="170" formatCode="_-* #,##0.0000_-;\-* #,##0.0000_-;_-* &quot;-&quot;??_-;_-@_-"/>
    <numFmt numFmtId="171" formatCode="_-* #,##0.0000\ _€_-;\-* #,##0.0000\ _€_-;_-* &quot;-&quot;??\ _€_-;_-@_-"/>
    <numFmt numFmtId="172" formatCode="#,##0.0"/>
    <numFmt numFmtId="173" formatCode="0.00000E+00"/>
    <numFmt numFmtId="174" formatCode="0.0000"/>
    <numFmt numFmtId="175" formatCode="0.00000"/>
    <numFmt numFmtId="176" formatCode="_-* #,##0.00000_-;\-* #,##0.00000_-;_-* &quot;-&quot;??_-;_-@_-"/>
    <numFmt numFmtId="177" formatCode="#,##0.000"/>
    <numFmt numFmtId="178" formatCode="#,##0.00_ ;[Red]\-#,##0.00\ "/>
    <numFmt numFmtId="179" formatCode="_-* #,##0_-;\-* #,##0_-;_-* &quot;-&quot;??_-;_-@_-"/>
    <numFmt numFmtId="180" formatCode="#,##0_ ;[Red]\-#,##0\ "/>
  </numFmts>
  <fonts count="6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sz val="9"/>
      <color theme="1"/>
      <name val="Calibri"/>
      <family val="2"/>
      <scheme val="minor"/>
    </font>
    <font>
      <b/>
      <sz val="9"/>
      <color theme="0"/>
      <name val="Calibri"/>
      <family val="2"/>
      <scheme val="minor"/>
    </font>
    <font>
      <sz val="8"/>
      <name val="Calibri"/>
      <family val="2"/>
      <scheme val="minor"/>
    </font>
    <font>
      <sz val="8"/>
      <color theme="9" tint="-0.499984740745262"/>
      <name val="Calibri"/>
      <family val="2"/>
      <scheme val="minor"/>
    </font>
    <font>
      <b/>
      <sz val="11"/>
      <color rgb="FF000000"/>
      <name val="Calibri"/>
      <family val="2"/>
      <scheme val="minor"/>
    </font>
    <font>
      <sz val="11"/>
      <color rgb="FF000000"/>
      <name val="Calibri"/>
      <family val="2"/>
      <scheme val="minor"/>
    </font>
    <font>
      <vertAlign val="subscript"/>
      <sz val="11"/>
      <color rgb="FF000000"/>
      <name val="Calibri"/>
      <family val="2"/>
      <scheme val="minor"/>
    </font>
    <font>
      <vertAlign val="subscript"/>
      <sz val="11"/>
      <color theme="1"/>
      <name val="Calibri"/>
      <family val="2"/>
      <scheme val="minor"/>
    </font>
    <font>
      <vertAlign val="superscript"/>
      <sz val="11"/>
      <color rgb="FF000000"/>
      <name val="Calibri"/>
      <family val="2"/>
      <scheme val="minor"/>
    </font>
    <font>
      <b/>
      <sz val="10"/>
      <color theme="1"/>
      <name val="Calibri"/>
      <family val="2"/>
      <scheme val="minor"/>
    </font>
    <font>
      <b/>
      <vertAlign val="subscript"/>
      <sz val="11"/>
      <color theme="1"/>
      <name val="Calibri"/>
      <family val="2"/>
      <scheme val="minor"/>
    </font>
    <font>
      <b/>
      <sz val="11"/>
      <name val="Calibri"/>
      <family val="2"/>
      <scheme val="minor"/>
    </font>
    <font>
      <vertAlign val="superscript"/>
      <sz val="11"/>
      <color theme="1"/>
      <name val="Calibri"/>
      <family val="2"/>
      <scheme val="minor"/>
    </font>
    <font>
      <b/>
      <vertAlign val="superscript"/>
      <sz val="11"/>
      <color theme="1"/>
      <name val="Calibri"/>
      <family val="2"/>
      <scheme val="minor"/>
    </font>
    <font>
      <b/>
      <vertAlign val="superscript"/>
      <sz val="11"/>
      <color theme="0"/>
      <name val="Calibri"/>
      <family val="2"/>
      <scheme val="minor"/>
    </font>
    <font>
      <sz val="11"/>
      <name val="Calibri"/>
      <family val="2"/>
      <scheme val="minor"/>
    </font>
    <font>
      <b/>
      <vertAlign val="superscript"/>
      <sz val="11"/>
      <name val="Calibri"/>
      <family val="2"/>
      <scheme val="minor"/>
    </font>
    <font>
      <b/>
      <vertAlign val="subscript"/>
      <sz val="11"/>
      <name val="Calibri"/>
      <family val="2"/>
      <scheme val="minor"/>
    </font>
    <font>
      <b/>
      <sz val="8"/>
      <name val="Calibri"/>
      <family val="2"/>
      <scheme val="minor"/>
    </font>
    <font>
      <b/>
      <sz val="8"/>
      <color theme="1"/>
      <name val="Calibri"/>
      <family val="2"/>
      <scheme val="minor"/>
    </font>
    <font>
      <b/>
      <sz val="11"/>
      <color theme="1"/>
      <name val="Arial"/>
      <family val="2"/>
    </font>
    <font>
      <b/>
      <vertAlign val="subscript"/>
      <sz val="11"/>
      <color theme="1"/>
      <name val="Arial"/>
      <family val="2"/>
    </font>
    <font>
      <b/>
      <vertAlign val="subscript"/>
      <sz val="10"/>
      <color theme="1"/>
      <name val="Calibri"/>
      <family val="2"/>
      <scheme val="minor"/>
    </font>
    <font>
      <b/>
      <sz val="9"/>
      <color theme="1"/>
      <name val="Arial"/>
      <family val="2"/>
    </font>
    <font>
      <b/>
      <vertAlign val="subscript"/>
      <sz val="9"/>
      <color theme="1"/>
      <name val="Calibri"/>
      <family val="2"/>
      <scheme val="minor"/>
    </font>
    <font>
      <b/>
      <sz val="9"/>
      <color theme="1"/>
      <name val="Calibri"/>
      <family val="2"/>
      <scheme val="minor"/>
    </font>
    <font>
      <b/>
      <sz val="8"/>
      <color theme="1"/>
      <name val="Arial"/>
      <family val="2"/>
    </font>
    <font>
      <b/>
      <vertAlign val="subscript"/>
      <sz val="8"/>
      <color theme="1"/>
      <name val="Arial"/>
      <family val="2"/>
    </font>
    <font>
      <b/>
      <vertAlign val="superscript"/>
      <sz val="8"/>
      <color theme="1"/>
      <name val="Arial"/>
      <family val="2"/>
    </font>
    <font>
      <b/>
      <vertAlign val="subscript"/>
      <sz val="8"/>
      <color theme="1"/>
      <name val="Calibri"/>
      <family val="2"/>
      <scheme val="minor"/>
    </font>
    <font>
      <b/>
      <vertAlign val="superscript"/>
      <sz val="10"/>
      <color theme="1"/>
      <name val="Calibri"/>
      <family val="2"/>
      <scheme val="minor"/>
    </font>
    <font>
      <b/>
      <sz val="10"/>
      <color theme="0"/>
      <name val="Calibri"/>
      <family val="2"/>
      <scheme val="minor"/>
    </font>
    <font>
      <b/>
      <vertAlign val="subscript"/>
      <sz val="10"/>
      <color theme="0"/>
      <name val="Calibri"/>
      <family val="2"/>
      <scheme val="minor"/>
    </font>
    <font>
      <b/>
      <vertAlign val="superscript"/>
      <sz val="10"/>
      <color theme="0"/>
      <name val="Calibri"/>
      <family val="2"/>
      <scheme val="minor"/>
    </font>
    <font>
      <sz val="11"/>
      <color rgb="FFFF0000"/>
      <name val="Calibri"/>
      <family val="2"/>
      <scheme val="minor"/>
    </font>
    <font>
      <b/>
      <sz val="10"/>
      <name val="Calibri"/>
      <family val="2"/>
      <scheme val="minor"/>
    </font>
    <font>
      <vertAlign val="subscript"/>
      <sz val="11"/>
      <name val="Calibri"/>
      <family val="2"/>
      <scheme val="minor"/>
    </font>
    <font>
      <vertAlign val="superscript"/>
      <sz val="11"/>
      <name val="Calibri"/>
      <family val="2"/>
      <scheme val="minor"/>
    </font>
    <font>
      <sz val="8"/>
      <color theme="1"/>
      <name val="Calibri"/>
      <family val="2"/>
      <scheme val="minor"/>
    </font>
    <font>
      <sz val="8"/>
      <color rgb="FFFF0000"/>
      <name val="Calibri"/>
      <family val="2"/>
      <scheme val="minor"/>
    </font>
    <font>
      <b/>
      <vertAlign val="subscript"/>
      <sz val="8"/>
      <name val="Calibri"/>
      <family val="2"/>
      <scheme val="minor"/>
    </font>
    <font>
      <b/>
      <vertAlign val="subscript"/>
      <sz val="11"/>
      <color theme="0"/>
      <name val="Calibri"/>
      <family val="2"/>
      <scheme val="minor"/>
    </font>
    <font>
      <sz val="10"/>
      <name val="Calibri"/>
      <family val="2"/>
      <scheme val="minor"/>
    </font>
    <font>
      <vertAlign val="subscript"/>
      <sz val="10"/>
      <name val="Calibri"/>
      <family val="2"/>
      <scheme val="minor"/>
    </font>
    <font>
      <u/>
      <sz val="11"/>
      <color theme="10"/>
      <name val="Calibri"/>
      <family val="2"/>
      <scheme val="minor"/>
    </font>
    <font>
      <b/>
      <sz val="10"/>
      <color theme="1"/>
      <name val="Franklin Gothic Book"/>
      <family val="2"/>
    </font>
    <font>
      <sz val="10"/>
      <color theme="1"/>
      <name val="Franklin Gothic Book"/>
      <family val="2"/>
    </font>
    <font>
      <sz val="11"/>
      <color rgb="FF000000"/>
      <name val="Calibri"/>
      <family val="2"/>
    </font>
    <font>
      <b/>
      <sz val="11"/>
      <color rgb="FFFFFFFF"/>
      <name val="Franklin Gothic Book"/>
      <family val="2"/>
    </font>
    <font>
      <b/>
      <sz val="10"/>
      <color rgb="FFFFFFFF"/>
      <name val="Franklin Gothic Book"/>
      <family val="2"/>
    </font>
    <font>
      <b/>
      <sz val="10"/>
      <color rgb="FF000000"/>
      <name val="Franklin Gothic Book"/>
      <family val="2"/>
    </font>
    <font>
      <b/>
      <vertAlign val="subscript"/>
      <sz val="10"/>
      <color rgb="FF000000"/>
      <name val="Franklin Gothic Book"/>
      <family val="2"/>
    </font>
    <font>
      <sz val="10"/>
      <color rgb="FF000000"/>
      <name val="Franklin Gothic Book"/>
      <family val="2"/>
    </font>
    <font>
      <b/>
      <sz val="10"/>
      <color theme="0"/>
      <name val="Franklin Gothic Book"/>
      <family val="2"/>
    </font>
    <font>
      <b/>
      <sz val="10"/>
      <name val="Franklin Gothic Book"/>
      <family val="2"/>
    </font>
    <font>
      <b/>
      <vertAlign val="subscript"/>
      <sz val="10"/>
      <name val="Franklin Gothic Book"/>
      <family val="2"/>
    </font>
    <font>
      <b/>
      <sz val="10.5"/>
      <color rgb="FFFFFFFF"/>
      <name val="Franklin Gothic Book"/>
      <family val="2"/>
    </font>
    <font>
      <b/>
      <vertAlign val="subscript"/>
      <sz val="10.5"/>
      <color rgb="FFFFFFFF"/>
      <name val="Franklin Gothic Book"/>
      <family val="2"/>
    </font>
    <font>
      <sz val="9.5"/>
      <name val="Franklin Gothic Book"/>
      <family val="2"/>
    </font>
    <font>
      <b/>
      <sz val="9.5"/>
      <name val="Franklin Gothic Book"/>
      <family val="2"/>
    </font>
    <font>
      <b/>
      <sz val="11"/>
      <color rgb="FFA9D08E"/>
      <name val="Calibri"/>
      <family val="2"/>
      <scheme val="minor"/>
    </font>
    <font>
      <b/>
      <sz val="11"/>
      <color rgb="FF44546A"/>
      <name val="Calibri"/>
      <family val="2"/>
      <scheme val="minor"/>
    </font>
    <font>
      <b/>
      <sz val="10"/>
      <color rgb="FFA9D08E"/>
      <name val="Calibri"/>
      <family val="2"/>
      <scheme val="minor"/>
    </font>
  </fonts>
  <fills count="37">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rgb="FFDDEBF7"/>
        <bgColor rgb="FFDDEBF7"/>
      </patternFill>
    </fill>
    <fill>
      <patternFill patternType="solid">
        <fgColor theme="0"/>
        <bgColor indexed="64"/>
      </patternFill>
    </fill>
    <fill>
      <patternFill patternType="solid">
        <fgColor theme="0" tint="-0.249977111117893"/>
        <bgColor indexed="64"/>
      </patternFill>
    </fill>
    <fill>
      <patternFill patternType="solid">
        <fgColor theme="3"/>
        <bgColor indexed="64"/>
      </patternFill>
    </fill>
    <fill>
      <patternFill patternType="solid">
        <fgColor theme="9"/>
        <bgColor indexed="64"/>
      </patternFill>
    </fill>
    <fill>
      <patternFill patternType="solid">
        <fgColor theme="3" tint="0.79998168889431442"/>
        <bgColor indexed="64"/>
      </patternFill>
    </fill>
    <fill>
      <patternFill patternType="solid">
        <fgColor theme="9" tint="-0.249977111117893"/>
        <bgColor indexed="64"/>
      </patternFill>
    </fill>
    <fill>
      <patternFill patternType="solid">
        <fgColor theme="2" tint="-9.9978637043366805E-2"/>
        <bgColor indexed="64"/>
      </patternFill>
    </fill>
    <fill>
      <patternFill patternType="solid">
        <fgColor theme="5"/>
        <bgColor indexed="64"/>
      </patternFill>
    </fill>
    <fill>
      <patternFill patternType="solid">
        <fgColor theme="7"/>
        <bgColor indexed="64"/>
      </patternFill>
    </fill>
    <fill>
      <patternFill patternType="solid">
        <fgColor theme="0" tint="-0.34998626667073579"/>
        <bgColor indexed="64"/>
      </patternFill>
    </fill>
    <fill>
      <patternFill patternType="solid">
        <fgColor theme="8"/>
        <bgColor indexed="64"/>
      </patternFill>
    </fill>
    <fill>
      <patternFill patternType="solid">
        <fgColor theme="0" tint="-0.499984740745262"/>
        <bgColor indexed="64"/>
      </patternFill>
    </fill>
    <fill>
      <patternFill patternType="solid">
        <fgColor theme="3" tint="0.59999389629810485"/>
        <bgColor indexed="64"/>
      </patternFill>
    </fill>
    <fill>
      <patternFill patternType="solid">
        <fgColor theme="0"/>
        <bgColor rgb="FFDDEBF7"/>
      </patternFill>
    </fill>
    <fill>
      <patternFill patternType="solid">
        <fgColor theme="3" tint="0.39997558519241921"/>
        <bgColor indexed="64"/>
      </patternFill>
    </fill>
    <fill>
      <patternFill patternType="solid">
        <fgColor theme="5" tint="0.39997558519241921"/>
        <bgColor indexed="64"/>
      </patternFill>
    </fill>
    <fill>
      <patternFill patternType="solid">
        <fgColor theme="1"/>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8" tint="0.79998168889431442"/>
        <bgColor rgb="FFDDEBF7"/>
      </patternFill>
    </fill>
    <fill>
      <patternFill patternType="solid">
        <fgColor theme="5" tint="-0.249977111117893"/>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rgb="FF44546A"/>
        <bgColor indexed="64"/>
      </patternFill>
    </fill>
    <fill>
      <patternFill patternType="solid">
        <fgColor rgb="FFA9D08E"/>
        <bgColor indexed="64"/>
      </patternFill>
    </fill>
    <fill>
      <patternFill patternType="solid">
        <fgColor rgb="FF2B3A57"/>
        <bgColor indexed="64"/>
      </patternFill>
    </fill>
    <fill>
      <patternFill patternType="solid">
        <fgColor rgb="FFF2F2F2"/>
        <bgColor indexed="64"/>
      </patternFill>
    </fill>
  </fills>
  <borders count="20">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FFFFFF"/>
      </left>
      <right style="medium">
        <color rgb="FFFFFFFF"/>
      </right>
      <top style="medium">
        <color rgb="FFFFFFFF"/>
      </top>
      <bottom/>
      <diagonal/>
    </border>
    <border>
      <left style="medium">
        <color rgb="FFFFFFFF"/>
      </left>
      <right style="medium">
        <color rgb="FFFFFFFF"/>
      </right>
      <top/>
      <bottom style="medium">
        <color rgb="FFFFFFFF"/>
      </bottom>
      <diagonal/>
    </border>
    <border>
      <left/>
      <right style="medium">
        <color rgb="FFFFFFFF"/>
      </right>
      <top style="medium">
        <color rgb="FFFFFFFF"/>
      </top>
      <bottom/>
      <diagonal/>
    </border>
    <border>
      <left/>
      <right style="medium">
        <color rgb="FFFFFFFF"/>
      </right>
      <top/>
      <bottom style="medium">
        <color rgb="FFFFFFFF"/>
      </bottom>
      <diagonal/>
    </border>
    <border>
      <left style="medium">
        <color rgb="FFFFFFFF"/>
      </left>
      <right style="medium">
        <color rgb="FFFFFFFF"/>
      </right>
      <top/>
      <bottom style="double">
        <color rgb="FFFFFFFF"/>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50" fillId="0" borderId="0" applyNumberFormat="0" applyFill="0" applyBorder="0" applyAlignment="0" applyProtection="0"/>
  </cellStyleXfs>
  <cellXfs count="485">
    <xf numFmtId="0" fontId="0" fillId="0" borderId="0" xfId="0"/>
    <xf numFmtId="0" fontId="0" fillId="0" borderId="0" xfId="0" applyAlignment="1">
      <alignment horizontal="center"/>
    </xf>
    <xf numFmtId="0" fontId="3" fillId="0" borderId="0" xfId="0" applyFont="1" applyAlignment="1">
      <alignment horizontal="center"/>
    </xf>
    <xf numFmtId="0" fontId="3" fillId="2" borderId="0" xfId="0" applyFont="1" applyFill="1" applyAlignment="1">
      <alignment horizontal="center"/>
    </xf>
    <xf numFmtId="0" fontId="0" fillId="0" borderId="0" xfId="0" applyAlignment="1">
      <alignment wrapText="1"/>
    </xf>
    <xf numFmtId="0" fontId="3" fillId="0" borderId="0" xfId="0" applyFont="1" applyAlignment="1">
      <alignment horizontal="left"/>
    </xf>
    <xf numFmtId="0" fontId="3" fillId="0" borderId="0" xfId="0" applyFont="1" applyAlignment="1">
      <alignment horizontal="left" vertical="center" wrapText="1"/>
    </xf>
    <xf numFmtId="0" fontId="0" fillId="0" borderId="0" xfId="0" applyAlignment="1">
      <alignment horizontal="center" vertical="center"/>
    </xf>
    <xf numFmtId="0" fontId="0" fillId="0" borderId="0" xfId="0" applyAlignmen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10" fillId="0" borderId="0" xfId="0" applyFont="1" applyAlignment="1">
      <alignment horizontal="center"/>
    </xf>
    <xf numFmtId="4" fontId="10" fillId="0" borderId="0" xfId="0" applyNumberFormat="1" applyFont="1" applyAlignment="1">
      <alignment horizontal="center"/>
    </xf>
    <xf numFmtId="0" fontId="11" fillId="0" borderId="0" xfId="0" applyFont="1" applyAlignment="1">
      <alignment horizontal="center"/>
    </xf>
    <xf numFmtId="4" fontId="11" fillId="0" borderId="0" xfId="0" applyNumberFormat="1" applyFont="1" applyAlignment="1">
      <alignment horizontal="center"/>
    </xf>
    <xf numFmtId="0" fontId="5" fillId="0" borderId="0" xfId="0" applyFont="1" applyAlignment="1">
      <alignment horizontal="center"/>
    </xf>
    <xf numFmtId="0" fontId="15" fillId="0" borderId="0" xfId="0" applyFont="1" applyAlignment="1">
      <alignment horizontal="center"/>
    </xf>
    <xf numFmtId="0" fontId="11" fillId="0" borderId="0" xfId="0" applyFont="1" applyAlignment="1">
      <alignment horizontal="left"/>
    </xf>
    <xf numFmtId="0" fontId="11" fillId="0" borderId="0" xfId="0" applyFont="1" applyAlignment="1">
      <alignment horizontal="left" wrapText="1"/>
    </xf>
    <xf numFmtId="0" fontId="11" fillId="0" borderId="0" xfId="0" applyFont="1" applyAlignment="1">
      <alignment horizontal="left" vertical="center"/>
    </xf>
    <xf numFmtId="0" fontId="11" fillId="0" borderId="0" xfId="0" applyFont="1" applyAlignment="1">
      <alignment horizontal="center" vertical="center"/>
    </xf>
    <xf numFmtId="0" fontId="0" fillId="8" borderId="0" xfId="0" applyFill="1" applyAlignment="1">
      <alignment horizontal="center"/>
    </xf>
    <xf numFmtId="0" fontId="0" fillId="8" borderId="0" xfId="0" applyFill="1"/>
    <xf numFmtId="164" fontId="0" fillId="0" borderId="0" xfId="1" applyFont="1" applyBorder="1"/>
    <xf numFmtId="164" fontId="0" fillId="0" borderId="0" xfId="1" applyFont="1"/>
    <xf numFmtId="164" fontId="0" fillId="8" borderId="0" xfId="1" applyFont="1" applyFill="1" applyBorder="1" applyAlignment="1">
      <alignment horizontal="center" vertical="center"/>
    </xf>
    <xf numFmtId="164" fontId="0" fillId="8" borderId="0" xfId="1" applyFont="1" applyFill="1" applyBorder="1"/>
    <xf numFmtId="0" fontId="3" fillId="8" borderId="1" xfId="0" applyFont="1" applyFill="1" applyBorder="1"/>
    <xf numFmtId="0" fontId="3" fillId="8" borderId="1" xfId="0" applyFont="1" applyFill="1" applyBorder="1" applyAlignment="1">
      <alignment horizontal="center"/>
    </xf>
    <xf numFmtId="164" fontId="3" fillId="8" borderId="1" xfId="1" applyFont="1" applyFill="1" applyBorder="1" applyAlignment="1">
      <alignment horizontal="center" vertical="center"/>
    </xf>
    <xf numFmtId="0" fontId="3" fillId="2" borderId="0" xfId="0" applyFont="1" applyFill="1" applyAlignment="1">
      <alignment horizontal="center" vertical="center" wrapText="1"/>
    </xf>
    <xf numFmtId="0" fontId="9" fillId="3" borderId="5" xfId="0" applyFont="1" applyFill="1" applyBorder="1" applyAlignment="1">
      <alignment horizontal="center" vertical="center"/>
    </xf>
    <xf numFmtId="0" fontId="8" fillId="6" borderId="5" xfId="0" applyFont="1" applyFill="1" applyBorder="1" applyAlignment="1">
      <alignment horizontal="center" vertical="center"/>
    </xf>
    <xf numFmtId="0" fontId="8" fillId="4" borderId="5" xfId="0" applyFont="1" applyFill="1" applyBorder="1" applyAlignment="1">
      <alignment horizontal="center" vertical="center"/>
    </xf>
    <xf numFmtId="0" fontId="8" fillId="5" borderId="5" xfId="0" applyFont="1" applyFill="1" applyBorder="1" applyAlignment="1">
      <alignment horizontal="center" vertical="center"/>
    </xf>
    <xf numFmtId="0" fontId="8" fillId="7" borderId="7" xfId="0" applyFont="1" applyFill="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2" fillId="12" borderId="0" xfId="0" applyFont="1" applyFill="1" applyAlignment="1">
      <alignment horizontal="center"/>
    </xf>
    <xf numFmtId="0" fontId="7" fillId="12" borderId="10" xfId="0" applyFont="1" applyFill="1" applyBorder="1" applyAlignment="1">
      <alignment horizontal="center" vertical="center"/>
    </xf>
    <xf numFmtId="0" fontId="2" fillId="12" borderId="0" xfId="0" applyFont="1" applyFill="1" applyAlignment="1">
      <alignment horizontal="center" vertical="center"/>
    </xf>
    <xf numFmtId="0" fontId="4" fillId="12" borderId="0" xfId="0" applyFont="1" applyFill="1"/>
    <xf numFmtId="0" fontId="2" fillId="0" borderId="0" xfId="0" applyFont="1" applyAlignment="1">
      <alignment vertical="center" wrapText="1"/>
    </xf>
    <xf numFmtId="0" fontId="17" fillId="0" borderId="0" xfId="0" applyFont="1" applyAlignment="1">
      <alignment vertical="center" wrapText="1"/>
    </xf>
    <xf numFmtId="0" fontId="21" fillId="0" borderId="0" xfId="0" applyFont="1"/>
    <xf numFmtId="0" fontId="17" fillId="0" borderId="1" xfId="0" applyFont="1" applyBorder="1" applyAlignment="1">
      <alignment vertical="center" wrapText="1"/>
    </xf>
    <xf numFmtId="0" fontId="3" fillId="0" borderId="0" xfId="0" applyFont="1"/>
    <xf numFmtId="2" fontId="17" fillId="0" borderId="0" xfId="0" applyNumberFormat="1" applyFont="1" applyAlignment="1">
      <alignment vertical="center" wrapText="1"/>
    </xf>
    <xf numFmtId="0" fontId="24" fillId="0" borderId="0" xfId="0" applyFont="1" applyAlignment="1">
      <alignment vertical="center" wrapText="1"/>
    </xf>
    <xf numFmtId="0" fontId="0" fillId="0" borderId="0" xfId="0" applyAlignment="1">
      <alignment horizontal="left" vertical="center" wrapText="1"/>
    </xf>
    <xf numFmtId="166" fontId="0" fillId="0" borderId="0" xfId="0" applyNumberFormat="1" applyAlignment="1">
      <alignment horizontal="center" vertical="center"/>
    </xf>
    <xf numFmtId="0" fontId="2" fillId="12" borderId="0" xfId="0" applyFont="1" applyFill="1" applyAlignment="1">
      <alignment horizontal="center" vertical="center" wrapText="1"/>
    </xf>
    <xf numFmtId="0" fontId="32" fillId="14" borderId="0" xfId="0" applyFont="1" applyFill="1" applyAlignment="1">
      <alignment horizontal="center" vertical="center" wrapText="1"/>
    </xf>
    <xf numFmtId="0" fontId="2" fillId="12" borderId="0" xfId="0" applyFont="1" applyFill="1" applyAlignment="1">
      <alignment horizontal="left" vertical="center"/>
    </xf>
    <xf numFmtId="0" fontId="29" fillId="14" borderId="0" xfId="0" applyFont="1" applyFill="1" applyAlignment="1">
      <alignment horizontal="center" vertical="center" wrapText="1"/>
    </xf>
    <xf numFmtId="0" fontId="26" fillId="14" borderId="0" xfId="0" applyFont="1" applyFill="1" applyAlignment="1">
      <alignment horizontal="center" vertical="center" wrapText="1"/>
    </xf>
    <xf numFmtId="0" fontId="29" fillId="14" borderId="1" xfId="0" applyFont="1" applyFill="1" applyBorder="1" applyAlignment="1">
      <alignment horizontal="center" vertical="center" wrapText="1"/>
    </xf>
    <xf numFmtId="0" fontId="32" fillId="14" borderId="1" xfId="0" applyFont="1" applyFill="1" applyBorder="1" applyAlignment="1">
      <alignment horizontal="center" vertical="center" wrapText="1"/>
    </xf>
    <xf numFmtId="0" fontId="32" fillId="14" borderId="2" xfId="0" applyFont="1" applyFill="1" applyBorder="1" applyAlignment="1">
      <alignment horizontal="center" vertical="center" wrapText="1"/>
    </xf>
    <xf numFmtId="0" fontId="4" fillId="12" borderId="0" xfId="0" applyFont="1" applyFill="1" applyAlignment="1">
      <alignment vertical="center"/>
    </xf>
    <xf numFmtId="164" fontId="3" fillId="3" borderId="0" xfId="1" applyFont="1" applyFill="1" applyBorder="1" applyAlignment="1">
      <alignment vertical="center"/>
    </xf>
    <xf numFmtId="164" fontId="3" fillId="3" borderId="2" xfId="1" applyFont="1" applyFill="1" applyBorder="1" applyAlignment="1">
      <alignment vertical="center"/>
    </xf>
    <xf numFmtId="164" fontId="3" fillId="3" borderId="1" xfId="1" applyFont="1" applyFill="1" applyBorder="1" applyAlignment="1">
      <alignment vertical="center"/>
    </xf>
    <xf numFmtId="0" fontId="31" fillId="0" borderId="0" xfId="0" applyFont="1" applyAlignment="1">
      <alignment horizontal="left"/>
    </xf>
    <xf numFmtId="0" fontId="15" fillId="0" borderId="0" xfId="0" applyFont="1" applyAlignment="1">
      <alignment horizontal="left" wrapText="1"/>
    </xf>
    <xf numFmtId="0" fontId="15" fillId="0" borderId="0" xfId="0" applyFont="1" applyAlignment="1">
      <alignment horizontal="center" vertical="center"/>
    </xf>
    <xf numFmtId="0" fontId="0" fillId="0" borderId="0" xfId="0" applyAlignment="1">
      <alignment horizontal="center" textRotation="90" wrapText="1"/>
    </xf>
    <xf numFmtId="0" fontId="2" fillId="15" borderId="0" xfId="0" applyFont="1" applyFill="1" applyAlignment="1">
      <alignment horizontal="center"/>
    </xf>
    <xf numFmtId="164" fontId="3" fillId="3" borderId="0" xfId="0" applyNumberFormat="1" applyFont="1" applyFill="1" applyAlignment="1">
      <alignment horizontal="center"/>
    </xf>
    <xf numFmtId="0" fontId="3" fillId="3" borderId="0" xfId="0" applyFont="1" applyFill="1" applyAlignment="1">
      <alignment horizontal="center"/>
    </xf>
    <xf numFmtId="0" fontId="3" fillId="2" borderId="0" xfId="0" applyFont="1" applyFill="1" applyAlignment="1">
      <alignment horizontal="center" vertical="center"/>
    </xf>
    <xf numFmtId="0" fontId="17" fillId="0" borderId="0" xfId="0" applyFont="1" applyAlignment="1">
      <alignment horizontal="left" vertical="center" wrapText="1"/>
    </xf>
    <xf numFmtId="0" fontId="17" fillId="0" borderId="1" xfId="0" applyFont="1" applyBorder="1" applyAlignment="1">
      <alignment horizontal="left" vertical="center" wrapText="1"/>
    </xf>
    <xf numFmtId="0" fontId="15" fillId="0" borderId="1" xfId="0" applyFont="1" applyBorder="1" applyAlignment="1">
      <alignment horizontal="center"/>
    </xf>
    <xf numFmtId="164" fontId="0" fillId="0" borderId="1" xfId="1" applyFont="1" applyBorder="1"/>
    <xf numFmtId="164" fontId="0" fillId="8" borderId="0" xfId="1" applyFont="1" applyFill="1"/>
    <xf numFmtId="164" fontId="21" fillId="0" borderId="1" xfId="1" applyFont="1" applyBorder="1"/>
    <xf numFmtId="0" fontId="2" fillId="12" borderId="0" xfId="0" applyFont="1" applyFill="1" applyAlignment="1">
      <alignment horizontal="center" wrapText="1"/>
    </xf>
    <xf numFmtId="0" fontId="37" fillId="12" borderId="0" xfId="0" applyFont="1" applyFill="1" applyAlignment="1">
      <alignment horizontal="center" wrapText="1"/>
    </xf>
    <xf numFmtId="164" fontId="3" fillId="8" borderId="0" xfId="1" applyFont="1" applyFill="1"/>
    <xf numFmtId="164" fontId="3" fillId="0" borderId="0" xfId="1" applyFont="1"/>
    <xf numFmtId="0" fontId="3" fillId="0" borderId="1" xfId="0" applyFont="1" applyBorder="1" applyAlignment="1">
      <alignment horizontal="center"/>
    </xf>
    <xf numFmtId="164" fontId="3" fillId="8" borderId="1" xfId="1" applyFont="1" applyFill="1" applyBorder="1"/>
    <xf numFmtId="164" fontId="3" fillId="8" borderId="0" xfId="1" applyFont="1" applyFill="1" applyBorder="1"/>
    <xf numFmtId="0" fontId="3" fillId="0" borderId="2" xfId="0" applyFont="1" applyBorder="1" applyAlignment="1">
      <alignment horizontal="center"/>
    </xf>
    <xf numFmtId="164" fontId="0" fillId="8" borderId="2" xfId="1" applyFont="1" applyFill="1" applyBorder="1"/>
    <xf numFmtId="164" fontId="3" fillId="0" borderId="2" xfId="1" applyFont="1" applyBorder="1"/>
    <xf numFmtId="164" fontId="0" fillId="8" borderId="2" xfId="1" applyFont="1" applyFill="1" applyBorder="1" applyAlignment="1">
      <alignment horizontal="center" vertical="center"/>
    </xf>
    <xf numFmtId="164" fontId="0" fillId="8" borderId="1" xfId="1" applyFont="1" applyFill="1" applyBorder="1" applyAlignment="1">
      <alignment horizontal="center" vertical="center"/>
    </xf>
    <xf numFmtId="164" fontId="0" fillId="8" borderId="0" xfId="0" applyNumberFormat="1" applyFill="1" applyAlignment="1">
      <alignment horizontal="center" vertical="center"/>
    </xf>
    <xf numFmtId="164" fontId="0" fillId="8" borderId="0" xfId="1" applyFont="1" applyFill="1" applyAlignment="1">
      <alignment horizontal="center" vertical="center"/>
    </xf>
    <xf numFmtId="164" fontId="0" fillId="8" borderId="0" xfId="1" applyFont="1" applyFill="1" applyAlignment="1">
      <alignment horizontal="center"/>
    </xf>
    <xf numFmtId="0" fontId="0" fillId="0" borderId="0" xfId="0" applyAlignment="1">
      <alignment horizontal="left" vertical="center"/>
    </xf>
    <xf numFmtId="164" fontId="3" fillId="4" borderId="0" xfId="1" applyFont="1" applyFill="1"/>
    <xf numFmtId="164" fontId="0" fillId="4" borderId="0" xfId="1" applyFont="1" applyFill="1" applyBorder="1" applyAlignment="1">
      <alignment horizontal="center" vertical="center"/>
    </xf>
    <xf numFmtId="164" fontId="21" fillId="8" borderId="0" xfId="1" applyFont="1" applyFill="1" applyBorder="1" applyAlignment="1">
      <alignment horizontal="center" vertical="center"/>
    </xf>
    <xf numFmtId="165" fontId="0" fillId="4" borderId="0" xfId="2" applyNumberFormat="1" applyFont="1" applyFill="1" applyAlignment="1">
      <alignment horizontal="center" vertical="center"/>
    </xf>
    <xf numFmtId="0" fontId="3" fillId="0" borderId="2" xfId="0" applyFont="1" applyBorder="1"/>
    <xf numFmtId="164" fontId="3" fillId="4" borderId="0" xfId="1" applyFont="1" applyFill="1" applyBorder="1"/>
    <xf numFmtId="164" fontId="0" fillId="0" borderId="0" xfId="0" applyNumberFormat="1"/>
    <xf numFmtId="0" fontId="17" fillId="0" borderId="2" xfId="0" applyFont="1" applyBorder="1" applyAlignment="1">
      <alignment vertical="center" wrapText="1"/>
    </xf>
    <xf numFmtId="0" fontId="0" fillId="0" borderId="2" xfId="0" applyBorder="1"/>
    <xf numFmtId="0" fontId="3" fillId="0" borderId="1" xfId="0" applyFont="1" applyBorder="1"/>
    <xf numFmtId="0" fontId="0" fillId="0" borderId="1" xfId="0" applyBorder="1"/>
    <xf numFmtId="0" fontId="40" fillId="0" borderId="0" xfId="0" applyFont="1" applyAlignment="1">
      <alignment horizontal="center"/>
    </xf>
    <xf numFmtId="0" fontId="21" fillId="0" borderId="0" xfId="0" applyFont="1" applyAlignment="1">
      <alignment horizontal="center"/>
    </xf>
    <xf numFmtId="167" fontId="3" fillId="4" borderId="1" xfId="0" applyNumberFormat="1" applyFont="1" applyFill="1" applyBorder="1" applyAlignment="1">
      <alignment vertical="center"/>
    </xf>
    <xf numFmtId="0" fontId="17" fillId="10" borderId="1" xfId="0" applyFont="1" applyFill="1" applyBorder="1" applyAlignment="1">
      <alignment horizontal="center" vertical="center" wrapText="1"/>
    </xf>
    <xf numFmtId="164" fontId="21" fillId="8" borderId="0" xfId="1" applyFont="1" applyFill="1"/>
    <xf numFmtId="164" fontId="21" fillId="0" borderId="0" xfId="1" applyFont="1"/>
    <xf numFmtId="164" fontId="21" fillId="0" borderId="0" xfId="1" applyFont="1" applyBorder="1"/>
    <xf numFmtId="0" fontId="0" fillId="0" borderId="0" xfId="0" applyAlignment="1">
      <alignment horizontal="center" vertical="center" wrapText="1"/>
    </xf>
    <xf numFmtId="0" fontId="3" fillId="0" borderId="1" xfId="0" applyFont="1" applyBorder="1" applyAlignment="1">
      <alignment horizontal="left"/>
    </xf>
    <xf numFmtId="164" fontId="1" fillId="0" borderId="1" xfId="1" applyFont="1" applyBorder="1"/>
    <xf numFmtId="164" fontId="1" fillId="0" borderId="0" xfId="1" applyFont="1" applyBorder="1"/>
    <xf numFmtId="0" fontId="3" fillId="0" borderId="0" xfId="0" applyFont="1" applyAlignment="1">
      <alignment horizontal="left" wrapText="1"/>
    </xf>
    <xf numFmtId="165" fontId="0" fillId="8" borderId="0" xfId="2" applyNumberFormat="1" applyFont="1" applyFill="1" applyBorder="1" applyAlignment="1"/>
    <xf numFmtId="164" fontId="0" fillId="8" borderId="0" xfId="1" applyFont="1" applyFill="1" applyBorder="1" applyAlignment="1"/>
    <xf numFmtId="164" fontId="0" fillId="8" borderId="0" xfId="1" applyFont="1" applyFill="1" applyAlignment="1"/>
    <xf numFmtId="164" fontId="0" fillId="8" borderId="0" xfId="0" applyNumberFormat="1" applyFill="1"/>
    <xf numFmtId="164" fontId="0" fillId="11" borderId="0" xfId="1" applyFont="1" applyFill="1" applyAlignment="1"/>
    <xf numFmtId="9" fontId="0" fillId="11" borderId="0" xfId="2" applyFont="1" applyFill="1" applyAlignment="1"/>
    <xf numFmtId="167" fontId="0" fillId="8" borderId="0" xfId="0" applyNumberFormat="1" applyFill="1"/>
    <xf numFmtId="168" fontId="0" fillId="8" borderId="0" xfId="0" applyNumberFormat="1" applyFill="1"/>
    <xf numFmtId="0" fontId="0" fillId="0" borderId="0" xfId="0" applyAlignment="1">
      <alignment horizontal="center" wrapText="1"/>
    </xf>
    <xf numFmtId="0" fontId="44" fillId="0" borderId="0" xfId="0" applyFont="1"/>
    <xf numFmtId="0" fontId="3" fillId="8" borderId="0" xfId="0" applyFont="1" applyFill="1" applyAlignment="1">
      <alignment horizontal="left"/>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6" xfId="0" applyFont="1" applyFill="1" applyBorder="1" applyAlignment="1">
      <alignment horizontal="center" vertical="center"/>
    </xf>
    <xf numFmtId="164" fontId="0" fillId="8" borderId="5" xfId="0" applyNumberFormat="1" applyFill="1" applyBorder="1" applyAlignment="1">
      <alignment horizontal="center" vertical="center"/>
    </xf>
    <xf numFmtId="164" fontId="0" fillId="8" borderId="6" xfId="1" applyFont="1" applyFill="1" applyBorder="1" applyAlignment="1">
      <alignment horizontal="center" vertical="center"/>
    </xf>
    <xf numFmtId="164" fontId="3" fillId="3" borderId="7" xfId="0" applyNumberFormat="1" applyFont="1" applyFill="1" applyBorder="1" applyAlignment="1">
      <alignment horizontal="center"/>
    </xf>
    <xf numFmtId="0" fontId="3" fillId="3" borderId="8" xfId="0" applyFont="1" applyFill="1" applyBorder="1" applyAlignment="1">
      <alignment horizontal="center"/>
    </xf>
    <xf numFmtId="167" fontId="0" fillId="11" borderId="0" xfId="0" applyNumberFormat="1" applyFill="1"/>
    <xf numFmtId="0" fontId="3" fillId="11" borderId="0" xfId="0" applyFont="1" applyFill="1" applyAlignment="1">
      <alignment horizontal="left"/>
    </xf>
    <xf numFmtId="0" fontId="0" fillId="11" borderId="0" xfId="0" applyFill="1" applyAlignment="1">
      <alignment horizontal="center"/>
    </xf>
    <xf numFmtId="0" fontId="31" fillId="0" borderId="0" xfId="0" applyFont="1" applyAlignment="1">
      <alignment horizontal="left" vertical="center"/>
    </xf>
    <xf numFmtId="0" fontId="31" fillId="0" borderId="2" xfId="0" applyFont="1" applyBorder="1" applyAlignment="1">
      <alignment horizontal="left" vertical="center"/>
    </xf>
    <xf numFmtId="0" fontId="15" fillId="0" borderId="2" xfId="0" applyFont="1" applyBorder="1" applyAlignment="1">
      <alignment horizontal="center" vertical="center"/>
    </xf>
    <xf numFmtId="164" fontId="3" fillId="4" borderId="2" xfId="1" applyFont="1" applyFill="1" applyBorder="1" applyAlignment="1">
      <alignment vertical="center"/>
    </xf>
    <xf numFmtId="0" fontId="31" fillId="0" borderId="1" xfId="0" applyFont="1" applyBorder="1" applyAlignment="1">
      <alignment horizontal="left" vertical="center"/>
    </xf>
    <xf numFmtId="0" fontId="15" fillId="0" borderId="1" xfId="0" applyFont="1" applyBorder="1" applyAlignment="1">
      <alignment horizontal="center" vertical="center"/>
    </xf>
    <xf numFmtId="164" fontId="3" fillId="4" borderId="1" xfId="1" applyFont="1" applyFill="1" applyBorder="1" applyAlignment="1">
      <alignment vertical="center"/>
    </xf>
    <xf numFmtId="0" fontId="31" fillId="0" borderId="1" xfId="0" applyFont="1" applyBorder="1" applyAlignment="1">
      <alignment horizontal="left"/>
    </xf>
    <xf numFmtId="164" fontId="0" fillId="8" borderId="1" xfId="1" applyFont="1" applyFill="1" applyBorder="1" applyAlignment="1">
      <alignment horizontal="center"/>
    </xf>
    <xf numFmtId="164" fontId="3" fillId="4" borderId="1" xfId="1" applyFont="1" applyFill="1" applyBorder="1"/>
    <xf numFmtId="0" fontId="31" fillId="0" borderId="2" xfId="0" applyFont="1" applyBorder="1" applyAlignment="1">
      <alignment horizontal="left"/>
    </xf>
    <xf numFmtId="0" fontId="15" fillId="0" borderId="2" xfId="0" applyFont="1" applyBorder="1" applyAlignment="1">
      <alignment horizontal="center"/>
    </xf>
    <xf numFmtId="164" fontId="0" fillId="8" borderId="2" xfId="1" applyFont="1" applyFill="1" applyBorder="1" applyAlignment="1">
      <alignment horizontal="center"/>
    </xf>
    <xf numFmtId="164" fontId="3" fillId="4" borderId="2" xfId="1" applyFont="1" applyFill="1" applyBorder="1"/>
    <xf numFmtId="164" fontId="21" fillId="10" borderId="0" xfId="1" applyFont="1" applyFill="1" applyBorder="1"/>
    <xf numFmtId="164" fontId="0" fillId="10" borderId="0" xfId="1" applyFont="1" applyFill="1" applyBorder="1"/>
    <xf numFmtId="164" fontId="21" fillId="8" borderId="0" xfId="1" applyFont="1" applyFill="1" applyBorder="1"/>
    <xf numFmtId="164" fontId="0" fillId="8" borderId="0" xfId="1" applyFont="1" applyFill="1" applyBorder="1" applyAlignment="1">
      <alignment horizontal="center"/>
    </xf>
    <xf numFmtId="0" fontId="17" fillId="10" borderId="0" xfId="0" applyFont="1" applyFill="1" applyAlignment="1">
      <alignment horizontal="center" vertical="center" wrapText="1"/>
    </xf>
    <xf numFmtId="0" fontId="21" fillId="10" borderId="0" xfId="0" applyFont="1" applyFill="1" applyAlignment="1">
      <alignment horizontal="center" vertical="center" wrapText="1"/>
    </xf>
    <xf numFmtId="9" fontId="0" fillId="0" borderId="0" xfId="2" applyFont="1"/>
    <xf numFmtId="0" fontId="17" fillId="10" borderId="0" xfId="0" applyFont="1" applyFill="1" applyAlignment="1">
      <alignment horizontal="left" vertical="center" wrapText="1"/>
    </xf>
    <xf numFmtId="169" fontId="1" fillId="0" borderId="0" xfId="1" applyNumberFormat="1" applyFont="1"/>
    <xf numFmtId="164" fontId="0" fillId="10" borderId="0" xfId="1" applyFont="1" applyFill="1" applyAlignment="1">
      <alignment horizontal="center" vertical="center"/>
    </xf>
    <xf numFmtId="164" fontId="0" fillId="10" borderId="0" xfId="1" applyFont="1" applyFill="1" applyBorder="1" applyAlignment="1">
      <alignment horizontal="center" vertical="center"/>
    </xf>
    <xf numFmtId="164" fontId="40" fillId="8" borderId="0" xfId="1" applyFont="1" applyFill="1" applyAlignment="1">
      <alignment vertical="center" wrapText="1"/>
    </xf>
    <xf numFmtId="164" fontId="21" fillId="8" borderId="0" xfId="1" applyFont="1" applyFill="1" applyAlignment="1">
      <alignment vertical="center" wrapText="1"/>
    </xf>
    <xf numFmtId="164" fontId="17" fillId="4" borderId="0" xfId="1" applyFont="1" applyFill="1" applyAlignment="1">
      <alignment vertical="center" wrapText="1"/>
    </xf>
    <xf numFmtId="164" fontId="21" fillId="8" borderId="0" xfId="1" applyFont="1" applyFill="1" applyBorder="1" applyAlignment="1">
      <alignment vertical="center" wrapText="1"/>
    </xf>
    <xf numFmtId="0" fontId="3" fillId="18" borderId="0" xfId="0" applyFont="1" applyFill="1"/>
    <xf numFmtId="0" fontId="31" fillId="0" borderId="0" xfId="0" applyFont="1"/>
    <xf numFmtId="0" fontId="17" fillId="24" borderId="0" xfId="0" applyFont="1" applyFill="1" applyAlignment="1">
      <alignment vertical="center" wrapText="1"/>
    </xf>
    <xf numFmtId="2" fontId="17" fillId="24" borderId="0" xfId="0" applyNumberFormat="1" applyFont="1" applyFill="1" applyAlignment="1">
      <alignment vertical="center" wrapText="1"/>
    </xf>
    <xf numFmtId="0" fontId="17" fillId="25" borderId="0" xfId="0" applyFont="1" applyFill="1" applyAlignment="1">
      <alignment vertical="center" wrapText="1"/>
    </xf>
    <xf numFmtId="2" fontId="17" fillId="25" borderId="0" xfId="0" applyNumberFormat="1" applyFont="1" applyFill="1" applyAlignment="1">
      <alignment vertical="center" wrapText="1"/>
    </xf>
    <xf numFmtId="0" fontId="17" fillId="10" borderId="0" xfId="0" applyFont="1" applyFill="1" applyAlignment="1">
      <alignment vertical="center" wrapText="1"/>
    </xf>
    <xf numFmtId="0" fontId="17" fillId="8" borderId="0" xfId="0" applyFont="1" applyFill="1" applyAlignment="1">
      <alignment vertical="center" wrapText="1"/>
    </xf>
    <xf numFmtId="2" fontId="21" fillId="10" borderId="0" xfId="0" applyNumberFormat="1" applyFont="1" applyFill="1" applyAlignment="1">
      <alignment vertical="center" wrapText="1"/>
    </xf>
    <xf numFmtId="0" fontId="2" fillId="10" borderId="0" xfId="0" applyFont="1" applyFill="1" applyAlignment="1">
      <alignment horizontal="center" vertical="center" textRotation="90" wrapText="1"/>
    </xf>
    <xf numFmtId="167" fontId="21" fillId="10" borderId="0" xfId="0" applyNumberFormat="1" applyFont="1" applyFill="1" applyAlignment="1">
      <alignment vertical="center" wrapText="1"/>
    </xf>
    <xf numFmtId="2" fontId="17" fillId="10" borderId="0" xfId="0" applyNumberFormat="1" applyFont="1" applyFill="1" applyAlignment="1">
      <alignment vertical="center" wrapText="1"/>
    </xf>
    <xf numFmtId="0" fontId="24" fillId="10" borderId="0" xfId="0" applyFont="1" applyFill="1" applyAlignment="1">
      <alignment vertical="center" wrapText="1"/>
    </xf>
    <xf numFmtId="0" fontId="17" fillId="11" borderId="1" xfId="0" applyFont="1" applyFill="1" applyBorder="1" applyAlignment="1">
      <alignment vertical="center" wrapText="1"/>
    </xf>
    <xf numFmtId="2" fontId="2" fillId="26" borderId="1" xfId="0" applyNumberFormat="1" applyFont="1" applyFill="1" applyBorder="1" applyAlignment="1">
      <alignment vertical="center" wrapText="1"/>
    </xf>
    <xf numFmtId="0" fontId="17" fillId="2" borderId="0" xfId="0" applyFont="1" applyFill="1" applyAlignment="1">
      <alignment vertical="center" wrapText="1"/>
    </xf>
    <xf numFmtId="2" fontId="17" fillId="2" borderId="0" xfId="0" applyNumberFormat="1" applyFont="1" applyFill="1" applyAlignment="1">
      <alignment vertical="center" wrapText="1"/>
    </xf>
    <xf numFmtId="0" fontId="44" fillId="0" borderId="0" xfId="0" applyFont="1" applyAlignment="1">
      <alignment horizontal="center"/>
    </xf>
    <xf numFmtId="0" fontId="24" fillId="24" borderId="0" xfId="0" applyFont="1" applyFill="1" applyAlignment="1">
      <alignment vertical="center" wrapText="1"/>
    </xf>
    <xf numFmtId="0" fontId="24" fillId="25" borderId="0" xfId="0" applyFont="1" applyFill="1" applyAlignment="1">
      <alignment vertical="center" wrapText="1"/>
    </xf>
    <xf numFmtId="0" fontId="24" fillId="2" borderId="0" xfId="0" applyFont="1" applyFill="1" applyAlignment="1">
      <alignment vertical="center" wrapText="1"/>
    </xf>
    <xf numFmtId="0" fontId="24" fillId="11" borderId="1" xfId="0" applyFont="1" applyFill="1" applyBorder="1" applyAlignment="1">
      <alignment vertical="center" wrapText="1"/>
    </xf>
    <xf numFmtId="14" fontId="0" fillId="0" borderId="0" xfId="0" applyNumberFormat="1"/>
    <xf numFmtId="164" fontId="17" fillId="0" borderId="0" xfId="1" applyFont="1" applyFill="1" applyAlignment="1">
      <alignment vertical="center" wrapText="1"/>
    </xf>
    <xf numFmtId="164" fontId="21" fillId="10" borderId="0" xfId="1" applyFont="1" applyFill="1" applyAlignment="1">
      <alignment vertical="center" wrapText="1"/>
    </xf>
    <xf numFmtId="11" fontId="0" fillId="0" borderId="0" xfId="0" applyNumberFormat="1" applyAlignment="1">
      <alignment horizontal="center" vertical="center"/>
    </xf>
    <xf numFmtId="171" fontId="21" fillId="8" borderId="0" xfId="0" applyNumberFormat="1" applyFont="1" applyFill="1" applyAlignment="1">
      <alignment vertical="center" wrapText="1"/>
    </xf>
    <xf numFmtId="0" fontId="0" fillId="10" borderId="0" xfId="0" applyFill="1"/>
    <xf numFmtId="0" fontId="0" fillId="12" borderId="0" xfId="0" applyFill="1"/>
    <xf numFmtId="0" fontId="17" fillId="10" borderId="12" xfId="0" applyFont="1" applyFill="1" applyBorder="1" applyAlignment="1">
      <alignment vertical="center" wrapText="1"/>
    </xf>
    <xf numFmtId="0" fontId="24" fillId="10" borderId="12" xfId="0" applyFont="1" applyFill="1" applyBorder="1" applyAlignment="1">
      <alignment vertical="center" wrapText="1"/>
    </xf>
    <xf numFmtId="0" fontId="17" fillId="0" borderId="12" xfId="0" applyFont="1" applyBorder="1" applyAlignment="1">
      <alignment vertical="center" wrapText="1"/>
    </xf>
    <xf numFmtId="0" fontId="17" fillId="10" borderId="1" xfId="0" applyFont="1" applyFill="1" applyBorder="1" applyAlignment="1">
      <alignment vertical="center" wrapText="1"/>
    </xf>
    <xf numFmtId="0" fontId="24" fillId="10" borderId="1" xfId="0" applyFont="1" applyFill="1" applyBorder="1" applyAlignment="1">
      <alignment vertical="center" wrapText="1"/>
    </xf>
    <xf numFmtId="167" fontId="0" fillId="0" borderId="0" xfId="0" applyNumberFormat="1"/>
    <xf numFmtId="164" fontId="21" fillId="8" borderId="2" xfId="1" applyFont="1" applyFill="1" applyBorder="1"/>
    <xf numFmtId="0" fontId="3" fillId="0" borderId="1" xfId="0" applyFont="1" applyBorder="1" applyAlignment="1">
      <alignment horizontal="left" wrapText="1"/>
    </xf>
    <xf numFmtId="164" fontId="0" fillId="8" borderId="1" xfId="1" applyFont="1" applyFill="1" applyBorder="1"/>
    <xf numFmtId="164" fontId="3" fillId="0" borderId="0" xfId="1" applyFont="1" applyBorder="1"/>
    <xf numFmtId="0" fontId="21" fillId="10" borderId="0" xfId="0" applyFont="1" applyFill="1" applyAlignment="1">
      <alignment horizontal="center"/>
    </xf>
    <xf numFmtId="164" fontId="2" fillId="12" borderId="0" xfId="0" applyNumberFormat="1" applyFont="1" applyFill="1" applyAlignment="1">
      <alignment horizontal="center"/>
    </xf>
    <xf numFmtId="165" fontId="0" fillId="8" borderId="0" xfId="2" applyNumberFormat="1" applyFont="1" applyFill="1" applyAlignment="1">
      <alignment horizontal="center" vertical="center"/>
    </xf>
    <xf numFmtId="0" fontId="37" fillId="12" borderId="0" xfId="0" applyFont="1" applyFill="1" applyAlignment="1">
      <alignment horizontal="center" vertical="center"/>
    </xf>
    <xf numFmtId="0" fontId="24" fillId="0" borderId="0" xfId="0" applyFont="1" applyAlignment="1">
      <alignment horizontal="left" vertical="center"/>
    </xf>
    <xf numFmtId="164" fontId="21" fillId="8" borderId="1" xfId="1" applyFont="1" applyFill="1" applyBorder="1"/>
    <xf numFmtId="0" fontId="44" fillId="0" borderId="0" xfId="0" applyFont="1" applyAlignment="1">
      <alignment horizontal="left" wrapText="1"/>
    </xf>
    <xf numFmtId="164" fontId="21" fillId="0" borderId="0" xfId="1" applyFont="1" applyFill="1" applyAlignment="1">
      <alignment horizontal="center" vertical="center"/>
    </xf>
    <xf numFmtId="4" fontId="11" fillId="23" borderId="0" xfId="0" applyNumberFormat="1" applyFont="1" applyFill="1" applyAlignment="1">
      <alignment horizontal="center"/>
    </xf>
    <xf numFmtId="4" fontId="11" fillId="23" borderId="0" xfId="0" applyNumberFormat="1" applyFont="1" applyFill="1" applyAlignment="1">
      <alignment horizontal="left"/>
    </xf>
    <xf numFmtId="164" fontId="21" fillId="10" borderId="0" xfId="1" applyFont="1" applyFill="1" applyAlignment="1">
      <alignment horizontal="center" vertical="center"/>
    </xf>
    <xf numFmtId="0" fontId="0" fillId="23" borderId="0" xfId="0" applyFill="1" applyAlignment="1">
      <alignment horizontal="center"/>
    </xf>
    <xf numFmtId="0" fontId="0" fillId="10" borderId="0" xfId="0" applyFill="1" applyAlignment="1">
      <alignment horizontal="center"/>
    </xf>
    <xf numFmtId="0" fontId="0" fillId="10" borderId="0" xfId="0" applyFill="1" applyAlignment="1">
      <alignment horizontal="center" vertical="center"/>
    </xf>
    <xf numFmtId="0" fontId="6" fillId="0" borderId="0" xfId="0" applyFont="1" applyAlignment="1">
      <alignment wrapText="1"/>
    </xf>
    <xf numFmtId="4" fontId="10" fillId="28" borderId="0" xfId="0" applyNumberFormat="1" applyFont="1" applyFill="1" applyAlignment="1">
      <alignment horizontal="center"/>
    </xf>
    <xf numFmtId="9" fontId="0" fillId="10" borderId="0" xfId="2" applyFont="1" applyFill="1"/>
    <xf numFmtId="0" fontId="44" fillId="13" borderId="0" xfId="0" applyFont="1" applyFill="1" applyAlignment="1">
      <alignment wrapText="1"/>
    </xf>
    <xf numFmtId="0" fontId="8" fillId="13" borderId="0" xfId="0" applyFont="1" applyFill="1" applyAlignment="1">
      <alignment horizontal="left" vertical="center"/>
    </xf>
    <xf numFmtId="4" fontId="8" fillId="13" borderId="0" xfId="0" applyNumberFormat="1" applyFont="1" applyFill="1" applyAlignment="1">
      <alignment horizontal="center" wrapText="1"/>
    </xf>
    <xf numFmtId="4" fontId="8" fillId="13" borderId="0" xfId="0" applyNumberFormat="1" applyFont="1" applyFill="1" applyAlignment="1">
      <alignment horizontal="center" vertical="center" wrapText="1"/>
    </xf>
    <xf numFmtId="0" fontId="44" fillId="13" borderId="0" xfId="0" applyFont="1" applyFill="1" applyAlignment="1">
      <alignment horizontal="left" vertical="top" wrapText="1"/>
    </xf>
    <xf numFmtId="0" fontId="44" fillId="13" borderId="0" xfId="0" applyFont="1" applyFill="1" applyAlignment="1">
      <alignment horizontal="center" vertical="top" wrapText="1"/>
    </xf>
    <xf numFmtId="0" fontId="44" fillId="0" borderId="0" xfId="0" applyFont="1" applyAlignment="1">
      <alignment horizontal="center" vertical="top"/>
    </xf>
    <xf numFmtId="167" fontId="8" fillId="0" borderId="0" xfId="0" applyNumberFormat="1" applyFont="1" applyAlignment="1">
      <alignment horizontal="center"/>
    </xf>
    <xf numFmtId="0" fontId="44" fillId="13" borderId="0" xfId="0" applyFont="1" applyFill="1" applyAlignment="1">
      <alignment horizontal="center" wrapText="1"/>
    </xf>
    <xf numFmtId="0" fontId="45" fillId="0" borderId="0" xfId="0" applyFont="1" applyAlignment="1">
      <alignment horizontal="center"/>
    </xf>
    <xf numFmtId="0" fontId="21" fillId="28" borderId="0" xfId="0" applyFont="1" applyFill="1" applyAlignment="1">
      <alignment horizontal="center"/>
    </xf>
    <xf numFmtId="0" fontId="21" fillId="0" borderId="0" xfId="0" applyFont="1" applyAlignment="1">
      <alignment horizontal="center" vertical="center"/>
    </xf>
    <xf numFmtId="0" fontId="44" fillId="13" borderId="0" xfId="0" applyFont="1" applyFill="1" applyAlignment="1">
      <alignment horizontal="center" vertical="center" wrapText="1"/>
    </xf>
    <xf numFmtId="164" fontId="17" fillId="0" borderId="0" xfId="1" applyFont="1" applyAlignment="1">
      <alignment vertical="center" wrapText="1"/>
    </xf>
    <xf numFmtId="167" fontId="17" fillId="0" borderId="0" xfId="0" applyNumberFormat="1" applyFont="1" applyAlignment="1">
      <alignment vertical="center" wrapText="1"/>
    </xf>
    <xf numFmtId="0" fontId="24" fillId="11" borderId="12" xfId="0" applyFont="1" applyFill="1" applyBorder="1" applyAlignment="1">
      <alignment vertical="center" wrapText="1"/>
    </xf>
    <xf numFmtId="164" fontId="2" fillId="21" borderId="14" xfId="1" applyFont="1" applyFill="1" applyBorder="1" applyAlignment="1">
      <alignment vertical="center" wrapText="1"/>
    </xf>
    <xf numFmtId="0" fontId="17" fillId="0" borderId="0" xfId="0" applyFont="1" applyAlignment="1">
      <alignment horizontal="center" vertical="center" wrapText="1"/>
    </xf>
    <xf numFmtId="0" fontId="17" fillId="25" borderId="12" xfId="0" applyFont="1" applyFill="1" applyBorder="1" applyAlignment="1">
      <alignment vertical="center" wrapText="1"/>
    </xf>
    <xf numFmtId="164" fontId="21" fillId="25" borderId="12" xfId="1" applyFont="1" applyFill="1" applyBorder="1" applyAlignment="1">
      <alignment vertical="center" wrapText="1"/>
    </xf>
    <xf numFmtId="0" fontId="2" fillId="24" borderId="12" xfId="0" applyFont="1" applyFill="1" applyBorder="1" applyAlignment="1">
      <alignment vertical="center" wrapText="1"/>
    </xf>
    <xf numFmtId="167" fontId="2" fillId="24" borderId="12" xfId="0" applyNumberFormat="1" applyFont="1" applyFill="1" applyBorder="1" applyAlignment="1">
      <alignment vertical="center" wrapText="1"/>
    </xf>
    <xf numFmtId="164" fontId="2" fillId="30" borderId="14" xfId="1" applyFont="1" applyFill="1" applyBorder="1" applyAlignment="1">
      <alignment vertical="center" wrapText="1"/>
    </xf>
    <xf numFmtId="164" fontId="2" fillId="31" borderId="14" xfId="1" applyFont="1" applyFill="1" applyBorder="1" applyAlignment="1">
      <alignment vertical="center" wrapText="1"/>
    </xf>
    <xf numFmtId="164" fontId="21" fillId="0" borderId="0" xfId="1" applyFont="1" applyFill="1" applyAlignment="1">
      <alignment horizontal="center" vertical="center" wrapText="1"/>
    </xf>
    <xf numFmtId="0" fontId="17" fillId="11" borderId="13" xfId="0" applyFont="1" applyFill="1" applyBorder="1" applyAlignment="1">
      <alignment vertical="center"/>
    </xf>
    <xf numFmtId="0" fontId="17" fillId="11" borderId="12" xfId="0" applyFont="1" applyFill="1" applyBorder="1" applyAlignment="1">
      <alignment horizontal="center" vertical="center" wrapText="1"/>
    </xf>
    <xf numFmtId="164" fontId="21" fillId="8" borderId="0" xfId="1" applyFont="1" applyFill="1" applyAlignment="1">
      <alignment horizontal="center" vertical="center" wrapText="1"/>
    </xf>
    <xf numFmtId="164" fontId="21" fillId="11" borderId="12" xfId="1" applyFont="1" applyFill="1" applyBorder="1" applyAlignment="1">
      <alignment vertical="center" wrapText="1"/>
    </xf>
    <xf numFmtId="0" fontId="17" fillId="25" borderId="12" xfId="0" applyFont="1" applyFill="1" applyBorder="1" applyAlignment="1">
      <alignment horizontal="center" vertical="center" wrapText="1"/>
    </xf>
    <xf numFmtId="172" fontId="11" fillId="10" borderId="0" xfId="0" applyNumberFormat="1" applyFont="1" applyFill="1" applyAlignment="1">
      <alignment horizontal="center"/>
    </xf>
    <xf numFmtId="0" fontId="17" fillId="10" borderId="0" xfId="0" applyFont="1" applyFill="1" applyAlignment="1">
      <alignment horizontal="center"/>
    </xf>
    <xf numFmtId="172" fontId="11" fillId="10" borderId="2" xfId="0" applyNumberFormat="1" applyFont="1" applyFill="1" applyBorder="1" applyAlignment="1">
      <alignment horizontal="center"/>
    </xf>
    <xf numFmtId="0" fontId="0" fillId="23" borderId="2" xfId="0" applyFill="1" applyBorder="1" applyAlignment="1">
      <alignment horizontal="center"/>
    </xf>
    <xf numFmtId="0" fontId="41" fillId="16" borderId="2" xfId="0" applyFont="1" applyFill="1" applyBorder="1" applyAlignment="1">
      <alignment horizontal="center" vertical="center" textRotation="90" wrapText="1"/>
    </xf>
    <xf numFmtId="164" fontId="21" fillId="8" borderId="12" xfId="1" applyFont="1" applyFill="1" applyBorder="1" applyAlignment="1">
      <alignment vertical="center" wrapText="1"/>
    </xf>
    <xf numFmtId="0" fontId="17" fillId="11" borderId="3" xfId="0" applyFont="1" applyFill="1" applyBorder="1" applyAlignment="1">
      <alignment vertical="center" wrapText="1"/>
    </xf>
    <xf numFmtId="0" fontId="41" fillId="16" borderId="12" xfId="0" applyFont="1" applyFill="1" applyBorder="1" applyAlignment="1">
      <alignment horizontal="center" vertical="center" textRotation="90" wrapText="1"/>
    </xf>
    <xf numFmtId="0" fontId="17" fillId="25" borderId="3" xfId="0" applyFont="1" applyFill="1" applyBorder="1" applyAlignment="1">
      <alignment vertical="center" wrapText="1"/>
    </xf>
    <xf numFmtId="0" fontId="3" fillId="0" borderId="2" xfId="0" applyFont="1" applyBorder="1" applyAlignment="1">
      <alignment horizontal="left" wrapText="1"/>
    </xf>
    <xf numFmtId="173" fontId="21" fillId="8" borderId="0" xfId="1" applyNumberFormat="1" applyFont="1" applyFill="1" applyAlignment="1">
      <alignment vertical="center" wrapText="1"/>
    </xf>
    <xf numFmtId="164" fontId="21" fillId="24" borderId="0" xfId="1" applyFont="1" applyFill="1" applyAlignment="1">
      <alignment vertical="center" wrapText="1"/>
    </xf>
    <xf numFmtId="164" fontId="40" fillId="10" borderId="0" xfId="1" applyFont="1" applyFill="1" applyAlignment="1">
      <alignment vertical="center" wrapText="1"/>
    </xf>
    <xf numFmtId="164" fontId="21" fillId="25" borderId="0" xfId="1" applyFont="1" applyFill="1" applyAlignment="1">
      <alignment vertical="center" wrapText="1"/>
    </xf>
    <xf numFmtId="164" fontId="21" fillId="2" borderId="0" xfId="1" applyFont="1" applyFill="1" applyAlignment="1">
      <alignment vertical="center" wrapText="1"/>
    </xf>
    <xf numFmtId="164" fontId="21" fillId="11" borderId="1" xfId="1" applyFont="1" applyFill="1" applyBorder="1" applyAlignment="1">
      <alignment vertical="center" wrapText="1"/>
    </xf>
    <xf numFmtId="0" fontId="7" fillId="26" borderId="1" xfId="0" applyFont="1" applyFill="1" applyBorder="1" applyAlignment="1">
      <alignment horizontal="center" vertical="center" textRotation="90" wrapText="1"/>
    </xf>
    <xf numFmtId="164" fontId="2" fillId="12" borderId="0" xfId="1" applyFont="1" applyFill="1" applyAlignment="1">
      <alignment vertical="center"/>
    </xf>
    <xf numFmtId="164" fontId="3" fillId="0" borderId="0" xfId="1" applyFont="1" applyAlignment="1">
      <alignment horizontal="center"/>
    </xf>
    <xf numFmtId="2" fontId="0" fillId="0" borderId="0" xfId="0" applyNumberFormat="1"/>
    <xf numFmtId="164" fontId="21" fillId="8" borderId="2" xfId="1" applyFont="1" applyFill="1" applyBorder="1" applyAlignment="1">
      <alignment horizontal="center" vertical="center"/>
    </xf>
    <xf numFmtId="164" fontId="21" fillId="8" borderId="1" xfId="1" applyFont="1" applyFill="1" applyBorder="1" applyAlignment="1">
      <alignment horizontal="center" vertical="center"/>
    </xf>
    <xf numFmtId="0" fontId="21" fillId="0" borderId="0" xfId="0" applyFont="1" applyAlignment="1">
      <alignment horizontal="center" wrapText="1"/>
    </xf>
    <xf numFmtId="0" fontId="25" fillId="0" borderId="0" xfId="0" applyFont="1" applyAlignment="1">
      <alignment horizontal="left"/>
    </xf>
    <xf numFmtId="0" fontId="25" fillId="0" borderId="2" xfId="0" applyFont="1" applyBorder="1" applyAlignment="1">
      <alignment horizontal="left"/>
    </xf>
    <xf numFmtId="0" fontId="25" fillId="0" borderId="1" xfId="0" applyFont="1" applyBorder="1" applyAlignment="1">
      <alignment horizontal="left" vertical="center"/>
    </xf>
    <xf numFmtId="0" fontId="25" fillId="0" borderId="2" xfId="0" applyFont="1" applyBorder="1" applyAlignment="1">
      <alignment horizontal="left" vertical="center"/>
    </xf>
    <xf numFmtId="0" fontId="25" fillId="0" borderId="1" xfId="0" applyFont="1" applyBorder="1" applyAlignment="1">
      <alignment horizontal="left"/>
    </xf>
    <xf numFmtId="0" fontId="25" fillId="0" borderId="0" xfId="0" applyFont="1" applyAlignment="1">
      <alignment horizontal="center"/>
    </xf>
    <xf numFmtId="0" fontId="25" fillId="0" borderId="2" xfId="0" applyFont="1" applyBorder="1" applyAlignment="1">
      <alignment horizontal="center"/>
    </xf>
    <xf numFmtId="0" fontId="25" fillId="0" borderId="1" xfId="0" applyFont="1" applyBorder="1" applyAlignment="1">
      <alignment horizontal="center" vertical="center"/>
    </xf>
    <xf numFmtId="0" fontId="25" fillId="0" borderId="2" xfId="0" applyFont="1" applyBorder="1" applyAlignment="1">
      <alignment horizontal="center" vertical="center"/>
    </xf>
    <xf numFmtId="0" fontId="25" fillId="0" borderId="1" xfId="0" applyFont="1" applyBorder="1" applyAlignment="1">
      <alignment horizontal="center"/>
    </xf>
    <xf numFmtId="164" fontId="5" fillId="8" borderId="0" xfId="1" applyFont="1" applyFill="1" applyBorder="1" applyAlignment="1">
      <alignment horizontal="center"/>
    </xf>
    <xf numFmtId="164" fontId="5" fillId="8" borderId="2" xfId="1" applyFont="1" applyFill="1" applyBorder="1" applyAlignment="1">
      <alignment horizontal="center"/>
    </xf>
    <xf numFmtId="164" fontId="5" fillId="8" borderId="0" xfId="1" applyFont="1" applyFill="1" applyAlignment="1">
      <alignment horizontal="center"/>
    </xf>
    <xf numFmtId="164" fontId="5" fillId="8" borderId="1" xfId="1" applyFont="1" applyFill="1" applyBorder="1" applyAlignment="1">
      <alignment horizontal="center" vertical="center"/>
    </xf>
    <xf numFmtId="164" fontId="5" fillId="8" borderId="2" xfId="1" applyFont="1" applyFill="1" applyBorder="1" applyAlignment="1">
      <alignment horizontal="center" vertical="center"/>
    </xf>
    <xf numFmtId="164" fontId="5" fillId="8" borderId="1" xfId="1" applyFont="1" applyFill="1" applyBorder="1" applyAlignment="1">
      <alignment horizontal="center"/>
    </xf>
    <xf numFmtId="164" fontId="31" fillId="4" borderId="0" xfId="1" applyFont="1" applyFill="1" applyBorder="1"/>
    <xf numFmtId="164" fontId="31" fillId="4" borderId="2" xfId="1" applyFont="1" applyFill="1" applyBorder="1"/>
    <xf numFmtId="164" fontId="31" fillId="4" borderId="0" xfId="1" applyFont="1" applyFill="1"/>
    <xf numFmtId="164" fontId="31" fillId="4" borderId="1" xfId="1" applyFont="1" applyFill="1" applyBorder="1" applyAlignment="1">
      <alignment vertical="center"/>
    </xf>
    <xf numFmtId="164" fontId="31" fillId="4" borderId="2" xfId="1" applyFont="1" applyFill="1" applyBorder="1" applyAlignment="1">
      <alignment vertical="center"/>
    </xf>
    <xf numFmtId="164" fontId="31" fillId="4" borderId="1" xfId="1" applyFont="1" applyFill="1" applyBorder="1"/>
    <xf numFmtId="0" fontId="7" fillId="12" borderId="0" xfId="0" applyFont="1" applyFill="1" applyAlignment="1">
      <alignment horizontal="center" vertical="center"/>
    </xf>
    <xf numFmtId="167" fontId="7" fillId="12" borderId="0" xfId="0" applyNumberFormat="1" applyFont="1" applyFill="1" applyAlignment="1">
      <alignment vertical="center"/>
    </xf>
    <xf numFmtId="164" fontId="1" fillId="18" borderId="0" xfId="1" applyFont="1" applyFill="1"/>
    <xf numFmtId="10" fontId="0" fillId="0" borderId="0" xfId="2" applyNumberFormat="1" applyFont="1"/>
    <xf numFmtId="10" fontId="0" fillId="0" borderId="0" xfId="0" applyNumberFormat="1"/>
    <xf numFmtId="0" fontId="50" fillId="0" borderId="0" xfId="3" applyAlignment="1">
      <alignment horizontal="center" wrapText="1"/>
    </xf>
    <xf numFmtId="0" fontId="0" fillId="0" borderId="0" xfId="0" applyAlignment="1">
      <alignment horizontal="left" wrapText="1"/>
    </xf>
    <xf numFmtId="0" fontId="44" fillId="13" borderId="0" xfId="0" applyFont="1" applyFill="1" applyAlignment="1">
      <alignment horizontal="left" vertical="center" wrapText="1"/>
    </xf>
    <xf numFmtId="0" fontId="50" fillId="0" borderId="0" xfId="3" applyAlignment="1">
      <alignment horizontal="left" wrapText="1"/>
    </xf>
    <xf numFmtId="0" fontId="3" fillId="0" borderId="13" xfId="0" applyFont="1" applyBorder="1" applyAlignment="1">
      <alignment wrapText="1"/>
    </xf>
    <xf numFmtId="0" fontId="3" fillId="10" borderId="12" xfId="0" applyFont="1" applyFill="1" applyBorder="1" applyAlignment="1">
      <alignment horizontal="center"/>
    </xf>
    <xf numFmtId="0" fontId="3" fillId="0" borderId="3" xfId="0" applyFont="1" applyBorder="1" applyAlignment="1">
      <alignment wrapText="1"/>
    </xf>
    <xf numFmtId="0" fontId="3" fillId="10" borderId="1" xfId="0" applyFont="1" applyFill="1" applyBorder="1" applyAlignment="1">
      <alignment horizontal="center"/>
    </xf>
    <xf numFmtId="164" fontId="3" fillId="19" borderId="4" xfId="1" applyFont="1" applyFill="1" applyBorder="1" applyAlignment="1">
      <alignment horizontal="center"/>
    </xf>
    <xf numFmtId="164" fontId="17" fillId="19" borderId="14" xfId="1" applyFont="1" applyFill="1" applyBorder="1" applyAlignment="1">
      <alignment horizontal="center"/>
    </xf>
    <xf numFmtId="2" fontId="5" fillId="0" borderId="0" xfId="0" applyNumberFormat="1" applyFont="1" applyAlignment="1">
      <alignment horizontal="center"/>
    </xf>
    <xf numFmtId="2" fontId="5" fillId="0" borderId="0" xfId="0" applyNumberFormat="1" applyFont="1" applyAlignment="1">
      <alignment horizontal="center" vertical="center"/>
    </xf>
    <xf numFmtId="0" fontId="3" fillId="10" borderId="0" xfId="0" applyFont="1" applyFill="1" applyAlignment="1">
      <alignment horizontal="center" vertical="center" wrapText="1"/>
    </xf>
    <xf numFmtId="0" fontId="15" fillId="8" borderId="0" xfId="0" applyFont="1" applyFill="1" applyAlignment="1">
      <alignment horizontal="center"/>
    </xf>
    <xf numFmtId="167" fontId="17" fillId="3" borderId="0" xfId="0" applyNumberFormat="1" applyFont="1" applyFill="1" applyAlignment="1">
      <alignment vertical="center"/>
    </xf>
    <xf numFmtId="0" fontId="2" fillId="12" borderId="0" xfId="0" applyFont="1" applyFill="1" applyAlignment="1">
      <alignment vertical="center" wrapText="1"/>
    </xf>
    <xf numFmtId="9" fontId="0" fillId="0" borderId="0" xfId="2" applyFont="1" applyAlignment="1">
      <alignment horizontal="center"/>
    </xf>
    <xf numFmtId="164" fontId="0" fillId="0" borderId="2" xfId="1" applyFont="1" applyBorder="1"/>
    <xf numFmtId="164" fontId="0" fillId="10" borderId="2" xfId="1" applyFont="1" applyFill="1" applyBorder="1"/>
    <xf numFmtId="164" fontId="0" fillId="32" borderId="0" xfId="0" applyNumberFormat="1" applyFill="1"/>
    <xf numFmtId="0" fontId="3" fillId="27" borderId="0" xfId="0" applyFont="1" applyFill="1" applyAlignment="1">
      <alignment horizontal="center" vertical="center" wrapText="1"/>
    </xf>
    <xf numFmtId="164" fontId="0" fillId="32" borderId="2" xfId="0" applyNumberFormat="1" applyFill="1" applyBorder="1"/>
    <xf numFmtId="164" fontId="0" fillId="32" borderId="1" xfId="0" applyNumberFormat="1" applyFill="1" applyBorder="1"/>
    <xf numFmtId="0" fontId="2" fillId="10" borderId="0" xfId="0" applyFont="1" applyFill="1" applyAlignment="1">
      <alignment horizontal="center" vertical="center"/>
    </xf>
    <xf numFmtId="0" fontId="24" fillId="0" borderId="0" xfId="0" applyFont="1" applyAlignment="1">
      <alignment horizontal="center" vertical="center" wrapText="1"/>
    </xf>
    <xf numFmtId="0" fontId="51" fillId="0" borderId="0" xfId="0" applyFont="1" applyAlignment="1">
      <alignment horizontal="justify" vertical="center" wrapText="1"/>
    </xf>
    <xf numFmtId="0" fontId="51" fillId="0" borderId="0" xfId="0" applyFont="1" applyAlignment="1">
      <alignment horizontal="right" vertical="center" wrapText="1"/>
    </xf>
    <xf numFmtId="0" fontId="52" fillId="0" borderId="0" xfId="0" applyFont="1" applyAlignment="1">
      <alignment horizontal="center" vertical="center" wrapText="1"/>
    </xf>
    <xf numFmtId="0" fontId="53" fillId="0" borderId="0" xfId="0" applyFont="1" applyAlignment="1">
      <alignment horizontal="center" vertical="center" wrapText="1"/>
    </xf>
    <xf numFmtId="9" fontId="0" fillId="0" borderId="0" xfId="0" applyNumberFormat="1"/>
    <xf numFmtId="4" fontId="24" fillId="10" borderId="0" xfId="0" applyNumberFormat="1" applyFont="1" applyFill="1"/>
    <xf numFmtId="0" fontId="50" fillId="0" borderId="0" xfId="3"/>
    <xf numFmtId="175" fontId="0" fillId="0" borderId="0" xfId="0" applyNumberFormat="1" applyAlignment="1">
      <alignment horizontal="center" vertical="center"/>
    </xf>
    <xf numFmtId="0" fontId="3" fillId="2" borderId="0" xfId="0" applyFont="1" applyFill="1" applyAlignment="1">
      <alignment horizontal="right"/>
    </xf>
    <xf numFmtId="4" fontId="11" fillId="9" borderId="0" xfId="0" applyNumberFormat="1" applyFont="1" applyFill="1" applyAlignment="1">
      <alignment horizontal="right"/>
    </xf>
    <xf numFmtId="4" fontId="11" fillId="28" borderId="0" xfId="0" applyNumberFormat="1" applyFont="1" applyFill="1" applyAlignment="1">
      <alignment horizontal="right"/>
    </xf>
    <xf numFmtId="4" fontId="10" fillId="0" borderId="0" xfId="0" applyNumberFormat="1" applyFont="1" applyAlignment="1">
      <alignment horizontal="right"/>
    </xf>
    <xf numFmtId="4" fontId="11" fillId="9" borderId="0" xfId="0" applyNumberFormat="1" applyFont="1" applyFill="1" applyAlignment="1">
      <alignment horizontal="right" vertical="center"/>
    </xf>
    <xf numFmtId="0" fontId="0" fillId="0" borderId="0" xfId="0" applyAlignment="1">
      <alignment horizontal="right"/>
    </xf>
    <xf numFmtId="164" fontId="0" fillId="28" borderId="0" xfId="1" applyFont="1" applyFill="1" applyAlignment="1">
      <alignment horizontal="right" vertical="center"/>
    </xf>
    <xf numFmtId="9" fontId="0" fillId="28" borderId="0" xfId="2" applyFont="1" applyFill="1" applyAlignment="1">
      <alignment horizontal="right" vertical="center"/>
    </xf>
    <xf numFmtId="164" fontId="0" fillId="28" borderId="0" xfId="1" applyFont="1" applyFill="1" applyAlignment="1">
      <alignment horizontal="right"/>
    </xf>
    <xf numFmtId="9" fontId="0" fillId="28" borderId="0" xfId="2" applyFont="1" applyFill="1" applyAlignment="1">
      <alignment horizontal="right"/>
    </xf>
    <xf numFmtId="164" fontId="11" fillId="29" borderId="0" xfId="1" applyFont="1" applyFill="1" applyAlignment="1">
      <alignment horizontal="right" vertical="center"/>
    </xf>
    <xf numFmtId="174" fontId="11" fillId="29" borderId="0" xfId="2" applyNumberFormat="1" applyFont="1" applyFill="1" applyAlignment="1">
      <alignment horizontal="right" vertical="center"/>
    </xf>
    <xf numFmtId="11" fontId="11" fillId="29" borderId="0" xfId="1" applyNumberFormat="1" applyFont="1" applyFill="1" applyAlignment="1">
      <alignment horizontal="right" vertical="center"/>
    </xf>
    <xf numFmtId="169" fontId="0" fillId="28" borderId="0" xfId="1" applyNumberFormat="1" applyFont="1" applyFill="1" applyAlignment="1">
      <alignment horizontal="right" vertical="center"/>
    </xf>
    <xf numFmtId="170" fontId="0" fillId="28" borderId="0" xfId="1" applyNumberFormat="1" applyFont="1" applyFill="1" applyAlignment="1">
      <alignment horizontal="right" vertical="center"/>
    </xf>
    <xf numFmtId="0" fontId="0" fillId="28" borderId="0" xfId="0" applyFill="1" applyAlignment="1">
      <alignment horizontal="right" vertical="center"/>
    </xf>
    <xf numFmtId="0" fontId="21" fillId="28" borderId="0" xfId="0" applyFont="1" applyFill="1" applyAlignment="1">
      <alignment horizontal="right" vertical="center"/>
    </xf>
    <xf numFmtId="0" fontId="21" fillId="28" borderId="0" xfId="0" applyFont="1" applyFill="1" applyAlignment="1">
      <alignment horizontal="right"/>
    </xf>
    <xf numFmtId="2" fontId="21" fillId="28" borderId="0" xfId="0" applyNumberFormat="1" applyFont="1" applyFill="1" applyAlignment="1">
      <alignment horizontal="right" vertical="center"/>
    </xf>
    <xf numFmtId="0" fontId="0" fillId="28" borderId="0" xfId="0" applyFill="1" applyAlignment="1">
      <alignment horizontal="right"/>
    </xf>
    <xf numFmtId="2" fontId="0" fillId="28" borderId="0" xfId="0" applyNumberFormat="1" applyFill="1" applyAlignment="1">
      <alignment horizontal="right" vertical="center"/>
    </xf>
    <xf numFmtId="176" fontId="21" fillId="8" borderId="0" xfId="1" applyNumberFormat="1" applyFont="1" applyFill="1" applyAlignment="1">
      <alignment vertical="center" wrapText="1"/>
    </xf>
    <xf numFmtId="0" fontId="56" fillId="34" borderId="0" xfId="0" applyFont="1" applyFill="1" applyAlignment="1">
      <alignment horizontal="center" vertical="center" wrapText="1"/>
    </xf>
    <xf numFmtId="0" fontId="56" fillId="8" borderId="0" xfId="0" applyFont="1" applyFill="1" applyAlignment="1">
      <alignment horizontal="justify" vertical="center" wrapText="1"/>
    </xf>
    <xf numFmtId="0" fontId="60" fillId="11" borderId="1" xfId="0" applyFont="1" applyFill="1" applyBorder="1" applyAlignment="1">
      <alignment horizontal="justify" vertical="center" wrapText="1"/>
    </xf>
    <xf numFmtId="164" fontId="58" fillId="8" borderId="0" xfId="1" applyFont="1" applyFill="1" applyBorder="1" applyAlignment="1">
      <alignment horizontal="center" vertical="center" wrapText="1"/>
    </xf>
    <xf numFmtId="164" fontId="59" fillId="12" borderId="0" xfId="1" applyFont="1" applyFill="1" applyBorder="1" applyAlignment="1">
      <alignment horizontal="center" vertical="center" wrapText="1"/>
    </xf>
    <xf numFmtId="164" fontId="60" fillId="11" borderId="1" xfId="1" applyFont="1" applyFill="1" applyBorder="1" applyAlignment="1">
      <alignment horizontal="justify" vertical="center" wrapText="1"/>
    </xf>
    <xf numFmtId="0" fontId="56" fillId="8" borderId="0" xfId="0" applyFont="1" applyFill="1" applyAlignment="1">
      <alignment horizontal="left" vertical="center" wrapText="1"/>
    </xf>
    <xf numFmtId="0" fontId="60" fillId="11" borderId="1" xfId="0" applyFont="1" applyFill="1" applyBorder="1" applyAlignment="1">
      <alignment horizontal="left" vertical="center" wrapText="1"/>
    </xf>
    <xf numFmtId="0" fontId="0" fillId="0" borderId="0" xfId="0" applyAlignment="1">
      <alignment horizontal="left"/>
    </xf>
    <xf numFmtId="0" fontId="3" fillId="34" borderId="0" xfId="0" applyFont="1" applyFill="1" applyAlignment="1">
      <alignment horizontal="center"/>
    </xf>
    <xf numFmtId="164" fontId="21" fillId="8" borderId="0" xfId="1" applyFont="1" applyFill="1" applyAlignment="1">
      <alignment horizontal="center"/>
    </xf>
    <xf numFmtId="164" fontId="3" fillId="11" borderId="0" xfId="1" applyFont="1" applyFill="1"/>
    <xf numFmtId="0" fontId="44" fillId="13" borderId="0" xfId="0" applyFont="1" applyFill="1" applyAlignment="1">
      <alignment vertical="center" wrapText="1"/>
    </xf>
    <xf numFmtId="4" fontId="8" fillId="13" borderId="0" xfId="0" applyNumberFormat="1" applyFont="1" applyFill="1" applyAlignment="1">
      <alignment horizontal="left" wrapText="1"/>
    </xf>
    <xf numFmtId="0" fontId="62" fillId="35" borderId="15" xfId="0" applyFont="1" applyFill="1" applyBorder="1" applyAlignment="1">
      <alignment horizontal="center" vertical="center" wrapText="1"/>
    </xf>
    <xf numFmtId="0" fontId="62" fillId="35" borderId="17" xfId="0" applyFont="1" applyFill="1" applyBorder="1" applyAlignment="1">
      <alignment horizontal="center" vertical="center" wrapText="1"/>
    </xf>
    <xf numFmtId="0" fontId="62" fillId="35" borderId="18" xfId="0" applyFont="1" applyFill="1" applyBorder="1" applyAlignment="1">
      <alignment horizontal="center" vertical="center" wrapText="1"/>
    </xf>
    <xf numFmtId="0" fontId="64" fillId="36" borderId="16" xfId="0" applyFont="1" applyFill="1" applyBorder="1" applyAlignment="1">
      <alignment horizontal="center" vertical="center" wrapText="1"/>
    </xf>
    <xf numFmtId="0" fontId="64" fillId="36" borderId="19" xfId="0" applyFont="1" applyFill="1" applyBorder="1" applyAlignment="1">
      <alignment horizontal="center" vertical="center" wrapText="1"/>
    </xf>
    <xf numFmtId="0" fontId="65" fillId="36" borderId="16" xfId="0" applyFont="1" applyFill="1" applyBorder="1" applyAlignment="1">
      <alignment horizontal="center" vertical="center" wrapText="1"/>
    </xf>
    <xf numFmtId="164" fontId="21" fillId="0" borderId="0" xfId="1" applyFont="1" applyAlignment="1">
      <alignment horizontal="center"/>
    </xf>
    <xf numFmtId="167" fontId="0" fillId="0" borderId="0" xfId="0" applyNumberFormat="1" applyAlignment="1">
      <alignment horizontal="center"/>
    </xf>
    <xf numFmtId="164" fontId="0" fillId="0" borderId="0" xfId="0" applyNumberFormat="1" applyAlignment="1">
      <alignment horizontal="center"/>
    </xf>
    <xf numFmtId="0" fontId="66" fillId="2" borderId="0" xfId="0" applyFont="1" applyFill="1" applyAlignment="1">
      <alignment horizontal="center" vertical="center" wrapText="1"/>
    </xf>
    <xf numFmtId="0" fontId="67" fillId="12" borderId="0" xfId="0" applyFont="1" applyFill="1" applyAlignment="1">
      <alignment horizontal="center" vertical="center"/>
    </xf>
    <xf numFmtId="0" fontId="68" fillId="34" borderId="0" xfId="0" applyFont="1" applyFill="1" applyAlignment="1">
      <alignment horizontal="center" vertical="center" wrapText="1"/>
    </xf>
    <xf numFmtId="178" fontId="64" fillId="36" borderId="18" xfId="0" applyNumberFormat="1" applyFont="1" applyFill="1" applyBorder="1" applyAlignment="1">
      <alignment horizontal="right" vertical="center" wrapText="1"/>
    </xf>
    <xf numFmtId="178" fontId="65" fillId="36" borderId="18" xfId="0" applyNumberFormat="1" applyFont="1" applyFill="1" applyBorder="1" applyAlignment="1">
      <alignment horizontal="right" vertical="center" wrapText="1"/>
    </xf>
    <xf numFmtId="0" fontId="3" fillId="27" borderId="0" xfId="0" applyFont="1" applyFill="1" applyAlignment="1">
      <alignment horizontal="center" vertical="center" textRotation="90" wrapText="1"/>
    </xf>
    <xf numFmtId="179" fontId="0" fillId="32" borderId="2" xfId="0" applyNumberFormat="1" applyFill="1" applyBorder="1"/>
    <xf numFmtId="177" fontId="11" fillId="9" borderId="0" xfId="0" applyNumberFormat="1" applyFont="1" applyFill="1" applyAlignment="1">
      <alignment horizontal="right"/>
    </xf>
    <xf numFmtId="180" fontId="64" fillId="36" borderId="18" xfId="0" applyNumberFormat="1" applyFont="1" applyFill="1" applyBorder="1" applyAlignment="1">
      <alignment horizontal="right" vertical="center" wrapText="1"/>
    </xf>
    <xf numFmtId="180" fontId="65" fillId="36" borderId="18" xfId="0" applyNumberFormat="1" applyFont="1" applyFill="1" applyBorder="1" applyAlignment="1">
      <alignment horizontal="right" vertical="center" wrapText="1"/>
    </xf>
    <xf numFmtId="0" fontId="0" fillId="0" borderId="0" xfId="0" applyAlignment="1">
      <alignment horizontal="center" vertical="center" wrapText="1"/>
    </xf>
    <xf numFmtId="0" fontId="2" fillId="12" borderId="0" xfId="0" applyFont="1" applyFill="1" applyAlignment="1">
      <alignment horizontal="center"/>
    </xf>
    <xf numFmtId="0" fontId="0" fillId="0" borderId="0" xfId="0" applyAlignment="1">
      <alignment horizontal="center" wrapText="1"/>
    </xf>
    <xf numFmtId="0" fontId="8" fillId="0" borderId="0" xfId="0" applyFont="1" applyAlignment="1">
      <alignment horizontal="left" vertical="center" wrapText="1"/>
    </xf>
    <xf numFmtId="0" fontId="8" fillId="0" borderId="6" xfId="0" applyFont="1" applyBorder="1" applyAlignment="1">
      <alignment horizontal="left" vertical="center" wrapText="1"/>
    </xf>
    <xf numFmtId="0" fontId="0" fillId="0" borderId="0" xfId="0" applyAlignment="1">
      <alignment horizontal="center"/>
    </xf>
    <xf numFmtId="0" fontId="8" fillId="0" borderId="2" xfId="0" applyFont="1" applyBorder="1" applyAlignment="1">
      <alignment horizontal="left" vertical="center" wrapText="1"/>
    </xf>
    <xf numFmtId="0" fontId="8" fillId="0" borderId="8" xfId="0" applyFont="1" applyBorder="1" applyAlignment="1">
      <alignment horizontal="left" vertical="center" wrapText="1"/>
    </xf>
    <xf numFmtId="0" fontId="7" fillId="12" borderId="3" xfId="0" applyFont="1" applyFill="1" applyBorder="1" applyAlignment="1">
      <alignment horizontal="center"/>
    </xf>
    <xf numFmtId="0" fontId="7" fillId="12" borderId="1" xfId="0" applyFont="1" applyFill="1" applyBorder="1" applyAlignment="1">
      <alignment horizontal="center"/>
    </xf>
    <xf numFmtId="0" fontId="7" fillId="12" borderId="4" xfId="0" applyFont="1" applyFill="1" applyBorder="1" applyAlignment="1">
      <alignment horizontal="center"/>
    </xf>
    <xf numFmtId="0" fontId="0" fillId="0" borderId="1"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8" fillId="0" borderId="0" xfId="0" applyFont="1" applyAlignment="1">
      <alignment horizontal="left" vertical="center"/>
    </xf>
    <xf numFmtId="0" fontId="8" fillId="0" borderId="6" xfId="0" applyFont="1" applyBorder="1" applyAlignment="1">
      <alignment horizontal="left" vertical="center"/>
    </xf>
    <xf numFmtId="14" fontId="0" fillId="0" borderId="0" xfId="0" applyNumberFormat="1" applyAlignment="1">
      <alignment horizontal="center"/>
    </xf>
    <xf numFmtId="0" fontId="2" fillId="12" borderId="0" xfId="0" applyFont="1" applyFill="1" applyAlignment="1">
      <alignment horizontal="center" vertical="center"/>
    </xf>
    <xf numFmtId="0" fontId="0" fillId="0" borderId="0" xfId="0" applyAlignment="1">
      <alignment horizontal="left" vertical="center" wrapText="1"/>
    </xf>
    <xf numFmtId="0" fontId="44" fillId="13" borderId="0" xfId="0" applyFont="1" applyFill="1" applyAlignment="1">
      <alignment horizontal="left" wrapText="1"/>
    </xf>
    <xf numFmtId="0" fontId="4" fillId="12" borderId="0" xfId="0" applyFont="1" applyFill="1"/>
    <xf numFmtId="0" fontId="25" fillId="0" borderId="0" xfId="0" applyFont="1" applyAlignment="1">
      <alignment horizontal="center" vertical="top" wrapText="1"/>
    </xf>
    <xf numFmtId="0" fontId="41" fillId="17" borderId="0" xfId="0" applyFont="1" applyFill="1" applyAlignment="1">
      <alignment horizontal="center" vertical="center" textRotation="90" wrapText="1"/>
    </xf>
    <xf numFmtId="0" fontId="41" fillId="13" borderId="0" xfId="0" applyFont="1" applyFill="1" applyAlignment="1">
      <alignment horizontal="center" vertical="center" textRotation="90" wrapText="1"/>
    </xf>
    <xf numFmtId="0" fontId="41" fillId="16" borderId="1" xfId="0" applyFont="1" applyFill="1" applyBorder="1" applyAlignment="1">
      <alignment horizontal="center" vertical="center" textRotation="90" wrapText="1"/>
    </xf>
    <xf numFmtId="0" fontId="41" fillId="16" borderId="0" xfId="0" applyFont="1" applyFill="1" applyAlignment="1">
      <alignment horizontal="center" vertical="center" textRotation="90" wrapText="1"/>
    </xf>
    <xf numFmtId="0" fontId="41" fillId="8" borderId="1" xfId="0" applyFont="1" applyFill="1" applyBorder="1" applyAlignment="1">
      <alignment horizontal="center" vertical="center" textRotation="90" wrapText="1"/>
    </xf>
    <xf numFmtId="0" fontId="41" fillId="8" borderId="0" xfId="0" applyFont="1" applyFill="1" applyAlignment="1">
      <alignment horizontal="center" vertical="center" textRotation="90" wrapText="1"/>
    </xf>
    <xf numFmtId="0" fontId="41" fillId="8" borderId="2" xfId="0" applyFont="1" applyFill="1" applyBorder="1" applyAlignment="1">
      <alignment horizontal="center" vertical="center" textRotation="90" wrapText="1"/>
    </xf>
    <xf numFmtId="0" fontId="41" fillId="5" borderId="0" xfId="0" applyFont="1" applyFill="1" applyAlignment="1">
      <alignment horizontal="center" vertical="center" textRotation="90" wrapText="1"/>
    </xf>
    <xf numFmtId="0" fontId="41" fillId="5" borderId="2" xfId="0" applyFont="1" applyFill="1" applyBorder="1" applyAlignment="1">
      <alignment horizontal="center" vertical="center" textRotation="90" wrapText="1"/>
    </xf>
    <xf numFmtId="0" fontId="2" fillId="12" borderId="0" xfId="0" applyFont="1" applyFill="1" applyAlignment="1">
      <alignment horizontal="center" vertical="center" wrapText="1"/>
    </xf>
    <xf numFmtId="0" fontId="2" fillId="21" borderId="0" xfId="0" applyFont="1" applyFill="1" applyAlignment="1">
      <alignment horizontal="center" vertical="center"/>
    </xf>
    <xf numFmtId="0" fontId="2" fillId="33" borderId="0" xfId="0" applyFont="1" applyFill="1" applyAlignment="1">
      <alignment horizontal="center" vertical="center" wrapText="1"/>
    </xf>
    <xf numFmtId="0" fontId="15" fillId="13" borderId="0" xfId="0" applyFont="1" applyFill="1" applyAlignment="1">
      <alignment horizontal="center"/>
    </xf>
    <xf numFmtId="0" fontId="37" fillId="12" borderId="0" xfId="0" applyFont="1" applyFill="1" applyAlignment="1">
      <alignment horizontal="center"/>
    </xf>
    <xf numFmtId="0" fontId="0" fillId="0" borderId="0" xfId="0" applyAlignment="1">
      <alignment horizontal="center" textRotation="90" wrapText="1"/>
    </xf>
    <xf numFmtId="0" fontId="3" fillId="2" borderId="0" xfId="0" applyFont="1" applyFill="1" applyAlignment="1">
      <alignment horizontal="center" vertical="center" wrapText="1"/>
    </xf>
    <xf numFmtId="0" fontId="3" fillId="2" borderId="2" xfId="0" applyFont="1" applyFill="1" applyBorder="1" applyAlignment="1">
      <alignment horizontal="center" vertical="center" wrapText="1"/>
    </xf>
    <xf numFmtId="0" fontId="2" fillId="15" borderId="0" xfId="0" applyFont="1" applyFill="1" applyAlignment="1">
      <alignment horizontal="center" vertical="center"/>
    </xf>
    <xf numFmtId="0" fontId="2" fillId="12" borderId="0" xfId="0" applyFont="1" applyFill="1" applyAlignment="1">
      <alignment horizontal="center" wrapText="1"/>
    </xf>
    <xf numFmtId="0" fontId="2" fillId="12" borderId="3" xfId="0" applyFont="1" applyFill="1" applyBorder="1" applyAlignment="1">
      <alignment horizontal="center" wrapText="1"/>
    </xf>
    <xf numFmtId="0" fontId="2" fillId="12" borderId="4" xfId="0" applyFont="1" applyFill="1" applyBorder="1" applyAlignment="1">
      <alignment horizontal="center" wrapText="1"/>
    </xf>
    <xf numFmtId="0" fontId="2" fillId="12" borderId="5" xfId="0" applyFont="1" applyFill="1" applyBorder="1" applyAlignment="1">
      <alignment horizontal="center" wrapText="1"/>
    </xf>
    <xf numFmtId="0" fontId="2" fillId="12" borderId="6" xfId="0" applyFont="1" applyFill="1" applyBorder="1" applyAlignment="1">
      <alignment horizontal="center" wrapText="1"/>
    </xf>
    <xf numFmtId="0" fontId="3" fillId="2" borderId="1" xfId="0" applyFont="1" applyFill="1" applyBorder="1" applyAlignment="1">
      <alignment horizontal="center" vertical="center" wrapText="1"/>
    </xf>
    <xf numFmtId="0" fontId="2" fillId="12" borderId="0" xfId="0" applyFont="1" applyFill="1" applyAlignment="1">
      <alignment horizontal="center" vertical="center" textRotation="90"/>
    </xf>
    <xf numFmtId="0" fontId="25" fillId="0" borderId="0" xfId="0" applyFont="1" applyAlignment="1">
      <alignment horizontal="center" vertical="center" wrapText="1"/>
    </xf>
    <xf numFmtId="0" fontId="37" fillId="12" borderId="0" xfId="0" applyFont="1" applyFill="1" applyAlignment="1">
      <alignment horizontal="center" vertical="center" wrapText="1"/>
    </xf>
    <xf numFmtId="0" fontId="25" fillId="22" borderId="1" xfId="0" applyFont="1" applyFill="1" applyBorder="1" applyAlignment="1">
      <alignment horizontal="center" vertical="center" wrapText="1"/>
    </xf>
    <xf numFmtId="0" fontId="25" fillId="22" borderId="2" xfId="0" applyFont="1" applyFill="1" applyBorder="1" applyAlignment="1">
      <alignment horizontal="center" vertical="center" wrapText="1"/>
    </xf>
    <xf numFmtId="0" fontId="25" fillId="19" borderId="1" xfId="0" applyFont="1" applyFill="1" applyBorder="1" applyAlignment="1">
      <alignment horizontal="center" vertical="center" wrapText="1"/>
    </xf>
    <xf numFmtId="0" fontId="25" fillId="19" borderId="2" xfId="0" applyFont="1" applyFill="1" applyBorder="1" applyAlignment="1">
      <alignment horizontal="center" vertical="center" wrapText="1"/>
    </xf>
    <xf numFmtId="0" fontId="25" fillId="20" borderId="1" xfId="0" applyFont="1" applyFill="1" applyBorder="1" applyAlignment="1">
      <alignment horizontal="center" vertical="center" wrapText="1"/>
    </xf>
    <xf numFmtId="0" fontId="25" fillId="20" borderId="2" xfId="0" applyFont="1" applyFill="1" applyBorder="1" applyAlignment="1">
      <alignment horizontal="center" vertical="center" wrapText="1"/>
    </xf>
    <xf numFmtId="0" fontId="25" fillId="17" borderId="1" xfId="0" applyFont="1" applyFill="1" applyBorder="1" applyAlignment="1">
      <alignment horizontal="center" vertical="center" wrapText="1"/>
    </xf>
    <xf numFmtId="0" fontId="25" fillId="17" borderId="2" xfId="0" applyFont="1" applyFill="1" applyBorder="1" applyAlignment="1">
      <alignment horizontal="center" vertical="center" wrapText="1"/>
    </xf>
    <xf numFmtId="0" fontId="25" fillId="18" borderId="1" xfId="0" applyFont="1" applyFill="1" applyBorder="1" applyAlignment="1">
      <alignment horizontal="center" vertical="center" wrapText="1"/>
    </xf>
    <xf numFmtId="0" fontId="25" fillId="18" borderId="2" xfId="0" applyFont="1" applyFill="1" applyBorder="1" applyAlignment="1">
      <alignment horizontal="center" vertical="center" wrapText="1"/>
    </xf>
    <xf numFmtId="0" fontId="25" fillId="13" borderId="1" xfId="0" applyFont="1" applyFill="1" applyBorder="1" applyAlignment="1">
      <alignment horizontal="center" vertical="center" wrapText="1"/>
    </xf>
    <xf numFmtId="0" fontId="25" fillId="13" borderId="2" xfId="0" applyFont="1" applyFill="1" applyBorder="1" applyAlignment="1">
      <alignment horizontal="center" vertical="center" wrapText="1"/>
    </xf>
    <xf numFmtId="0" fontId="3" fillId="19" borderId="1" xfId="0" applyFont="1" applyFill="1" applyBorder="1" applyAlignment="1">
      <alignment horizontal="center" vertical="center" wrapText="1"/>
    </xf>
    <xf numFmtId="0" fontId="3" fillId="19" borderId="0" xfId="0" applyFont="1" applyFill="1" applyAlignment="1">
      <alignment horizontal="center" vertical="center" wrapText="1"/>
    </xf>
    <xf numFmtId="0" fontId="3" fillId="19" borderId="2" xfId="0" applyFont="1" applyFill="1" applyBorder="1" applyAlignment="1">
      <alignment horizontal="center" vertical="center" wrapText="1"/>
    </xf>
    <xf numFmtId="0" fontId="2" fillId="21" borderId="0" xfId="0" applyFont="1" applyFill="1" applyAlignment="1">
      <alignment horizontal="center" vertical="center" wrapText="1"/>
    </xf>
    <xf numFmtId="0" fontId="3" fillId="13" borderId="0" xfId="0" applyFont="1" applyFill="1" applyAlignment="1">
      <alignment horizontal="center" vertical="center" wrapText="1"/>
    </xf>
    <xf numFmtId="0" fontId="15" fillId="10" borderId="1" xfId="0" applyFont="1" applyFill="1" applyBorder="1" applyAlignment="1">
      <alignment horizontal="center" vertical="center" wrapText="1"/>
    </xf>
    <xf numFmtId="0" fontId="3" fillId="13" borderId="0" xfId="0" applyFont="1" applyFill="1" applyAlignment="1">
      <alignment horizontal="center" vertical="center" textRotation="90" wrapText="1"/>
    </xf>
    <xf numFmtId="0" fontId="3" fillId="19" borderId="1" xfId="0" applyFont="1" applyFill="1" applyBorder="1" applyAlignment="1">
      <alignment horizontal="center" vertical="center" textRotation="90" wrapText="1"/>
    </xf>
    <xf numFmtId="0" fontId="3" fillId="19" borderId="0" xfId="0" applyFont="1" applyFill="1" applyAlignment="1">
      <alignment horizontal="center" vertical="center" textRotation="90" wrapText="1"/>
    </xf>
    <xf numFmtId="0" fontId="3" fillId="19" borderId="2" xfId="0" applyFont="1" applyFill="1" applyBorder="1" applyAlignment="1">
      <alignment horizontal="center" vertical="center" textRotation="90" wrapText="1"/>
    </xf>
    <xf numFmtId="0" fontId="3" fillId="27" borderId="0" xfId="0" applyFont="1" applyFill="1" applyAlignment="1">
      <alignment horizontal="center" vertical="center" textRotation="90" wrapText="1"/>
    </xf>
    <xf numFmtId="0" fontId="7" fillId="12" borderId="0" xfId="0" applyFont="1" applyFill="1" applyAlignment="1">
      <alignment horizontal="center" vertical="center" textRotation="90" wrapText="1"/>
    </xf>
    <xf numFmtId="0" fontId="7" fillId="17" borderId="0" xfId="0" applyFont="1" applyFill="1" applyAlignment="1">
      <alignment horizontal="center" vertical="center" textRotation="90" wrapText="1"/>
    </xf>
    <xf numFmtId="0" fontId="7" fillId="13" borderId="0" xfId="0" applyFont="1" applyFill="1" applyAlignment="1">
      <alignment horizontal="center" vertical="center" textRotation="90" wrapText="1"/>
    </xf>
    <xf numFmtId="0" fontId="7" fillId="13" borderId="2" xfId="0" applyFont="1" applyFill="1" applyBorder="1" applyAlignment="1">
      <alignment horizontal="center" vertical="center" textRotation="90" wrapText="1"/>
    </xf>
    <xf numFmtId="0" fontId="37" fillId="12" borderId="0" xfId="0" applyFont="1" applyFill="1" applyAlignment="1">
      <alignment horizontal="center" vertical="center" textRotation="90"/>
    </xf>
    <xf numFmtId="0" fontId="41" fillId="4" borderId="1" xfId="0" applyFont="1" applyFill="1" applyBorder="1" applyAlignment="1">
      <alignment horizontal="center" vertical="center" textRotation="90" wrapText="1"/>
    </xf>
    <xf numFmtId="0" fontId="41" fillId="4" borderId="2" xfId="0" applyFont="1" applyFill="1" applyBorder="1" applyAlignment="1">
      <alignment horizontal="center" vertical="center" textRotation="90" wrapText="1"/>
    </xf>
    <xf numFmtId="0" fontId="41" fillId="19" borderId="1" xfId="0" applyFont="1" applyFill="1" applyBorder="1" applyAlignment="1">
      <alignment horizontal="center" vertical="center" textRotation="90" wrapText="1"/>
    </xf>
    <xf numFmtId="0" fontId="41" fillId="19" borderId="0" xfId="0" applyFont="1" applyFill="1" applyAlignment="1">
      <alignment horizontal="center" vertical="center" textRotation="90" wrapText="1"/>
    </xf>
    <xf numFmtId="0" fontId="41" fillId="19" borderId="2" xfId="0" applyFont="1" applyFill="1" applyBorder="1" applyAlignment="1">
      <alignment horizontal="center" vertical="center" textRotation="90" wrapText="1"/>
    </xf>
    <xf numFmtId="0" fontId="37" fillId="12" borderId="0" xfId="0" applyFont="1" applyFill="1" applyAlignment="1">
      <alignment horizontal="center" vertical="center" textRotation="90" wrapText="1"/>
    </xf>
    <xf numFmtId="0" fontId="2" fillId="24" borderId="13" xfId="0" applyFont="1" applyFill="1" applyBorder="1" applyAlignment="1">
      <alignment horizontal="center" vertical="center" wrapText="1"/>
    </xf>
    <xf numFmtId="0" fontId="2" fillId="24" borderId="12" xfId="0" applyFont="1" applyFill="1" applyBorder="1" applyAlignment="1">
      <alignment horizontal="center" vertical="center" wrapText="1"/>
    </xf>
    <xf numFmtId="0" fontId="24" fillId="0" borderId="0" xfId="0" applyFont="1" applyAlignment="1">
      <alignment horizontal="center" vertical="center"/>
    </xf>
    <xf numFmtId="0" fontId="41" fillId="25" borderId="0" xfId="0" applyFont="1" applyFill="1" applyAlignment="1">
      <alignment horizontal="center" vertical="center" textRotation="90" wrapText="1"/>
    </xf>
    <xf numFmtId="0" fontId="24" fillId="13" borderId="0" xfId="0" applyFont="1" applyFill="1" applyAlignment="1">
      <alignment horizontal="left" vertical="center"/>
    </xf>
    <xf numFmtId="0" fontId="54" fillId="33" borderId="0" xfId="0" applyFont="1" applyFill="1" applyAlignment="1">
      <alignment horizontal="left" vertical="center" wrapText="1"/>
    </xf>
    <xf numFmtId="0" fontId="54" fillId="33" borderId="0" xfId="0" applyFont="1" applyFill="1" applyAlignment="1">
      <alignment horizontal="center" vertical="center" wrapText="1"/>
    </xf>
    <xf numFmtId="0" fontId="55" fillId="33" borderId="0" xfId="0" applyFont="1" applyFill="1" applyAlignment="1">
      <alignment horizontal="center" vertical="center" wrapText="1"/>
    </xf>
    <xf numFmtId="0" fontId="3" fillId="0" borderId="0" xfId="0" applyFont="1" applyAlignment="1">
      <alignment horizontal="left" vertical="center"/>
    </xf>
    <xf numFmtId="0" fontId="2" fillId="12" borderId="0" xfId="0" applyFont="1" applyFill="1" applyAlignment="1">
      <alignment horizontal="left" vertical="center" wrapText="1"/>
    </xf>
    <xf numFmtId="0" fontId="62" fillId="35" borderId="15" xfId="0" applyFont="1" applyFill="1" applyBorder="1" applyAlignment="1">
      <alignment horizontal="center" vertical="center" wrapText="1"/>
    </xf>
    <xf numFmtId="0" fontId="62" fillId="35" borderId="16" xfId="0" applyFont="1" applyFill="1" applyBorder="1" applyAlignment="1">
      <alignment horizontal="center" vertical="center" wrapText="1"/>
    </xf>
  </cellXfs>
  <cellStyles count="4">
    <cellStyle name="Comma" xfId="1" builtinId="3"/>
    <cellStyle name="Hyperlink" xfId="3" builtinId="8"/>
    <cellStyle name="Normal" xfId="0" builtinId="0"/>
    <cellStyle name="Percent" xfId="2" builtinId="5"/>
  </cellStyles>
  <dxfs count="8">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9" tint="-0.499984740745262"/>
      </font>
      <fill>
        <patternFill>
          <bgColor theme="9" tint="0.79998168889431442"/>
        </patternFill>
      </fill>
    </dxf>
    <dxf>
      <font>
        <color theme="7" tint="-0.499984740745262"/>
      </font>
      <fill>
        <patternFill>
          <bgColor theme="7" tint="0.79998168889431442"/>
        </patternFill>
      </fill>
    </dxf>
    <dxf>
      <font>
        <color theme="4" tint="-0.499984740745262"/>
      </font>
      <fill>
        <patternFill>
          <bgColor theme="4" tint="0.79998168889431442"/>
        </patternFill>
      </fill>
    </dxf>
    <dxf>
      <font>
        <color theme="0" tint="-0.499984740745262"/>
      </font>
      <fill>
        <patternFill>
          <bgColor theme="0" tint="-4.9989318521683403E-2"/>
        </patternFill>
      </fill>
    </dxf>
    <dxf>
      <font>
        <color theme="5" tint="-0.499984740745262"/>
      </font>
      <fill>
        <patternFill>
          <bgColor theme="5" tint="0.79998168889431442"/>
        </patternFill>
      </fill>
    </dxf>
  </dxfs>
  <tableStyles count="0" defaultTableStyle="TableStyleMedium2" defaultPivotStyle="PivotStyleLight16"/>
  <colors>
    <mruColors>
      <color rgb="FFA9D08E"/>
      <color rgb="FF44546A"/>
      <color rgb="FF006699"/>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pt-PT" b="1"/>
              <a:t>Total Carbon Stock</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pt-BR"/>
        </a:p>
      </c:txPr>
    </c:title>
    <c:autoTitleDeleted val="0"/>
    <c:plotArea>
      <c:layout/>
      <c:barChart>
        <c:barDir val="col"/>
        <c:grouping val="clustered"/>
        <c:varyColors val="0"/>
        <c:ser>
          <c:idx val="0"/>
          <c:order val="0"/>
          <c:spPr>
            <a:pattFill prst="pct90">
              <a:fgClr>
                <a:schemeClr val="accent6"/>
              </a:fgClr>
              <a:bgClr>
                <a:schemeClr val="bg1"/>
              </a:bgClr>
            </a:pattFill>
            <a:ln>
              <a:solidFill>
                <a:schemeClr val="accent6">
                  <a:lumMod val="50000"/>
                </a:schemeClr>
              </a:solidFill>
            </a:ln>
            <a:effectLst/>
          </c:spPr>
          <c:invertIfNegative val="0"/>
          <c:cat>
            <c:strRef>
              <c:f>Biomass!$C$6:$F$6</c:f>
              <c:strCache>
                <c:ptCount val="4"/>
                <c:pt idx="0">
                  <c:v>Aluvial</c:v>
                </c:pt>
                <c:pt idx="1">
                  <c:v>Encosta</c:v>
                </c:pt>
                <c:pt idx="2">
                  <c:v>FOB Densa Submontana</c:v>
                </c:pt>
                <c:pt idx="3">
                  <c:v>FOB submontana</c:v>
                </c:pt>
              </c:strCache>
            </c:strRef>
          </c:cat>
          <c:val>
            <c:numRef>
              <c:f>Biomass!$C$11:$F$11</c:f>
              <c:numCache>
                <c:formatCode>_-* #,##0.00_-;\-* #,##0.00_-;_-* "-"??_-;_-@_-</c:formatCode>
                <c:ptCount val="4"/>
                <c:pt idx="0">
                  <c:v>470.09177813954449</c:v>
                </c:pt>
                <c:pt idx="1">
                  <c:v>478.76992451386366</c:v>
                </c:pt>
                <c:pt idx="2">
                  <c:v>494.74584576811208</c:v>
                </c:pt>
                <c:pt idx="3">
                  <c:v>455.546916816909</c:v>
                </c:pt>
              </c:numCache>
            </c:numRef>
          </c:val>
          <c:extLst>
            <c:ext xmlns:c16="http://schemas.microsoft.com/office/drawing/2014/chart" uri="{C3380CC4-5D6E-409C-BE32-E72D297353CC}">
              <c16:uniqueId val="{00000000-0DF7-4BE7-9469-34239F1FD711}"/>
            </c:ext>
          </c:extLst>
        </c:ser>
        <c:dLbls>
          <c:showLegendKey val="0"/>
          <c:showVal val="0"/>
          <c:showCatName val="0"/>
          <c:showSerName val="0"/>
          <c:showPercent val="0"/>
          <c:showBubbleSize val="0"/>
        </c:dLbls>
        <c:gapWidth val="219"/>
        <c:overlap val="-27"/>
        <c:axId val="198471535"/>
        <c:axId val="198469039"/>
      </c:barChart>
      <c:catAx>
        <c:axId val="198471535"/>
        <c:scaling>
          <c:orientation val="minMax"/>
        </c:scaling>
        <c:delete val="0"/>
        <c:axPos val="b"/>
        <c:title>
          <c:tx>
            <c:rich>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pt-PT" b="1"/>
                  <a:t>Stratum</a:t>
                </a:r>
              </a:p>
            </c:rich>
          </c:tx>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pt-BR"/>
            </a:p>
          </c:txPr>
        </c:title>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crossAx val="198469039"/>
        <c:crosses val="autoZero"/>
        <c:auto val="1"/>
        <c:lblAlgn val="ctr"/>
        <c:lblOffset val="100"/>
        <c:noMultiLvlLbl val="0"/>
      </c:catAx>
      <c:valAx>
        <c:axId val="198469039"/>
        <c:scaling>
          <c:orientation val="minMax"/>
        </c:scaling>
        <c:delete val="0"/>
        <c:axPos val="l"/>
        <c:title>
          <c:tx>
            <c:rich>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pt-PT" b="1"/>
                  <a:t>Total Carbon Stock (tCO</a:t>
                </a:r>
                <a:r>
                  <a:rPr lang="pt-PT" b="1" baseline="-25000"/>
                  <a:t>2</a:t>
                </a:r>
                <a:r>
                  <a:rPr lang="pt-PT" b="1"/>
                  <a:t>-e ha</a:t>
                </a:r>
                <a:r>
                  <a:rPr lang="pt-PT" b="1" baseline="30000"/>
                  <a:t>-1</a:t>
                </a:r>
                <a:r>
                  <a:rPr lang="pt-PT" b="1"/>
                  <a:t>)</a:t>
                </a:r>
              </a:p>
            </c:rich>
          </c:tx>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pt-BR"/>
            </a:p>
          </c:txPr>
        </c:title>
        <c:numFmt formatCode="_-* #,##0.00_-;\-* #,##0.00_-;_-* &quot;-&quot;??_-;_-@_-"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crossAx val="198471535"/>
        <c:crosses val="autoZero"/>
        <c:crossBetween val="between"/>
      </c:valAx>
      <c:spPr>
        <a:noFill/>
        <a:ln>
          <a:solidFill>
            <a:sysClr val="windowText" lastClr="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defRPr>
      </a:pPr>
      <a:endParaRPr lang="pt-BR"/>
    </a:p>
  </c:txPr>
  <c:printSettings>
    <c:headerFooter/>
    <c:pageMargins b="0.78740157499999996" l="0.511811024" r="0.511811024" t="0.78740157499999996" header="0.31496062000000002" footer="0.3149606200000000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'Resume_Ex-ante'!$A$9</c:f>
              <c:strCache>
                <c:ptCount val="1"/>
                <c:pt idx="0">
                  <c:v>Baseline emissions</c:v>
                </c:pt>
              </c:strCache>
            </c:strRef>
          </c:tx>
          <c:spPr>
            <a:pattFill prst="lgConfetti">
              <a:fgClr>
                <a:schemeClr val="accent6">
                  <a:lumMod val="60000"/>
                  <a:lumOff val="40000"/>
                </a:schemeClr>
              </a:fgClr>
              <a:bgClr>
                <a:schemeClr val="bg1"/>
              </a:bgClr>
            </a:pattFill>
            <a:ln>
              <a:solidFill>
                <a:schemeClr val="accent6">
                  <a:lumMod val="50000"/>
                </a:schemeClr>
              </a:solidFill>
            </a:ln>
            <a:effectLst/>
          </c:spPr>
          <c:invertIfNegative val="0"/>
          <c:cat>
            <c:strRef>
              <c:f>'Resume_Ex-ante'!$C$6:$H$6</c:f>
              <c:strCache>
                <c:ptCount val="6"/>
                <c:pt idx="0">
                  <c:v>2019-2020</c:v>
                </c:pt>
                <c:pt idx="1">
                  <c:v>2020-2021</c:v>
                </c:pt>
                <c:pt idx="2">
                  <c:v>2021-2022</c:v>
                </c:pt>
                <c:pt idx="3">
                  <c:v>2022-2023</c:v>
                </c:pt>
                <c:pt idx="4">
                  <c:v>2023-2024</c:v>
                </c:pt>
                <c:pt idx="5">
                  <c:v>2024-2025</c:v>
                </c:pt>
              </c:strCache>
            </c:strRef>
          </c:cat>
          <c:val>
            <c:numRef>
              <c:f>'Resume_Ex-ante'!$C$9:$H$9</c:f>
              <c:numCache>
                <c:formatCode>_-* #,##0.00_-;\-* #,##0.00_-;_-* "-"??_-;_-@_-</c:formatCode>
                <c:ptCount val="6"/>
                <c:pt idx="0">
                  <c:v>72573.573868837717</c:v>
                </c:pt>
                <c:pt idx="1">
                  <c:v>112816.76363879994</c:v>
                </c:pt>
                <c:pt idx="2">
                  <c:v>243372.62448287685</c:v>
                </c:pt>
                <c:pt idx="3">
                  <c:v>176858.42099728965</c:v>
                </c:pt>
                <c:pt idx="4">
                  <c:v>186698.98454977942</c:v>
                </c:pt>
                <c:pt idx="5">
                  <c:v>141321.48067552599</c:v>
                </c:pt>
              </c:numCache>
            </c:numRef>
          </c:val>
          <c:extLst>
            <c:ext xmlns:c16="http://schemas.microsoft.com/office/drawing/2014/chart" uri="{C3380CC4-5D6E-409C-BE32-E72D297353CC}">
              <c16:uniqueId val="{00000000-55AF-43A3-804D-63F52552F2E5}"/>
            </c:ext>
          </c:extLst>
        </c:ser>
        <c:ser>
          <c:idx val="1"/>
          <c:order val="1"/>
          <c:tx>
            <c:strRef>
              <c:f>'Resume_Ex-ante'!$A$10</c:f>
              <c:strCache>
                <c:ptCount val="1"/>
                <c:pt idx="0">
                  <c:v>Project emissions</c:v>
                </c:pt>
              </c:strCache>
            </c:strRef>
          </c:tx>
          <c:spPr>
            <a:pattFill prst="pct75">
              <a:fgClr>
                <a:schemeClr val="accent4">
                  <a:lumMod val="60000"/>
                  <a:lumOff val="40000"/>
                </a:schemeClr>
              </a:fgClr>
              <a:bgClr>
                <a:schemeClr val="bg1"/>
              </a:bgClr>
            </a:pattFill>
            <a:ln>
              <a:solidFill>
                <a:schemeClr val="accent4">
                  <a:lumMod val="50000"/>
                </a:schemeClr>
              </a:solidFill>
            </a:ln>
            <a:effectLst/>
          </c:spPr>
          <c:invertIfNegative val="0"/>
          <c:val>
            <c:numRef>
              <c:f>'Resume_Ex-ante'!$C$10:$H$10</c:f>
              <c:numCache>
                <c:formatCode>_-* #,##0.00_-;\-* #,##0.00_-;_-* "-"??_-;_-@_-</c:formatCode>
                <c:ptCount val="6"/>
                <c:pt idx="0">
                  <c:v>0</c:v>
                </c:pt>
                <c:pt idx="1">
                  <c:v>0</c:v>
                </c:pt>
                <c:pt idx="2">
                  <c:v>0</c:v>
                </c:pt>
                <c:pt idx="3">
                  <c:v>108655.40424099649</c:v>
                </c:pt>
                <c:pt idx="4">
                  <c:v>108655.40424099649</c:v>
                </c:pt>
                <c:pt idx="5">
                  <c:v>108655.40424099649</c:v>
                </c:pt>
              </c:numCache>
            </c:numRef>
          </c:val>
          <c:extLst>
            <c:ext xmlns:c16="http://schemas.microsoft.com/office/drawing/2014/chart" uri="{C3380CC4-5D6E-409C-BE32-E72D297353CC}">
              <c16:uniqueId val="{00000001-55AF-43A3-804D-63F52552F2E5}"/>
            </c:ext>
          </c:extLst>
        </c:ser>
        <c:ser>
          <c:idx val="2"/>
          <c:order val="2"/>
          <c:tx>
            <c:strRef>
              <c:f>'Resume_Ex-ante'!$A$11</c:f>
              <c:strCache>
                <c:ptCount val="1"/>
                <c:pt idx="0">
                  <c:v>Leakage emissions</c:v>
                </c:pt>
              </c:strCache>
            </c:strRef>
          </c:tx>
          <c:spPr>
            <a:pattFill prst="trellis">
              <a:fgClr>
                <a:schemeClr val="accent2">
                  <a:lumMod val="60000"/>
                  <a:lumOff val="40000"/>
                </a:schemeClr>
              </a:fgClr>
              <a:bgClr>
                <a:schemeClr val="bg1"/>
              </a:bgClr>
            </a:pattFill>
            <a:ln>
              <a:solidFill>
                <a:schemeClr val="accent2">
                  <a:lumMod val="50000"/>
                </a:schemeClr>
              </a:solidFill>
            </a:ln>
            <a:effectLst/>
          </c:spPr>
          <c:invertIfNegative val="0"/>
          <c:val>
            <c:numRef>
              <c:f>'Resume_Ex-ante'!$C$11:$H$11</c:f>
              <c:numCache>
                <c:formatCode>_-* #,##0.00_-;\-* #,##0.00_-;_-* "-"??_-;_-@_-</c:formatCode>
                <c:ptCount val="6"/>
                <c:pt idx="0">
                  <c:v>9779.3889854317513</c:v>
                </c:pt>
                <c:pt idx="1">
                  <c:v>15185.878462136401</c:v>
                </c:pt>
                <c:pt idx="2">
                  <c:v>33646.021429055247</c:v>
                </c:pt>
                <c:pt idx="3">
                  <c:v>24484.703283317976</c:v>
                </c:pt>
                <c:pt idx="4">
                  <c:v>26543.647201843098</c:v>
                </c:pt>
                <c:pt idx="5">
                  <c:v>21357.538511588526</c:v>
                </c:pt>
              </c:numCache>
            </c:numRef>
          </c:val>
          <c:extLst>
            <c:ext xmlns:c16="http://schemas.microsoft.com/office/drawing/2014/chart" uri="{C3380CC4-5D6E-409C-BE32-E72D297353CC}">
              <c16:uniqueId val="{00000002-55AF-43A3-804D-63F52552F2E5}"/>
            </c:ext>
          </c:extLst>
        </c:ser>
        <c:dLbls>
          <c:showLegendKey val="0"/>
          <c:showVal val="0"/>
          <c:showCatName val="0"/>
          <c:showSerName val="0"/>
          <c:showPercent val="0"/>
          <c:showBubbleSize val="0"/>
        </c:dLbls>
        <c:gapWidth val="75"/>
        <c:overlap val="-25"/>
        <c:axId val="198471535"/>
        <c:axId val="198469039"/>
      </c:barChart>
      <c:catAx>
        <c:axId val="198471535"/>
        <c:scaling>
          <c:orientation val="minMax"/>
        </c:scaling>
        <c:delete val="0"/>
        <c:axPos val="b"/>
        <c:title>
          <c:tx>
            <c:rich>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pt-PT" b="1"/>
                  <a:t>Time (years)</a:t>
                </a:r>
              </a:p>
            </c:rich>
          </c:tx>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pt-BR"/>
            </a:p>
          </c:txPr>
        </c:title>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crossAx val="198469039"/>
        <c:crosses val="autoZero"/>
        <c:auto val="1"/>
        <c:lblAlgn val="ctr"/>
        <c:lblOffset val="100"/>
        <c:noMultiLvlLbl val="0"/>
      </c:catAx>
      <c:valAx>
        <c:axId val="198469039"/>
        <c:scaling>
          <c:orientation val="minMax"/>
        </c:scaling>
        <c:delete val="0"/>
        <c:axPos val="l"/>
        <c:title>
          <c:tx>
            <c:rich>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pt-PT" b="1"/>
                  <a:t>Emission (tCO</a:t>
                </a:r>
                <a:r>
                  <a:rPr lang="pt-PT" b="1" baseline="-25000"/>
                  <a:t>2-e</a:t>
                </a:r>
                <a:r>
                  <a:rPr lang="pt-PT" b="1"/>
                  <a:t>)</a:t>
                </a:r>
              </a:p>
            </c:rich>
          </c:tx>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pt-BR"/>
            </a:p>
          </c:txPr>
        </c:title>
        <c:numFmt formatCode="_-* #,##0.00_-;\-* #,##0.00_-;_-* &quot;-&quot;??_-;_-@_-" sourceLinked="1"/>
        <c:majorTickMark val="none"/>
        <c:minorTickMark val="none"/>
        <c:tickLblPos val="nextTo"/>
        <c:spPr>
          <a:noFill/>
          <a:ln w="25400">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crossAx val="198471535"/>
        <c:crosses val="autoZero"/>
        <c:crossBetween val="between"/>
      </c:valAx>
      <c:spPr>
        <a:noFill/>
        <a:ln>
          <a:solidFill>
            <a:sysClr val="windowText" lastClr="000000"/>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defRPr>
      </a:pPr>
      <a:endParaRPr lang="pt-BR"/>
    </a:p>
  </c:txPr>
  <c:printSettings>
    <c:headerFooter/>
    <c:pageMargins b="0.78740157499999996" l="0.511811024" r="0.511811024" t="0.78740157499999996" header="0.31496062000000002" footer="0.3149606200000000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'Resume_Ex-ante'!$A$13</c:f>
              <c:strCache>
                <c:ptCount val="1"/>
                <c:pt idx="0">
                  <c:v>Net GHG emission reductions </c:v>
                </c:pt>
              </c:strCache>
            </c:strRef>
          </c:tx>
          <c:spPr>
            <a:pattFill prst="dkUpDiag">
              <a:fgClr>
                <a:schemeClr val="accent5">
                  <a:lumMod val="75000"/>
                </a:schemeClr>
              </a:fgClr>
              <a:bgClr>
                <a:schemeClr val="bg1"/>
              </a:bgClr>
            </a:pattFill>
            <a:ln>
              <a:solidFill>
                <a:schemeClr val="accent5">
                  <a:lumMod val="50000"/>
                </a:schemeClr>
              </a:solidFill>
            </a:ln>
            <a:effectLst/>
          </c:spPr>
          <c:invertIfNegative val="0"/>
          <c:cat>
            <c:strRef>
              <c:f>'Resume_Ex-ante'!$C$6:$H$6</c:f>
              <c:strCache>
                <c:ptCount val="6"/>
                <c:pt idx="0">
                  <c:v>2019-2020</c:v>
                </c:pt>
                <c:pt idx="1">
                  <c:v>2020-2021</c:v>
                </c:pt>
                <c:pt idx="2">
                  <c:v>2021-2022</c:v>
                </c:pt>
                <c:pt idx="3">
                  <c:v>2022-2023</c:v>
                </c:pt>
                <c:pt idx="4">
                  <c:v>2023-2024</c:v>
                </c:pt>
                <c:pt idx="5">
                  <c:v>2024-2025</c:v>
                </c:pt>
              </c:strCache>
            </c:strRef>
          </c:cat>
          <c:val>
            <c:numRef>
              <c:f>'Resume_Ex-ante'!$C$13:$H$13</c:f>
              <c:numCache>
                <c:formatCode>_-* #,##0.00_-;\-* #,##0.00_-;_-* "-"??_-;_-@_-</c:formatCode>
                <c:ptCount val="6"/>
                <c:pt idx="0">
                  <c:v>62794.184883405964</c:v>
                </c:pt>
                <c:pt idx="1">
                  <c:v>97630.885176663534</c:v>
                </c:pt>
                <c:pt idx="2">
                  <c:v>209726.6030538216</c:v>
                </c:pt>
                <c:pt idx="3">
                  <c:v>43718.313472975191</c:v>
                </c:pt>
                <c:pt idx="4">
                  <c:v>51499.933106939832</c:v>
                </c:pt>
                <c:pt idx="5">
                  <c:v>11308.537922940974</c:v>
                </c:pt>
              </c:numCache>
            </c:numRef>
          </c:val>
          <c:extLst>
            <c:ext xmlns:c16="http://schemas.microsoft.com/office/drawing/2014/chart" uri="{C3380CC4-5D6E-409C-BE32-E72D297353CC}">
              <c16:uniqueId val="{00000000-64F4-46B1-8078-32A043619095}"/>
            </c:ext>
          </c:extLst>
        </c:ser>
        <c:ser>
          <c:idx val="1"/>
          <c:order val="1"/>
          <c:tx>
            <c:strRef>
              <c:f>'Resume_Ex-ante'!$A$14</c:f>
              <c:strCache>
                <c:ptCount val="1"/>
                <c:pt idx="0">
                  <c:v>Buffer pool allocation</c:v>
                </c:pt>
              </c:strCache>
            </c:strRef>
          </c:tx>
          <c:spPr>
            <a:pattFill prst="pct60">
              <a:fgClr>
                <a:schemeClr val="accent2">
                  <a:lumMod val="75000"/>
                </a:schemeClr>
              </a:fgClr>
              <a:bgClr>
                <a:schemeClr val="bg1"/>
              </a:bgClr>
            </a:pattFill>
            <a:ln>
              <a:solidFill>
                <a:schemeClr val="accent2">
                  <a:lumMod val="50000"/>
                </a:schemeClr>
              </a:solidFill>
            </a:ln>
            <a:effectLst/>
          </c:spPr>
          <c:invertIfNegative val="0"/>
          <c:cat>
            <c:strRef>
              <c:f>'Resume_Ex-ante'!$C$6:$H$6</c:f>
              <c:strCache>
                <c:ptCount val="6"/>
                <c:pt idx="0">
                  <c:v>2019-2020</c:v>
                </c:pt>
                <c:pt idx="1">
                  <c:v>2020-2021</c:v>
                </c:pt>
                <c:pt idx="2">
                  <c:v>2021-2022</c:v>
                </c:pt>
                <c:pt idx="3">
                  <c:v>2022-2023</c:v>
                </c:pt>
                <c:pt idx="4">
                  <c:v>2023-2024</c:v>
                </c:pt>
                <c:pt idx="5">
                  <c:v>2024-2025</c:v>
                </c:pt>
              </c:strCache>
            </c:strRef>
          </c:cat>
          <c:val>
            <c:numRef>
              <c:f>'Resume_Ex-ante'!$C$14:$H$14</c:f>
              <c:numCache>
                <c:formatCode>_-* #,##0.00_-;\-* #,##0.00_-;_-* "-"??_-;_-@_-</c:formatCode>
                <c:ptCount val="6"/>
                <c:pt idx="0">
                  <c:v>6279.4184883405969</c:v>
                </c:pt>
                <c:pt idx="1">
                  <c:v>9763.0885176663542</c:v>
                </c:pt>
                <c:pt idx="2">
                  <c:v>20972.66030538216</c:v>
                </c:pt>
                <c:pt idx="3">
                  <c:v>4371.8313472975196</c:v>
                </c:pt>
                <c:pt idx="4">
                  <c:v>5149.9933106939834</c:v>
                </c:pt>
                <c:pt idx="5">
                  <c:v>1130.8537922940975</c:v>
                </c:pt>
              </c:numCache>
            </c:numRef>
          </c:val>
          <c:extLst>
            <c:ext xmlns:c16="http://schemas.microsoft.com/office/drawing/2014/chart" uri="{C3380CC4-5D6E-409C-BE32-E72D297353CC}">
              <c16:uniqueId val="{00000001-64F4-46B1-8078-32A043619095}"/>
            </c:ext>
          </c:extLst>
        </c:ser>
        <c:dLbls>
          <c:showLegendKey val="0"/>
          <c:showVal val="0"/>
          <c:showCatName val="0"/>
          <c:showSerName val="0"/>
          <c:showPercent val="0"/>
          <c:showBubbleSize val="0"/>
        </c:dLbls>
        <c:gapWidth val="75"/>
        <c:overlap val="-25"/>
        <c:axId val="198471535"/>
        <c:axId val="198469039"/>
      </c:barChart>
      <c:catAx>
        <c:axId val="198471535"/>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pt-PT" b="1"/>
                  <a:t>Time</a:t>
                </a:r>
                <a:r>
                  <a:rPr lang="pt-PT" b="1" baseline="0"/>
                  <a:t> (years)</a:t>
                </a:r>
                <a:endParaRPr lang="pt-PT" b="1"/>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pt-PT"/>
            </a:p>
          </c:txPr>
        </c:title>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crossAx val="198469039"/>
        <c:crosses val="autoZero"/>
        <c:auto val="1"/>
        <c:lblAlgn val="ctr"/>
        <c:lblOffset val="100"/>
        <c:noMultiLvlLbl val="0"/>
      </c:catAx>
      <c:valAx>
        <c:axId val="198469039"/>
        <c:scaling>
          <c:orientation val="minMax"/>
        </c:scaling>
        <c:delete val="0"/>
        <c:axPos val="l"/>
        <c:title>
          <c:tx>
            <c:rich>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r>
                  <a:rPr lang="pt-PT" sz="1050" b="1" i="0" baseline="0">
                    <a:effectLst/>
                  </a:rPr>
                  <a:t>Emission (tCO</a:t>
                </a:r>
                <a:r>
                  <a:rPr lang="pt-PT" sz="1050" b="1" i="0" baseline="-25000">
                    <a:effectLst/>
                  </a:rPr>
                  <a:t>2-e</a:t>
                </a:r>
                <a:r>
                  <a:rPr lang="pt-PT" sz="1050" b="1" i="0" baseline="0">
                    <a:effectLst/>
                  </a:rPr>
                  <a:t>)</a:t>
                </a:r>
                <a:endParaRPr lang="pt-PT" sz="1050">
                  <a:effectLst/>
                </a:endParaRPr>
              </a:p>
            </c:rich>
          </c:tx>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pt-PT"/>
            </a:p>
          </c:txPr>
        </c:title>
        <c:numFmt formatCode="_-* #,##0.00_-;\-* #,##0.00_-;_-* &quot;-&quot;??_-;_-@_-" sourceLinked="1"/>
        <c:majorTickMark val="none"/>
        <c:minorTickMark val="none"/>
        <c:tickLblPos val="nextTo"/>
        <c:spPr>
          <a:noFill/>
          <a:ln w="25400">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crossAx val="198471535"/>
        <c:crosses val="autoZero"/>
        <c:crossBetween val="between"/>
      </c:valAx>
      <c:spPr>
        <a:noFill/>
        <a:ln>
          <a:solidFill>
            <a:sysClr val="windowText" lastClr="000000"/>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defRPr>
      </a:pPr>
      <a:endParaRPr lang="pt-BR"/>
    </a:p>
  </c:txPr>
  <c:printSettings>
    <c:headerFooter/>
    <c:pageMargins b="0.78740157499999996" l="0.511811024" r="0.511811024" t="0.78740157499999996" header="0.31496062000000002" footer="0.3149606200000000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'Resume_Ex-ante'!$A$15</c:f>
              <c:strCache>
                <c:ptCount val="1"/>
                <c:pt idx="0">
                  <c:v>VCUs eligible for issuance</c:v>
                </c:pt>
              </c:strCache>
            </c:strRef>
          </c:tx>
          <c:spPr>
            <a:pattFill prst="dkUpDiag">
              <a:fgClr>
                <a:schemeClr val="accent6"/>
              </a:fgClr>
              <a:bgClr>
                <a:schemeClr val="bg1"/>
              </a:bgClr>
            </a:pattFill>
            <a:ln>
              <a:solidFill>
                <a:schemeClr val="accent6">
                  <a:lumMod val="50000"/>
                </a:schemeClr>
              </a:solidFill>
            </a:ln>
            <a:effectLst/>
          </c:spPr>
          <c:invertIfNegative val="0"/>
          <c:cat>
            <c:strRef>
              <c:f>'Resume_Ex-ante'!$C$6:$H$6</c:f>
              <c:strCache>
                <c:ptCount val="6"/>
                <c:pt idx="0">
                  <c:v>2019-2020</c:v>
                </c:pt>
                <c:pt idx="1">
                  <c:v>2020-2021</c:v>
                </c:pt>
                <c:pt idx="2">
                  <c:v>2021-2022</c:v>
                </c:pt>
                <c:pt idx="3">
                  <c:v>2022-2023</c:v>
                </c:pt>
                <c:pt idx="4">
                  <c:v>2023-2024</c:v>
                </c:pt>
                <c:pt idx="5">
                  <c:v>2024-2025</c:v>
                </c:pt>
              </c:strCache>
            </c:strRef>
          </c:cat>
          <c:val>
            <c:numRef>
              <c:f>'Resume_Ex-ante'!$C$15:$H$15</c:f>
              <c:numCache>
                <c:formatCode>_-* #,##0.00_-;\-* #,##0.00_-;_-* "-"??_-;_-@_-</c:formatCode>
                <c:ptCount val="6"/>
                <c:pt idx="0">
                  <c:v>56514.766395065366</c:v>
                </c:pt>
                <c:pt idx="1">
                  <c:v>87867.796658997177</c:v>
                </c:pt>
                <c:pt idx="2">
                  <c:v>188753.94274843944</c:v>
                </c:pt>
                <c:pt idx="3">
                  <c:v>39346.48212567767</c:v>
                </c:pt>
                <c:pt idx="4">
                  <c:v>46349.939796245846</c:v>
                </c:pt>
                <c:pt idx="5">
                  <c:v>10177.684130646876</c:v>
                </c:pt>
              </c:numCache>
            </c:numRef>
          </c:val>
          <c:extLst>
            <c:ext xmlns:c16="http://schemas.microsoft.com/office/drawing/2014/chart" uri="{C3380CC4-5D6E-409C-BE32-E72D297353CC}">
              <c16:uniqueId val="{00000000-94FA-4F79-B957-15D066E12743}"/>
            </c:ext>
          </c:extLst>
        </c:ser>
        <c:dLbls>
          <c:showLegendKey val="0"/>
          <c:showVal val="0"/>
          <c:showCatName val="0"/>
          <c:showSerName val="0"/>
          <c:showPercent val="0"/>
          <c:showBubbleSize val="0"/>
        </c:dLbls>
        <c:gapWidth val="75"/>
        <c:axId val="198471535"/>
        <c:axId val="198469039"/>
      </c:barChart>
      <c:catAx>
        <c:axId val="198471535"/>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pt-PT" b="1"/>
                  <a:t>Time (years)</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pt-BR"/>
            </a:p>
          </c:txPr>
        </c:title>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crossAx val="198469039"/>
        <c:crosses val="autoZero"/>
        <c:auto val="1"/>
        <c:lblAlgn val="ctr"/>
        <c:lblOffset val="100"/>
        <c:noMultiLvlLbl val="0"/>
      </c:catAx>
      <c:valAx>
        <c:axId val="198469039"/>
        <c:scaling>
          <c:orientation val="minMax"/>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pt-PT" sz="1000" b="1" i="0" baseline="0">
                    <a:effectLst/>
                  </a:rPr>
                  <a:t>VCUs (tCO</a:t>
                </a:r>
                <a:r>
                  <a:rPr lang="pt-PT" sz="1000" b="1" i="0" baseline="-25000">
                    <a:effectLst/>
                  </a:rPr>
                  <a:t>2-e</a:t>
                </a:r>
                <a:r>
                  <a:rPr lang="pt-PT" sz="1000" b="1" i="0" baseline="0">
                    <a:effectLst/>
                  </a:rPr>
                  <a:t>)</a:t>
                </a:r>
                <a:endParaRPr lang="pt-PT" sz="1000">
                  <a:effectLst/>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pt-PT"/>
            </a:p>
          </c:txPr>
        </c:title>
        <c:numFmt formatCode="_-* #,##0.00_-;\-* #,##0.00_-;_-* &quot;-&quot;??_-;_-@_-" sourceLinked="1"/>
        <c:majorTickMark val="none"/>
        <c:minorTickMark val="none"/>
        <c:tickLblPos val="nextTo"/>
        <c:spPr>
          <a:noFill/>
          <a:ln w="25400">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crossAx val="198471535"/>
        <c:crosses val="autoZero"/>
        <c:crossBetween val="between"/>
      </c:valAx>
      <c:spPr>
        <a:noFill/>
        <a:ln>
          <a:solidFill>
            <a:sysClr val="windowText" lastClr="000000"/>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pt-PT" b="1"/>
              <a:t>Total Carbon Stock</a:t>
            </a:r>
          </a:p>
        </c:rich>
      </c:tx>
      <c:layout>
        <c:manualLayout>
          <c:xMode val="edge"/>
          <c:yMode val="edge"/>
          <c:x val="0.34272379982139545"/>
          <c:y val="3.410446573810321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pt-BR"/>
        </a:p>
      </c:txPr>
    </c:title>
    <c:autoTitleDeleted val="0"/>
    <c:plotArea>
      <c:layout/>
      <c:barChart>
        <c:barDir val="col"/>
        <c:grouping val="clustered"/>
        <c:varyColors val="0"/>
        <c:ser>
          <c:idx val="0"/>
          <c:order val="0"/>
          <c:tx>
            <c:strRef>
              <c:f>Biomass!$B$37</c:f>
              <c:strCache>
                <c:ptCount val="1"/>
                <c:pt idx="0">
                  <c:v>First Forest Inventory (2010)</c:v>
                </c:pt>
              </c:strCache>
            </c:strRef>
          </c:tx>
          <c:spPr>
            <a:pattFill prst="pct80">
              <a:fgClr>
                <a:schemeClr val="accent6">
                  <a:lumMod val="50000"/>
                </a:schemeClr>
              </a:fgClr>
              <a:bgClr>
                <a:schemeClr val="bg1"/>
              </a:bgClr>
            </a:pattFill>
            <a:ln>
              <a:noFill/>
            </a:ln>
            <a:effectLst/>
          </c:spPr>
          <c:invertIfNegative val="0"/>
          <c:cat>
            <c:strRef>
              <c:f>Biomass!$A$40:$A$43</c:f>
              <c:strCache>
                <c:ptCount val="4"/>
                <c:pt idx="0">
                  <c:v>Aluvial</c:v>
                </c:pt>
                <c:pt idx="1">
                  <c:v>Encosta</c:v>
                </c:pt>
                <c:pt idx="2">
                  <c:v>FOB Densa Submontana</c:v>
                </c:pt>
                <c:pt idx="3">
                  <c:v>FOB submontana</c:v>
                </c:pt>
              </c:strCache>
            </c:strRef>
          </c:cat>
          <c:val>
            <c:numRef>
              <c:f>Biomass!$D$40:$D$43</c:f>
              <c:numCache>
                <c:formatCode>General</c:formatCode>
                <c:ptCount val="4"/>
                <c:pt idx="0">
                  <c:v>307.79999999999995</c:v>
                </c:pt>
                <c:pt idx="1">
                  <c:v>367.6</c:v>
                </c:pt>
                <c:pt idx="2">
                  <c:v>306.7</c:v>
                </c:pt>
                <c:pt idx="3">
                  <c:v>327</c:v>
                </c:pt>
              </c:numCache>
            </c:numRef>
          </c:val>
          <c:extLst>
            <c:ext xmlns:c16="http://schemas.microsoft.com/office/drawing/2014/chart" uri="{C3380CC4-5D6E-409C-BE32-E72D297353CC}">
              <c16:uniqueId val="{00000000-27D0-48DA-8A1E-63E6B37A1467}"/>
            </c:ext>
          </c:extLst>
        </c:ser>
        <c:ser>
          <c:idx val="1"/>
          <c:order val="1"/>
          <c:tx>
            <c:strRef>
              <c:f>Biomass!$E$37</c:f>
              <c:strCache>
                <c:ptCount val="1"/>
                <c:pt idx="0">
                  <c:v>Second Forest Inventory (2022)</c:v>
                </c:pt>
              </c:strCache>
            </c:strRef>
          </c:tx>
          <c:spPr>
            <a:pattFill prst="pct30">
              <a:fgClr>
                <a:schemeClr val="accent6">
                  <a:lumMod val="75000"/>
                </a:schemeClr>
              </a:fgClr>
              <a:bgClr>
                <a:schemeClr val="bg1"/>
              </a:bgClr>
            </a:pattFill>
            <a:ln>
              <a:noFill/>
            </a:ln>
            <a:effectLst/>
          </c:spPr>
          <c:invertIfNegative val="0"/>
          <c:val>
            <c:numRef>
              <c:f>Biomass!$G$40:$G$43</c:f>
              <c:numCache>
                <c:formatCode>0.00</c:formatCode>
                <c:ptCount val="4"/>
                <c:pt idx="0">
                  <c:v>272.78052890108967</c:v>
                </c:pt>
                <c:pt idx="1">
                  <c:v>277.81620377980488</c:v>
                </c:pt>
                <c:pt idx="2">
                  <c:v>287.08656427550028</c:v>
                </c:pt>
                <c:pt idx="3">
                  <c:v>264.34057068679442</c:v>
                </c:pt>
              </c:numCache>
            </c:numRef>
          </c:val>
          <c:extLst>
            <c:ext xmlns:c16="http://schemas.microsoft.com/office/drawing/2014/chart" uri="{C3380CC4-5D6E-409C-BE32-E72D297353CC}">
              <c16:uniqueId val="{00000001-27D0-48DA-8A1E-63E6B37A1467}"/>
            </c:ext>
          </c:extLst>
        </c:ser>
        <c:dLbls>
          <c:showLegendKey val="0"/>
          <c:showVal val="0"/>
          <c:showCatName val="0"/>
          <c:showSerName val="0"/>
          <c:showPercent val="0"/>
          <c:showBubbleSize val="0"/>
        </c:dLbls>
        <c:gapWidth val="219"/>
        <c:overlap val="-27"/>
        <c:axId val="198471535"/>
        <c:axId val="198469039"/>
      </c:barChart>
      <c:catAx>
        <c:axId val="198471535"/>
        <c:scaling>
          <c:orientation val="minMax"/>
        </c:scaling>
        <c:delete val="0"/>
        <c:axPos val="b"/>
        <c:title>
          <c:tx>
            <c:rich>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pt-PT" b="1"/>
                  <a:t>Stratum</a:t>
                </a:r>
              </a:p>
            </c:rich>
          </c:tx>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pt-BR"/>
            </a:p>
          </c:txPr>
        </c:title>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crossAx val="198469039"/>
        <c:crosses val="autoZero"/>
        <c:auto val="1"/>
        <c:lblAlgn val="ctr"/>
        <c:lblOffset val="100"/>
        <c:noMultiLvlLbl val="0"/>
      </c:catAx>
      <c:valAx>
        <c:axId val="198469039"/>
        <c:scaling>
          <c:orientation val="minMax"/>
        </c:scaling>
        <c:delete val="0"/>
        <c:axPos val="l"/>
        <c:title>
          <c:tx>
            <c:rich>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pt-PT" b="1"/>
                  <a:t>Total Carbon Stock (t ha</a:t>
                </a:r>
                <a:r>
                  <a:rPr lang="pt-PT" b="1" baseline="30000"/>
                  <a:t>-1</a:t>
                </a:r>
                <a:r>
                  <a:rPr lang="pt-PT" b="1"/>
                  <a:t>)</a:t>
                </a:r>
              </a:p>
            </c:rich>
          </c:tx>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pt-BR"/>
            </a:p>
          </c:txPr>
        </c:title>
        <c:numFmt formatCode="General"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crossAx val="198471535"/>
        <c:crosses val="autoZero"/>
        <c:crossBetween val="between"/>
      </c:valAx>
      <c:spPr>
        <a:noFill/>
        <a:ln>
          <a:solidFill>
            <a:sysClr val="windowText" lastClr="000000"/>
          </a:solid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Franklin Gothic Book" panose="020B0503020102020204" pitchFamily="34" charset="0"/>
                <a:ea typeface="+mn-ea"/>
                <a:cs typeface="+mn-cs"/>
              </a:defRPr>
            </a:pPr>
            <a:r>
              <a:rPr lang="pt-PT"/>
              <a:t>Total Accumulated</a:t>
            </a:r>
          </a:p>
        </c:rich>
      </c:tx>
      <c:layout>
        <c:manualLayout>
          <c:xMode val="edge"/>
          <c:yMode val="edge"/>
          <c:x val="0.36606269697337396"/>
          <c:y val="2.318034306907742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Franklin Gothic Book" panose="020B0503020102020204" pitchFamily="34" charset="0"/>
              <a:ea typeface="+mn-ea"/>
              <a:cs typeface="+mn-cs"/>
            </a:defRPr>
          </a:pPr>
          <a:endParaRPr lang="pt-BR"/>
        </a:p>
      </c:txPr>
    </c:title>
    <c:autoTitleDeleted val="0"/>
    <c:plotArea>
      <c:layout/>
      <c:scatterChart>
        <c:scatterStyle val="lineMarker"/>
        <c:varyColors val="0"/>
        <c:ser>
          <c:idx val="0"/>
          <c:order val="0"/>
          <c:tx>
            <c:strRef>
              <c:f>'BL-ED'!$B$7:$B$10</c:f>
              <c:strCache>
                <c:ptCount val="1"/>
                <c:pt idx="0">
                  <c:v>Aluvial</c:v>
                </c:pt>
              </c:strCache>
            </c:strRef>
          </c:tx>
          <c:spPr>
            <a:ln w="19050" cap="rnd">
              <a:noFill/>
              <a:round/>
            </a:ln>
            <a:effectLst/>
          </c:spPr>
          <c:marker>
            <c:symbol val="square"/>
            <c:size val="7"/>
            <c:spPr>
              <a:solidFill>
                <a:schemeClr val="accent6">
                  <a:tint val="54000"/>
                </a:schemeClr>
              </a:solidFill>
              <a:ln w="9525">
                <a:solidFill>
                  <a:schemeClr val="accent6">
                    <a:lumMod val="50000"/>
                  </a:schemeClr>
                </a:solidFill>
              </a:ln>
              <a:effectLst/>
            </c:spPr>
          </c:marker>
          <c:xVal>
            <c:numRef>
              <c:f>'BL-ED'!$E$6:$J$6</c:f>
              <c:numCache>
                <c:formatCode>General</c:formatCode>
                <c:ptCount val="6"/>
                <c:pt idx="0">
                  <c:v>2025</c:v>
                </c:pt>
                <c:pt idx="1">
                  <c:v>2026</c:v>
                </c:pt>
                <c:pt idx="2">
                  <c:v>2027</c:v>
                </c:pt>
                <c:pt idx="3">
                  <c:v>2028</c:v>
                </c:pt>
                <c:pt idx="4">
                  <c:v>2029</c:v>
                </c:pt>
                <c:pt idx="5">
                  <c:v>2030</c:v>
                </c:pt>
              </c:numCache>
            </c:numRef>
          </c:xVal>
          <c:yVal>
            <c:numRef>
              <c:f>'BL-ED'!$E$10:$J$10</c:f>
              <c:numCache>
                <c:formatCode>_-* #,##0.00_-;\-* #,##0.00_-;_-* "-"??_-;_-@_-</c:formatCode>
                <c:ptCount val="6"/>
                <c:pt idx="0">
                  <c:v>0</c:v>
                </c:pt>
                <c:pt idx="1">
                  <c:v>676.93216052094408</c:v>
                </c:pt>
                <c:pt idx="2">
                  <c:v>43027.50045311245</c:v>
                </c:pt>
                <c:pt idx="3">
                  <c:v>85631.918305899366</c:v>
                </c:pt>
                <c:pt idx="4">
                  <c:v>122863.18713455123</c:v>
                </c:pt>
                <c:pt idx="5">
                  <c:v>150363.55615571456</c:v>
                </c:pt>
              </c:numCache>
            </c:numRef>
          </c:yVal>
          <c:smooth val="0"/>
          <c:extLst>
            <c:ext xmlns:c16="http://schemas.microsoft.com/office/drawing/2014/chart" uri="{C3380CC4-5D6E-409C-BE32-E72D297353CC}">
              <c16:uniqueId val="{00000000-C8C9-4BCC-93F2-EAF2D0A0838D}"/>
            </c:ext>
          </c:extLst>
        </c:ser>
        <c:ser>
          <c:idx val="1"/>
          <c:order val="1"/>
          <c:tx>
            <c:strRef>
              <c:f>'BL-ED'!$B$11:$B$14</c:f>
              <c:strCache>
                <c:ptCount val="1"/>
                <c:pt idx="0">
                  <c:v>Encosta</c:v>
                </c:pt>
              </c:strCache>
            </c:strRef>
          </c:tx>
          <c:spPr>
            <a:ln w="19050" cap="rnd">
              <a:noFill/>
              <a:round/>
            </a:ln>
            <a:effectLst/>
          </c:spPr>
          <c:marker>
            <c:symbol val="circle"/>
            <c:size val="7"/>
            <c:spPr>
              <a:solidFill>
                <a:schemeClr val="accent6">
                  <a:tint val="77000"/>
                </a:schemeClr>
              </a:solidFill>
              <a:ln w="9525">
                <a:solidFill>
                  <a:schemeClr val="accent6">
                    <a:lumMod val="50000"/>
                  </a:schemeClr>
                </a:solidFill>
              </a:ln>
              <a:effectLst/>
            </c:spPr>
          </c:marker>
          <c:xVal>
            <c:numRef>
              <c:f>'BL-ED'!$E$6:$J$6</c:f>
              <c:numCache>
                <c:formatCode>General</c:formatCode>
                <c:ptCount val="6"/>
                <c:pt idx="0">
                  <c:v>2025</c:v>
                </c:pt>
                <c:pt idx="1">
                  <c:v>2026</c:v>
                </c:pt>
                <c:pt idx="2">
                  <c:v>2027</c:v>
                </c:pt>
                <c:pt idx="3">
                  <c:v>2028</c:v>
                </c:pt>
                <c:pt idx="4">
                  <c:v>2029</c:v>
                </c:pt>
                <c:pt idx="5">
                  <c:v>2030</c:v>
                </c:pt>
              </c:numCache>
            </c:numRef>
          </c:xVal>
          <c:yVal>
            <c:numRef>
              <c:f>'BL-ED'!$E$14:$J$14</c:f>
              <c:numCache>
                <c:formatCode>_-* #,##0.00_-;\-* #,##0.00_-;_-* "-"??_-;_-@_-</c:formatCode>
                <c:ptCount val="6"/>
                <c:pt idx="0">
                  <c:v>12668.252202636786</c:v>
                </c:pt>
                <c:pt idx="1">
                  <c:v>41581.16794402901</c:v>
                </c:pt>
                <c:pt idx="2">
                  <c:v>77560.727771245816</c:v>
                </c:pt>
                <c:pt idx="3">
                  <c:v>92254.176754576241</c:v>
                </c:pt>
                <c:pt idx="4">
                  <c:v>99665.535186050809</c:v>
                </c:pt>
                <c:pt idx="5">
                  <c:v>100699.67822300075</c:v>
                </c:pt>
              </c:numCache>
            </c:numRef>
          </c:yVal>
          <c:smooth val="0"/>
          <c:extLst>
            <c:ext xmlns:c16="http://schemas.microsoft.com/office/drawing/2014/chart" uri="{C3380CC4-5D6E-409C-BE32-E72D297353CC}">
              <c16:uniqueId val="{00000001-C8C9-4BCC-93F2-EAF2D0A0838D}"/>
            </c:ext>
          </c:extLst>
        </c:ser>
        <c:ser>
          <c:idx val="2"/>
          <c:order val="2"/>
          <c:tx>
            <c:strRef>
              <c:f>'BL-ED'!$B$15:$B$18</c:f>
              <c:strCache>
                <c:ptCount val="1"/>
                <c:pt idx="0">
                  <c:v>FOB Densa Submontana</c:v>
                </c:pt>
              </c:strCache>
            </c:strRef>
          </c:tx>
          <c:spPr>
            <a:ln w="19050" cap="rnd">
              <a:noFill/>
              <a:round/>
            </a:ln>
            <a:effectLst/>
          </c:spPr>
          <c:marker>
            <c:symbol val="diamond"/>
            <c:size val="7"/>
            <c:spPr>
              <a:solidFill>
                <a:schemeClr val="accent6"/>
              </a:solidFill>
              <a:ln w="9525">
                <a:solidFill>
                  <a:schemeClr val="accent6">
                    <a:lumMod val="50000"/>
                  </a:schemeClr>
                </a:solidFill>
              </a:ln>
              <a:effectLst/>
            </c:spPr>
          </c:marker>
          <c:xVal>
            <c:numRef>
              <c:f>'BL-ED'!$E$6:$J$6</c:f>
              <c:numCache>
                <c:formatCode>General</c:formatCode>
                <c:ptCount val="6"/>
                <c:pt idx="0">
                  <c:v>2025</c:v>
                </c:pt>
                <c:pt idx="1">
                  <c:v>2026</c:v>
                </c:pt>
                <c:pt idx="2">
                  <c:v>2027</c:v>
                </c:pt>
                <c:pt idx="3">
                  <c:v>2028</c:v>
                </c:pt>
                <c:pt idx="4">
                  <c:v>2029</c:v>
                </c:pt>
                <c:pt idx="5">
                  <c:v>2030</c:v>
                </c:pt>
              </c:numCache>
            </c:numRef>
          </c:xVal>
          <c:yVal>
            <c:numRef>
              <c:f>'BL-ED'!$E$18:$J$18</c:f>
              <c:numCache>
                <c:formatCode>_-* #,##0.00_-;\-* #,##0.00_-;_-* "-"??_-;_-@_-</c:formatCode>
                <c:ptCount val="6"/>
                <c:pt idx="0">
                  <c:v>9662.3863678511807</c:v>
                </c:pt>
                <c:pt idx="1">
                  <c:v>28185.670833409295</c:v>
                </c:pt>
                <c:pt idx="2">
                  <c:v>46976.118055682193</c:v>
                </c:pt>
                <c:pt idx="3">
                  <c:v>61714.596801114254</c:v>
                </c:pt>
                <c:pt idx="4">
                  <c:v>79436.392996528026</c:v>
                </c:pt>
                <c:pt idx="5">
                  <c:v>85135.865139776681</c:v>
                </c:pt>
              </c:numCache>
            </c:numRef>
          </c:yVal>
          <c:smooth val="0"/>
          <c:extLst>
            <c:ext xmlns:c16="http://schemas.microsoft.com/office/drawing/2014/chart" uri="{C3380CC4-5D6E-409C-BE32-E72D297353CC}">
              <c16:uniqueId val="{00000002-C8C9-4BCC-93F2-EAF2D0A0838D}"/>
            </c:ext>
          </c:extLst>
        </c:ser>
        <c:ser>
          <c:idx val="3"/>
          <c:order val="3"/>
          <c:tx>
            <c:strRef>
              <c:f>'BL-ED'!$B$19:$B$22</c:f>
              <c:strCache>
                <c:ptCount val="1"/>
                <c:pt idx="0">
                  <c:v>FOB Submontana</c:v>
                </c:pt>
              </c:strCache>
            </c:strRef>
          </c:tx>
          <c:spPr>
            <a:ln w="19050" cap="rnd">
              <a:noFill/>
              <a:round/>
            </a:ln>
            <a:effectLst/>
          </c:spPr>
          <c:marker>
            <c:symbol val="triangle"/>
            <c:size val="7"/>
            <c:spPr>
              <a:solidFill>
                <a:schemeClr val="accent6">
                  <a:shade val="76000"/>
                </a:schemeClr>
              </a:solidFill>
              <a:ln w="9525">
                <a:solidFill>
                  <a:schemeClr val="accent6">
                    <a:lumMod val="50000"/>
                  </a:schemeClr>
                </a:solidFill>
              </a:ln>
              <a:effectLst/>
            </c:spPr>
          </c:marker>
          <c:xVal>
            <c:numRef>
              <c:f>'BL-ED'!$E$6:$J$6</c:f>
              <c:numCache>
                <c:formatCode>General</c:formatCode>
                <c:ptCount val="6"/>
                <c:pt idx="0">
                  <c:v>2025</c:v>
                </c:pt>
                <c:pt idx="1">
                  <c:v>2026</c:v>
                </c:pt>
                <c:pt idx="2">
                  <c:v>2027</c:v>
                </c:pt>
                <c:pt idx="3">
                  <c:v>2028</c:v>
                </c:pt>
                <c:pt idx="4">
                  <c:v>2029</c:v>
                </c:pt>
                <c:pt idx="5">
                  <c:v>2030</c:v>
                </c:pt>
              </c:numCache>
            </c:numRef>
          </c:xVal>
          <c:yVal>
            <c:numRef>
              <c:f>'BL-ED'!$E$22:$J$22</c:f>
              <c:numCache>
                <c:formatCode>_-* #,##0.00_-;\-* #,##0.00_-;_-* "-"??_-;_-@_-</c:formatCode>
                <c:ptCount val="6"/>
                <c:pt idx="0">
                  <c:v>50265.046801577279</c:v>
                </c:pt>
                <c:pt idx="1">
                  <c:v>115002.8191504282</c:v>
                </c:pt>
                <c:pt idx="2">
                  <c:v>261329.04430118747</c:v>
                </c:pt>
                <c:pt idx="3">
                  <c:v>366205.05549077626</c:v>
                </c:pt>
                <c:pt idx="4">
                  <c:v>490596.6965968014</c:v>
                </c:pt>
                <c:pt idx="5">
                  <c:v>597727.66502463387</c:v>
                </c:pt>
              </c:numCache>
            </c:numRef>
          </c:yVal>
          <c:smooth val="0"/>
          <c:extLst>
            <c:ext xmlns:c16="http://schemas.microsoft.com/office/drawing/2014/chart" uri="{C3380CC4-5D6E-409C-BE32-E72D297353CC}">
              <c16:uniqueId val="{00000003-C8C9-4BCC-93F2-EAF2D0A0838D}"/>
            </c:ext>
          </c:extLst>
        </c:ser>
        <c:ser>
          <c:idx val="4"/>
          <c:order val="4"/>
          <c:tx>
            <c:strRef>
              <c:f>'BL-ED'!$F$28</c:f>
              <c:strCache>
                <c:ptCount val="1"/>
                <c:pt idx="0">
                  <c:v>Total Accumulative</c:v>
                </c:pt>
              </c:strCache>
            </c:strRef>
          </c:tx>
          <c:spPr>
            <a:ln w="25400" cap="rnd">
              <a:noFill/>
              <a:round/>
            </a:ln>
            <a:effectLst/>
          </c:spPr>
          <c:marker>
            <c:symbol val="x"/>
            <c:size val="7"/>
            <c:spPr>
              <a:noFill/>
              <a:ln w="9525">
                <a:solidFill>
                  <a:schemeClr val="accent6">
                    <a:shade val="53000"/>
                  </a:schemeClr>
                </a:solidFill>
              </a:ln>
              <a:effectLst/>
            </c:spPr>
          </c:marker>
          <c:xVal>
            <c:numRef>
              <c:f>'BL-ED'!$B$30:$B$35</c:f>
              <c:numCache>
                <c:formatCode>General</c:formatCode>
                <c:ptCount val="6"/>
                <c:pt idx="0">
                  <c:v>2025</c:v>
                </c:pt>
                <c:pt idx="1">
                  <c:v>2026</c:v>
                </c:pt>
                <c:pt idx="2">
                  <c:v>2027</c:v>
                </c:pt>
                <c:pt idx="3">
                  <c:v>2028</c:v>
                </c:pt>
                <c:pt idx="4">
                  <c:v>2029</c:v>
                </c:pt>
                <c:pt idx="5">
                  <c:v>2030</c:v>
                </c:pt>
              </c:numCache>
            </c:numRef>
          </c:xVal>
          <c:yVal>
            <c:numRef>
              <c:f>'BL-ED'!$F$30:$F$35</c:f>
              <c:numCache>
                <c:formatCode>_-* #,##0.00_-;\-* #,##0.00_-;_-* "-"??_-;_-@_-</c:formatCode>
                <c:ptCount val="6"/>
                <c:pt idx="0">
                  <c:v>72595.685372065243</c:v>
                </c:pt>
                <c:pt idx="1">
                  <c:v>185446.59008838746</c:v>
                </c:pt>
                <c:pt idx="2">
                  <c:v>428893.39058122796</c:v>
                </c:pt>
                <c:pt idx="3">
                  <c:v>605805.7473523661</c:v>
                </c:pt>
                <c:pt idx="4">
                  <c:v>792561.81191393151</c:v>
                </c:pt>
                <c:pt idx="5">
                  <c:v>933926.76454312587</c:v>
                </c:pt>
              </c:numCache>
            </c:numRef>
          </c:yVal>
          <c:smooth val="0"/>
          <c:extLst>
            <c:ext xmlns:c16="http://schemas.microsoft.com/office/drawing/2014/chart" uri="{C3380CC4-5D6E-409C-BE32-E72D297353CC}">
              <c16:uniqueId val="{00000004-C8C9-4BCC-93F2-EAF2D0A0838D}"/>
            </c:ext>
          </c:extLst>
        </c:ser>
        <c:dLbls>
          <c:showLegendKey val="0"/>
          <c:showVal val="0"/>
          <c:showCatName val="0"/>
          <c:showSerName val="0"/>
          <c:showPercent val="0"/>
          <c:showBubbleSize val="0"/>
        </c:dLbls>
        <c:axId val="224646783"/>
        <c:axId val="224646367"/>
      </c:scatterChart>
      <c:valAx>
        <c:axId val="224646783"/>
        <c:scaling>
          <c:orientation val="minMax"/>
          <c:max val="2024"/>
          <c:min val="2019"/>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Franklin Gothic Book" panose="020B0503020102020204" pitchFamily="34" charset="0"/>
                    <a:ea typeface="+mn-ea"/>
                    <a:cs typeface="+mn-cs"/>
                  </a:defRPr>
                </a:pPr>
                <a:r>
                  <a:rPr lang="pt-PT"/>
                  <a:t>Time (year)</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Franklin Gothic Book" panose="020B0503020102020204" pitchFamily="34" charset="0"/>
                  <a:ea typeface="+mn-ea"/>
                  <a:cs typeface="+mn-cs"/>
                </a:defRPr>
              </a:pPr>
              <a:endParaRPr lang="pt-BR"/>
            </a:p>
          </c:txPr>
        </c:title>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Franklin Gothic Book" panose="020B0503020102020204" pitchFamily="34" charset="0"/>
                <a:ea typeface="+mn-ea"/>
                <a:cs typeface="+mn-cs"/>
              </a:defRPr>
            </a:pPr>
            <a:endParaRPr lang="pt-BR"/>
          </a:p>
        </c:txPr>
        <c:crossAx val="224646367"/>
        <c:crosses val="autoZero"/>
        <c:crossBetween val="midCat"/>
      </c:valAx>
      <c:valAx>
        <c:axId val="224646367"/>
        <c:scaling>
          <c:orientation val="minMax"/>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Franklin Gothic Book" panose="020B0503020102020204" pitchFamily="34" charset="0"/>
                    <a:ea typeface="+mn-ea"/>
                    <a:cs typeface="+mn-cs"/>
                  </a:defRPr>
                </a:pPr>
                <a:r>
                  <a:rPr lang="pt-PT"/>
                  <a:t>Total Accumulated (tCO</a:t>
                </a:r>
                <a:r>
                  <a:rPr lang="pt-PT" baseline="-25000"/>
                  <a:t>2</a:t>
                </a:r>
                <a:r>
                  <a:rPr lang="pt-PT"/>
                  <a:t>-e)</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Franklin Gothic Book" panose="020B0503020102020204" pitchFamily="34" charset="0"/>
                  <a:ea typeface="+mn-ea"/>
                  <a:cs typeface="+mn-cs"/>
                </a:defRPr>
              </a:pPr>
              <a:endParaRPr lang="pt-BR"/>
            </a:p>
          </c:txPr>
        </c:title>
        <c:numFmt formatCode="_(* #,##0_);_(* \(#,##0\);_(* &quot;-&quot;_);_(@_)" sourceLinked="0"/>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Franklin Gothic Book" panose="020B0503020102020204" pitchFamily="34" charset="0"/>
                <a:ea typeface="+mn-ea"/>
                <a:cs typeface="+mn-cs"/>
              </a:defRPr>
            </a:pPr>
            <a:endParaRPr lang="pt-BR"/>
          </a:p>
        </c:txPr>
        <c:crossAx val="224646783"/>
        <c:crosses val="autoZero"/>
        <c:crossBetween val="midCat"/>
      </c:valAx>
      <c:spPr>
        <a:noFill/>
        <a:ln>
          <a:solidFill>
            <a:sysClr val="windowText" lastClr="000000"/>
          </a:solid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Franklin Gothic Book" panose="020B0503020102020204" pitchFamily="34" charset="0"/>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latin typeface="Franklin Gothic Book" panose="020B05030201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'BL-GHG'!$A$6:$A$7</c:f>
              <c:strCache>
                <c:ptCount val="1"/>
                <c:pt idx="0">
                  <c:v>Baseline Emissions</c:v>
                </c:pt>
              </c:strCache>
            </c:strRef>
          </c:tx>
          <c:spPr>
            <a:solidFill>
              <a:schemeClr val="accent6"/>
            </a:solidFill>
            <a:ln>
              <a:noFill/>
            </a:ln>
            <a:effectLst/>
          </c:spPr>
          <c:invertIfNegative val="0"/>
          <c:cat>
            <c:numRef>
              <c:f>'BL-GHG'!$D$5:$I$5</c:f>
              <c:numCache>
                <c:formatCode>General</c:formatCode>
                <c:ptCount val="6"/>
                <c:pt idx="0">
                  <c:v>2025</c:v>
                </c:pt>
                <c:pt idx="1">
                  <c:v>2026</c:v>
                </c:pt>
                <c:pt idx="2">
                  <c:v>2027</c:v>
                </c:pt>
                <c:pt idx="3">
                  <c:v>2028</c:v>
                </c:pt>
                <c:pt idx="4">
                  <c:v>2029</c:v>
                </c:pt>
                <c:pt idx="5">
                  <c:v>2030</c:v>
                </c:pt>
              </c:numCache>
            </c:numRef>
          </c:cat>
          <c:val>
            <c:numRef>
              <c:f>'BL-GHG'!$D$6:$I$6</c:f>
              <c:numCache>
                <c:formatCode>_-* #,##0.00_-;\-* #,##0.00_-;_-* "-"??_-;_-@_-</c:formatCode>
                <c:ptCount val="6"/>
                <c:pt idx="0">
                  <c:v>72595.685372065243</c:v>
                </c:pt>
                <c:pt idx="1">
                  <c:v>112850.90471632221</c:v>
                </c:pt>
                <c:pt idx="2">
                  <c:v>243446.80049284047</c:v>
                </c:pt>
                <c:pt idx="3">
                  <c:v>176912.35677113821</c:v>
                </c:pt>
                <c:pt idx="4">
                  <c:v>186756.06456156538</c:v>
                </c:pt>
                <c:pt idx="5">
                  <c:v>141364.95262919436</c:v>
                </c:pt>
              </c:numCache>
            </c:numRef>
          </c:val>
          <c:extLst>
            <c:ext xmlns:c16="http://schemas.microsoft.com/office/drawing/2014/chart" uri="{C3380CC4-5D6E-409C-BE32-E72D297353CC}">
              <c16:uniqueId val="{00000000-BCB5-46E0-9426-72DFBBE53579}"/>
            </c:ext>
          </c:extLst>
        </c:ser>
        <c:ser>
          <c:idx val="1"/>
          <c:order val="1"/>
          <c:tx>
            <c:strRef>
              <c:f>'BL-GHG'!$A$10:$A$11</c:f>
              <c:strCache>
                <c:ptCount val="1"/>
                <c:pt idx="0">
                  <c:v>Biomass Burning Emissions (CH4)</c:v>
                </c:pt>
              </c:strCache>
            </c:strRef>
          </c:tx>
          <c:spPr>
            <a:solidFill>
              <a:schemeClr val="tx2"/>
            </a:solidFill>
            <a:ln>
              <a:noFill/>
            </a:ln>
            <a:effectLst/>
          </c:spPr>
          <c:invertIfNegative val="0"/>
          <c:cat>
            <c:numRef>
              <c:f>'BL-GHG'!$D$5:$I$5</c:f>
              <c:numCache>
                <c:formatCode>General</c:formatCode>
                <c:ptCount val="6"/>
                <c:pt idx="0">
                  <c:v>2025</c:v>
                </c:pt>
                <c:pt idx="1">
                  <c:v>2026</c:v>
                </c:pt>
                <c:pt idx="2">
                  <c:v>2027</c:v>
                </c:pt>
                <c:pt idx="3">
                  <c:v>2028</c:v>
                </c:pt>
                <c:pt idx="4">
                  <c:v>2029</c:v>
                </c:pt>
                <c:pt idx="5">
                  <c:v>2030</c:v>
                </c:pt>
              </c:numCache>
            </c:numRef>
          </c:cat>
          <c:val>
            <c:numRef>
              <c:f>'BL-GHG'!$D$10:$I$10</c:f>
              <c:numCache>
                <c:formatCode>_-* #,##0.00_-;\-* #,##0.00_-;_-* "-"??_-;_-@_-</c:formatCode>
                <c:ptCount val="6"/>
                <c:pt idx="0">
                  <c:v>2731.3671175448721</c:v>
                </c:pt>
                <c:pt idx="1">
                  <c:v>4217.3440467791606</c:v>
                </c:pt>
                <c:pt idx="2">
                  <c:v>9162.7381657651604</c:v>
                </c:pt>
                <c:pt idx="3">
                  <c:v>6662.5230149900462</c:v>
                </c:pt>
                <c:pt idx="4">
                  <c:v>7050.9212176576257</c:v>
                </c:pt>
                <c:pt idx="5">
                  <c:v>5369.9589559100768</c:v>
                </c:pt>
              </c:numCache>
            </c:numRef>
          </c:val>
          <c:extLst>
            <c:ext xmlns:c16="http://schemas.microsoft.com/office/drawing/2014/chart" uri="{C3380CC4-5D6E-409C-BE32-E72D297353CC}">
              <c16:uniqueId val="{00000001-BCB5-46E0-9426-72DFBBE53579}"/>
            </c:ext>
          </c:extLst>
        </c:ser>
        <c:ser>
          <c:idx val="2"/>
          <c:order val="2"/>
          <c:tx>
            <c:strRef>
              <c:f>'BL-GHG'!$A$12:$A$13</c:f>
              <c:strCache>
                <c:ptCount val="1"/>
                <c:pt idx="0">
                  <c:v>Biomass Burning Emissions (N2O)</c:v>
                </c:pt>
              </c:strCache>
            </c:strRef>
          </c:tx>
          <c:spPr>
            <a:solidFill>
              <a:schemeClr val="bg1">
                <a:lumMod val="65000"/>
              </a:schemeClr>
            </a:solidFill>
            <a:ln>
              <a:solidFill>
                <a:schemeClr val="tx2">
                  <a:lumMod val="60000"/>
                  <a:lumOff val="40000"/>
                </a:schemeClr>
              </a:solidFill>
            </a:ln>
            <a:effectLst/>
          </c:spPr>
          <c:invertIfNegative val="0"/>
          <c:cat>
            <c:numRef>
              <c:f>'BL-GHG'!$D$5:$I$5</c:f>
              <c:numCache>
                <c:formatCode>General</c:formatCode>
                <c:ptCount val="6"/>
                <c:pt idx="0">
                  <c:v>2025</c:v>
                </c:pt>
                <c:pt idx="1">
                  <c:v>2026</c:v>
                </c:pt>
                <c:pt idx="2">
                  <c:v>2027</c:v>
                </c:pt>
                <c:pt idx="3">
                  <c:v>2028</c:v>
                </c:pt>
                <c:pt idx="4">
                  <c:v>2029</c:v>
                </c:pt>
                <c:pt idx="5">
                  <c:v>2030</c:v>
                </c:pt>
              </c:numCache>
            </c:numRef>
          </c:cat>
          <c:val>
            <c:numRef>
              <c:f>'BL-GHG'!$D$12:$I$12</c:f>
              <c:numCache>
                <c:formatCode>_-* #,##0.00_-;\-* #,##0.00_-;_-* "-"??_-;_-@_-</c:formatCode>
                <c:ptCount val="6"/>
                <c:pt idx="0">
                  <c:v>1077.1016162937367</c:v>
                </c:pt>
                <c:pt idx="1">
                  <c:v>1663.0895422566634</c:v>
                </c:pt>
                <c:pt idx="2">
                  <c:v>3613.2821635829878</c:v>
                </c:pt>
                <c:pt idx="3">
                  <c:v>2627.3342246612542</c:v>
                </c:pt>
                <c:pt idx="4">
                  <c:v>2780.4972063679629</c:v>
                </c:pt>
                <c:pt idx="5">
                  <c:v>2117.6177430300154</c:v>
                </c:pt>
              </c:numCache>
            </c:numRef>
          </c:val>
          <c:extLst>
            <c:ext xmlns:c16="http://schemas.microsoft.com/office/drawing/2014/chart" uri="{C3380CC4-5D6E-409C-BE32-E72D297353CC}">
              <c16:uniqueId val="{00000002-BCB5-46E0-9426-72DFBBE53579}"/>
            </c:ext>
          </c:extLst>
        </c:ser>
        <c:dLbls>
          <c:showLegendKey val="0"/>
          <c:showVal val="0"/>
          <c:showCatName val="0"/>
          <c:showSerName val="0"/>
          <c:showPercent val="0"/>
          <c:showBubbleSize val="0"/>
        </c:dLbls>
        <c:gapWidth val="150"/>
        <c:overlap val="100"/>
        <c:axId val="916242143"/>
        <c:axId val="916242559"/>
      </c:barChart>
      <c:catAx>
        <c:axId val="916242143"/>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crossAx val="916242559"/>
        <c:crosses val="autoZero"/>
        <c:auto val="1"/>
        <c:lblAlgn val="ctr"/>
        <c:lblOffset val="100"/>
        <c:noMultiLvlLbl val="0"/>
      </c:catAx>
      <c:valAx>
        <c:axId val="916242559"/>
        <c:scaling>
          <c:orientation val="minMax"/>
        </c:scaling>
        <c:delete val="0"/>
        <c:axPos val="l"/>
        <c:numFmt formatCode="_-* #,##0.00_-;\-* #,##0.00_-;_-* &quot;-&quot;??_-;_-@_-"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crossAx val="916242143"/>
        <c:crosses val="autoZero"/>
        <c:crossBetween val="between"/>
      </c:valAx>
      <c:spPr>
        <a:noFill/>
        <a:ln>
          <a:solidFill>
            <a:schemeClr val="tx1"/>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pt-BR"/>
    </a:p>
  </c:tx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'BL-GHG'!$A$15:$A$16</c:f>
              <c:strCache>
                <c:ptCount val="1"/>
                <c:pt idx="0">
                  <c:v>Wood products carbon pool</c:v>
                </c:pt>
              </c:strCache>
            </c:strRef>
          </c:tx>
          <c:spPr>
            <a:solidFill>
              <a:schemeClr val="accent1"/>
            </a:solidFill>
            <a:ln>
              <a:noFill/>
            </a:ln>
            <a:effectLst/>
          </c:spPr>
          <c:invertIfNegative val="0"/>
          <c:cat>
            <c:numRef>
              <c:f>'BL-GHG'!$D$5:$I$5</c:f>
              <c:numCache>
                <c:formatCode>General</c:formatCode>
                <c:ptCount val="6"/>
                <c:pt idx="0">
                  <c:v>2025</c:v>
                </c:pt>
                <c:pt idx="1">
                  <c:v>2026</c:v>
                </c:pt>
                <c:pt idx="2">
                  <c:v>2027</c:v>
                </c:pt>
                <c:pt idx="3">
                  <c:v>2028</c:v>
                </c:pt>
                <c:pt idx="4">
                  <c:v>2029</c:v>
                </c:pt>
                <c:pt idx="5">
                  <c:v>2030</c:v>
                </c:pt>
              </c:numCache>
            </c:numRef>
          </c:cat>
          <c:val>
            <c:numRef>
              <c:f>'BL-GHG'!$D$15:$I$15</c:f>
              <c:numCache>
                <c:formatCode>_-* #,##0.00_-;\-* #,##0.00_-;_-* "-"??_-;_-@_-</c:formatCode>
                <c:ptCount val="6"/>
                <c:pt idx="0">
                  <c:v>408.4592160661557</c:v>
                </c:pt>
                <c:pt idx="1">
                  <c:v>630.67796055811061</c:v>
                </c:pt>
                <c:pt idx="2">
                  <c:v>1370.2313483117478</c:v>
                </c:pt>
                <c:pt idx="3">
                  <c:v>996.33949249989337</c:v>
                </c:pt>
                <c:pt idx="4">
                  <c:v>1054.4220638115462</c:v>
                </c:pt>
                <c:pt idx="5">
                  <c:v>803.04445760848103</c:v>
                </c:pt>
              </c:numCache>
            </c:numRef>
          </c:val>
          <c:extLst>
            <c:ext xmlns:c16="http://schemas.microsoft.com/office/drawing/2014/chart" uri="{C3380CC4-5D6E-409C-BE32-E72D297353CC}">
              <c16:uniqueId val="{00000000-AA8F-49D2-A7C3-449848D575E6}"/>
            </c:ext>
          </c:extLst>
        </c:ser>
        <c:ser>
          <c:idx val="1"/>
          <c:order val="1"/>
          <c:tx>
            <c:strRef>
              <c:f>'BL-GHG'!$A$17:$A$18</c:f>
              <c:strCache>
                <c:ptCount val="1"/>
                <c:pt idx="0">
                  <c:v>Pasture Carbon Pool</c:v>
                </c:pt>
              </c:strCache>
            </c:strRef>
          </c:tx>
          <c:spPr>
            <a:solidFill>
              <a:schemeClr val="accent2"/>
            </a:solidFill>
            <a:ln>
              <a:noFill/>
            </a:ln>
            <a:effectLst/>
          </c:spPr>
          <c:invertIfNegative val="0"/>
          <c:cat>
            <c:numRef>
              <c:f>'BL-GHG'!$D$5:$I$5</c:f>
              <c:numCache>
                <c:formatCode>General</c:formatCode>
                <c:ptCount val="6"/>
                <c:pt idx="0">
                  <c:v>2025</c:v>
                </c:pt>
                <c:pt idx="1">
                  <c:v>2026</c:v>
                </c:pt>
                <c:pt idx="2">
                  <c:v>2027</c:v>
                </c:pt>
                <c:pt idx="3">
                  <c:v>2028</c:v>
                </c:pt>
                <c:pt idx="4">
                  <c:v>2029</c:v>
                </c:pt>
                <c:pt idx="5">
                  <c:v>2030</c:v>
                </c:pt>
              </c:numCache>
            </c:numRef>
          </c:cat>
          <c:val>
            <c:numRef>
              <c:f>'BL-GHG'!$D$17:$I$17</c:f>
              <c:numCache>
                <c:formatCode>_-* #,##0.00_-;\-* #,##0.00_-;_-* "-"??_-;_-@_-</c:formatCode>
                <c:ptCount val="6"/>
                <c:pt idx="0">
                  <c:v>2109.4701209999835</c:v>
                </c:pt>
                <c:pt idx="1">
                  <c:v>3257.1093059999994</c:v>
                </c:pt>
                <c:pt idx="2">
                  <c:v>7076.5010909999937</c:v>
                </c:pt>
                <c:pt idx="3">
                  <c:v>5145.552620999998</c:v>
                </c:pt>
                <c:pt idx="4">
                  <c:v>5445.5175719999961</c:v>
                </c:pt>
                <c:pt idx="5">
                  <c:v>4147.2886949999966</c:v>
                </c:pt>
              </c:numCache>
            </c:numRef>
          </c:val>
          <c:extLst>
            <c:ext xmlns:c16="http://schemas.microsoft.com/office/drawing/2014/chart" uri="{C3380CC4-5D6E-409C-BE32-E72D297353CC}">
              <c16:uniqueId val="{00000001-AA8F-49D2-A7C3-449848D575E6}"/>
            </c:ext>
          </c:extLst>
        </c:ser>
        <c:ser>
          <c:idx val="2"/>
          <c:order val="2"/>
          <c:tx>
            <c:strRef>
              <c:f>'BL-GHG'!$A$19:$A$20</c:f>
              <c:strCache>
                <c:ptCount val="1"/>
                <c:pt idx="0">
                  <c:v>Coffee Carbon Pool</c:v>
                </c:pt>
              </c:strCache>
            </c:strRef>
          </c:tx>
          <c:spPr>
            <a:solidFill>
              <a:schemeClr val="accent4"/>
            </a:solidFill>
            <a:ln>
              <a:noFill/>
            </a:ln>
            <a:effectLst/>
          </c:spPr>
          <c:invertIfNegative val="0"/>
          <c:cat>
            <c:numRef>
              <c:f>'BL-GHG'!$D$5:$I$5</c:f>
              <c:numCache>
                <c:formatCode>General</c:formatCode>
                <c:ptCount val="6"/>
                <c:pt idx="0">
                  <c:v>2025</c:v>
                </c:pt>
                <c:pt idx="1">
                  <c:v>2026</c:v>
                </c:pt>
                <c:pt idx="2">
                  <c:v>2027</c:v>
                </c:pt>
                <c:pt idx="3">
                  <c:v>2028</c:v>
                </c:pt>
                <c:pt idx="4">
                  <c:v>2029</c:v>
                </c:pt>
                <c:pt idx="5">
                  <c:v>2030</c:v>
                </c:pt>
              </c:numCache>
            </c:numRef>
          </c:cat>
          <c:val>
            <c:numRef>
              <c:f>'BL-GHG'!$D$19:$I$19</c:f>
              <c:numCache>
                <c:formatCode>_-* #,##0.00_-;\-* #,##0.00_-;_-* "-"??_-;_-@_-</c:formatCode>
                <c:ptCount val="6"/>
                <c:pt idx="0">
                  <c:v>1312.6508999999896</c:v>
                </c:pt>
                <c:pt idx="1">
                  <c:v>2026.7873999999999</c:v>
                </c:pt>
                <c:pt idx="2">
                  <c:v>4403.4638999999961</c:v>
                </c:pt>
                <c:pt idx="3">
                  <c:v>3201.9008999999992</c:v>
                </c:pt>
                <c:pt idx="4">
                  <c:v>3388.5587999999984</c:v>
                </c:pt>
                <c:pt idx="5">
                  <c:v>2580.715499999998</c:v>
                </c:pt>
              </c:numCache>
            </c:numRef>
          </c:val>
          <c:extLst>
            <c:ext xmlns:c16="http://schemas.microsoft.com/office/drawing/2014/chart" uri="{C3380CC4-5D6E-409C-BE32-E72D297353CC}">
              <c16:uniqueId val="{00000002-AA8F-49D2-A7C3-449848D575E6}"/>
            </c:ext>
          </c:extLst>
        </c:ser>
        <c:dLbls>
          <c:showLegendKey val="0"/>
          <c:showVal val="0"/>
          <c:showCatName val="0"/>
          <c:showSerName val="0"/>
          <c:showPercent val="0"/>
          <c:showBubbleSize val="0"/>
        </c:dLbls>
        <c:gapWidth val="150"/>
        <c:overlap val="100"/>
        <c:axId val="916242143"/>
        <c:axId val="916242559"/>
      </c:barChart>
      <c:catAx>
        <c:axId val="916242143"/>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crossAx val="916242559"/>
        <c:crosses val="autoZero"/>
        <c:auto val="1"/>
        <c:lblAlgn val="ctr"/>
        <c:lblOffset val="100"/>
        <c:noMultiLvlLbl val="0"/>
      </c:catAx>
      <c:valAx>
        <c:axId val="916242559"/>
        <c:scaling>
          <c:orientation val="minMax"/>
        </c:scaling>
        <c:delete val="0"/>
        <c:axPos val="l"/>
        <c:numFmt formatCode="_-* #,##0.00_-;\-* #,##0.00_-;_-* &quot;-&quot;??_-;_-@_-"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crossAx val="916242143"/>
        <c:crosses val="autoZero"/>
        <c:crossBetween val="between"/>
      </c:valAx>
      <c:spPr>
        <a:noFill/>
        <a:ln>
          <a:solidFill>
            <a:schemeClr val="tx1"/>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pt-BR"/>
    </a:p>
  </c:txPr>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0"/>
          <c:tx>
            <c:strRef>
              <c:f>'BL-GHG'!$A$17:$A$18</c:f>
              <c:strCache>
                <c:ptCount val="1"/>
                <c:pt idx="0">
                  <c:v>Pasture Carbon Pool</c:v>
                </c:pt>
              </c:strCache>
            </c:strRef>
          </c:tx>
          <c:spPr>
            <a:solidFill>
              <a:srgbClr val="002060"/>
            </a:solidFill>
            <a:ln>
              <a:noFill/>
            </a:ln>
            <a:effectLst/>
          </c:spPr>
          <c:invertIfNegative val="0"/>
          <c:cat>
            <c:numRef>
              <c:f>'BL-GHG'!$D$5:$I$5</c:f>
              <c:numCache>
                <c:formatCode>General</c:formatCode>
                <c:ptCount val="6"/>
                <c:pt idx="0">
                  <c:v>2025</c:v>
                </c:pt>
                <c:pt idx="1">
                  <c:v>2026</c:v>
                </c:pt>
                <c:pt idx="2">
                  <c:v>2027</c:v>
                </c:pt>
                <c:pt idx="3">
                  <c:v>2028</c:v>
                </c:pt>
                <c:pt idx="4">
                  <c:v>2029</c:v>
                </c:pt>
                <c:pt idx="5">
                  <c:v>2030</c:v>
                </c:pt>
              </c:numCache>
            </c:numRef>
          </c:cat>
          <c:val>
            <c:numRef>
              <c:f>'BL-GHG'!$D$17:$I$17</c:f>
              <c:numCache>
                <c:formatCode>_-* #,##0.00_-;\-* #,##0.00_-;_-* "-"??_-;_-@_-</c:formatCode>
                <c:ptCount val="6"/>
                <c:pt idx="0">
                  <c:v>2109.4701209999835</c:v>
                </c:pt>
                <c:pt idx="1">
                  <c:v>3257.1093059999994</c:v>
                </c:pt>
                <c:pt idx="2">
                  <c:v>7076.5010909999937</c:v>
                </c:pt>
                <c:pt idx="3">
                  <c:v>5145.552620999998</c:v>
                </c:pt>
                <c:pt idx="4">
                  <c:v>5445.5175719999961</c:v>
                </c:pt>
                <c:pt idx="5">
                  <c:v>4147.2886949999966</c:v>
                </c:pt>
              </c:numCache>
            </c:numRef>
          </c:val>
          <c:extLst>
            <c:ext xmlns:c16="http://schemas.microsoft.com/office/drawing/2014/chart" uri="{C3380CC4-5D6E-409C-BE32-E72D297353CC}">
              <c16:uniqueId val="{00000001-F201-427B-8729-322F2A2CAD40}"/>
            </c:ext>
          </c:extLst>
        </c:ser>
        <c:ser>
          <c:idx val="2"/>
          <c:order val="1"/>
          <c:tx>
            <c:strRef>
              <c:f>'BL-GHG'!$A$19:$A$20</c:f>
              <c:strCache>
                <c:ptCount val="1"/>
                <c:pt idx="0">
                  <c:v>Coffee Carbon Pool</c:v>
                </c:pt>
              </c:strCache>
            </c:strRef>
          </c:tx>
          <c:spPr>
            <a:solidFill>
              <a:schemeClr val="accent6"/>
            </a:solidFill>
            <a:ln>
              <a:noFill/>
            </a:ln>
            <a:effectLst/>
          </c:spPr>
          <c:invertIfNegative val="0"/>
          <c:dPt>
            <c:idx val="3"/>
            <c:invertIfNegative val="0"/>
            <c:bubble3D val="0"/>
            <c:spPr>
              <a:solidFill>
                <a:schemeClr val="accent6"/>
              </a:solidFill>
              <a:ln>
                <a:noFill/>
              </a:ln>
              <a:effectLst/>
            </c:spPr>
            <c:extLst>
              <c:ext xmlns:c16="http://schemas.microsoft.com/office/drawing/2014/chart" uri="{C3380CC4-5D6E-409C-BE32-E72D297353CC}">
                <c16:uniqueId val="{00000000-3AAE-4F57-BF8E-5C76D852F3CA}"/>
              </c:ext>
            </c:extLst>
          </c:dPt>
          <c:cat>
            <c:numRef>
              <c:f>'BL-GHG'!$D$5:$I$5</c:f>
              <c:numCache>
                <c:formatCode>General</c:formatCode>
                <c:ptCount val="6"/>
                <c:pt idx="0">
                  <c:v>2025</c:v>
                </c:pt>
                <c:pt idx="1">
                  <c:v>2026</c:v>
                </c:pt>
                <c:pt idx="2">
                  <c:v>2027</c:v>
                </c:pt>
                <c:pt idx="3">
                  <c:v>2028</c:v>
                </c:pt>
                <c:pt idx="4">
                  <c:v>2029</c:v>
                </c:pt>
                <c:pt idx="5">
                  <c:v>2030</c:v>
                </c:pt>
              </c:numCache>
            </c:numRef>
          </c:cat>
          <c:val>
            <c:numRef>
              <c:f>'BL-GHG'!$D$19:$I$19</c:f>
              <c:numCache>
                <c:formatCode>_-* #,##0.00_-;\-* #,##0.00_-;_-* "-"??_-;_-@_-</c:formatCode>
                <c:ptCount val="6"/>
                <c:pt idx="0">
                  <c:v>1312.6508999999896</c:v>
                </c:pt>
                <c:pt idx="1">
                  <c:v>2026.7873999999999</c:v>
                </c:pt>
                <c:pt idx="2">
                  <c:v>4403.4638999999961</c:v>
                </c:pt>
                <c:pt idx="3">
                  <c:v>3201.9008999999992</c:v>
                </c:pt>
                <c:pt idx="4">
                  <c:v>3388.5587999999984</c:v>
                </c:pt>
                <c:pt idx="5">
                  <c:v>2580.715499999998</c:v>
                </c:pt>
              </c:numCache>
            </c:numRef>
          </c:val>
          <c:extLst>
            <c:ext xmlns:c16="http://schemas.microsoft.com/office/drawing/2014/chart" uri="{C3380CC4-5D6E-409C-BE32-E72D297353CC}">
              <c16:uniqueId val="{00000002-F201-427B-8729-322F2A2CAD40}"/>
            </c:ext>
          </c:extLst>
        </c:ser>
        <c:dLbls>
          <c:showLegendKey val="0"/>
          <c:showVal val="0"/>
          <c:showCatName val="0"/>
          <c:showSerName val="0"/>
          <c:showPercent val="0"/>
          <c:showBubbleSize val="0"/>
        </c:dLbls>
        <c:gapWidth val="150"/>
        <c:overlap val="100"/>
        <c:axId val="916242143"/>
        <c:axId val="916242559"/>
      </c:barChart>
      <c:catAx>
        <c:axId val="916242143"/>
        <c:scaling>
          <c:orientation val="minMax"/>
        </c:scaling>
        <c:delete val="0"/>
        <c:axPos val="b"/>
        <c:title>
          <c:tx>
            <c:rich>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pt-PT" b="1"/>
                  <a:t>Time (years)</a:t>
                </a:r>
              </a:p>
            </c:rich>
          </c:tx>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pt-BR"/>
            </a:p>
          </c:txPr>
        </c:title>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pt-BR"/>
          </a:p>
        </c:txPr>
        <c:crossAx val="916242559"/>
        <c:crosses val="autoZero"/>
        <c:auto val="1"/>
        <c:lblAlgn val="ctr"/>
        <c:lblOffset val="100"/>
        <c:noMultiLvlLbl val="0"/>
      </c:catAx>
      <c:valAx>
        <c:axId val="916242559"/>
        <c:scaling>
          <c:orientation val="minMax"/>
        </c:scaling>
        <c:delete val="0"/>
        <c:axPos val="l"/>
        <c:title>
          <c:tx>
            <c:rich>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pt-PT" b="1"/>
                  <a:t>tCO</a:t>
                </a:r>
                <a:r>
                  <a:rPr lang="pt-PT" b="1" baseline="-25000"/>
                  <a:t>2e</a:t>
                </a:r>
              </a:p>
            </c:rich>
          </c:tx>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pt-BR"/>
            </a:p>
          </c:txPr>
        </c:title>
        <c:numFmt formatCode="_(* #,##0_);_(* \(#,##0\);_(* &quot;-&quot;_);_(@_)"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crossAx val="916242143"/>
        <c:crosses val="autoZero"/>
        <c:crossBetween val="between"/>
      </c:valAx>
      <c:spPr>
        <a:noFill/>
        <a:ln>
          <a:solidFill>
            <a:schemeClr val="tx1"/>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pt-BR"/>
    </a:p>
  </c:txPr>
  <c:printSettings>
    <c:headerFooter/>
    <c:pageMargins b="0.78740157499999996" l="0.511811024" r="0.511811024" t="0.78740157499999996" header="0.31496062000000002" footer="0.3149606200000000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0"/>
          <c:tx>
            <c:strRef>
              <c:f>'BL-GHG'!$A$17:$A$18</c:f>
              <c:strCache>
                <c:ptCount val="1"/>
                <c:pt idx="0">
                  <c:v>Pasture Carbon Pool</c:v>
                </c:pt>
              </c:strCache>
            </c:strRef>
          </c:tx>
          <c:spPr>
            <a:solidFill>
              <a:schemeClr val="accent2"/>
            </a:solidFill>
            <a:ln>
              <a:noFill/>
            </a:ln>
            <a:effectLst/>
          </c:spPr>
          <c:invertIfNegative val="0"/>
          <c:cat>
            <c:numRef>
              <c:f>'BL-GHG'!$D$5:$F$5</c:f>
              <c:numCache>
                <c:formatCode>General</c:formatCode>
                <c:ptCount val="3"/>
                <c:pt idx="0">
                  <c:v>2025</c:v>
                </c:pt>
                <c:pt idx="1">
                  <c:v>2026</c:v>
                </c:pt>
                <c:pt idx="2">
                  <c:v>2027</c:v>
                </c:pt>
              </c:numCache>
            </c:numRef>
          </c:cat>
          <c:val>
            <c:numRef>
              <c:f>'BL-GHG'!$D$17:$F$17</c:f>
              <c:numCache>
                <c:formatCode>_-* #,##0.00_-;\-* #,##0.00_-;_-* "-"??_-;_-@_-</c:formatCode>
                <c:ptCount val="3"/>
                <c:pt idx="0">
                  <c:v>2109.4701209999835</c:v>
                </c:pt>
                <c:pt idx="1">
                  <c:v>3257.1093059999994</c:v>
                </c:pt>
                <c:pt idx="2">
                  <c:v>7076.5010909999937</c:v>
                </c:pt>
              </c:numCache>
            </c:numRef>
          </c:val>
          <c:extLst>
            <c:ext xmlns:c16="http://schemas.microsoft.com/office/drawing/2014/chart" uri="{C3380CC4-5D6E-409C-BE32-E72D297353CC}">
              <c16:uniqueId val="{00000000-FFA6-4386-A984-F496D20FF061}"/>
            </c:ext>
          </c:extLst>
        </c:ser>
        <c:ser>
          <c:idx val="2"/>
          <c:order val="1"/>
          <c:tx>
            <c:strRef>
              <c:f>'BL-GHG'!$A$19:$A$20</c:f>
              <c:strCache>
                <c:ptCount val="1"/>
                <c:pt idx="0">
                  <c:v>Coffee Carbon Pool</c:v>
                </c:pt>
              </c:strCache>
            </c:strRef>
          </c:tx>
          <c:spPr>
            <a:solidFill>
              <a:schemeClr val="accent4"/>
            </a:solidFill>
            <a:ln>
              <a:noFill/>
            </a:ln>
            <a:effectLst/>
          </c:spPr>
          <c:invertIfNegative val="0"/>
          <c:cat>
            <c:numRef>
              <c:f>'BL-GHG'!$D$5:$F$5</c:f>
              <c:numCache>
                <c:formatCode>General</c:formatCode>
                <c:ptCount val="3"/>
                <c:pt idx="0">
                  <c:v>2025</c:v>
                </c:pt>
                <c:pt idx="1">
                  <c:v>2026</c:v>
                </c:pt>
                <c:pt idx="2">
                  <c:v>2027</c:v>
                </c:pt>
              </c:numCache>
            </c:numRef>
          </c:cat>
          <c:val>
            <c:numRef>
              <c:f>'BL-GHG'!$D$19:$F$19</c:f>
              <c:numCache>
                <c:formatCode>_-* #,##0.00_-;\-* #,##0.00_-;_-* "-"??_-;_-@_-</c:formatCode>
                <c:ptCount val="3"/>
                <c:pt idx="0">
                  <c:v>1312.6508999999896</c:v>
                </c:pt>
                <c:pt idx="1">
                  <c:v>2026.7873999999999</c:v>
                </c:pt>
                <c:pt idx="2">
                  <c:v>4403.4638999999961</c:v>
                </c:pt>
              </c:numCache>
            </c:numRef>
          </c:val>
          <c:extLst>
            <c:ext xmlns:c16="http://schemas.microsoft.com/office/drawing/2014/chart" uri="{C3380CC4-5D6E-409C-BE32-E72D297353CC}">
              <c16:uniqueId val="{00000001-FFA6-4386-A984-F496D20FF061}"/>
            </c:ext>
          </c:extLst>
        </c:ser>
        <c:dLbls>
          <c:showLegendKey val="0"/>
          <c:showVal val="0"/>
          <c:showCatName val="0"/>
          <c:showSerName val="0"/>
          <c:showPercent val="0"/>
          <c:showBubbleSize val="0"/>
        </c:dLbls>
        <c:gapWidth val="150"/>
        <c:overlap val="100"/>
        <c:axId val="916242143"/>
        <c:axId val="916242559"/>
      </c:barChart>
      <c:catAx>
        <c:axId val="916242143"/>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crossAx val="916242559"/>
        <c:crosses val="autoZero"/>
        <c:auto val="1"/>
        <c:lblAlgn val="ctr"/>
        <c:lblOffset val="100"/>
        <c:noMultiLvlLbl val="0"/>
      </c:catAx>
      <c:valAx>
        <c:axId val="916242559"/>
        <c:scaling>
          <c:orientation val="minMax"/>
        </c:scaling>
        <c:delete val="0"/>
        <c:axPos val="l"/>
        <c:numFmt formatCode="_-* #,##0.00_-;\-* #,##0.00_-;_-* &quot;-&quot;??_-;_-@_-"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crossAx val="916242143"/>
        <c:crosses val="autoZero"/>
        <c:crossBetween val="between"/>
      </c:valAx>
      <c:spPr>
        <a:noFill/>
        <a:ln>
          <a:solidFill>
            <a:schemeClr val="tx1"/>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pt-BR"/>
    </a:p>
  </c:txPr>
  <c:printSettings>
    <c:headerFooter/>
    <c:pageMargins b="0.78740157499999996" l="0.511811024" r="0.511811024" t="0.78740157499999996" header="0.31496062000000002" footer="0.3149606200000000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'LK-GHG_ex_ante'!$A$6:$A$7</c:f>
              <c:strCache>
                <c:ptCount val="1"/>
                <c:pt idx="0">
                  <c:v>Baseline Emissions</c:v>
                </c:pt>
              </c:strCache>
            </c:strRef>
          </c:tx>
          <c:spPr>
            <a:solidFill>
              <a:schemeClr val="accent6"/>
            </a:solidFill>
            <a:ln>
              <a:noFill/>
            </a:ln>
            <a:effectLst/>
          </c:spPr>
          <c:invertIfNegative val="0"/>
          <c:cat>
            <c:numRef>
              <c:f>'LK-GHG_ex_ante'!$D$5:$I$5</c:f>
              <c:numCache>
                <c:formatCode>General</c:formatCode>
                <c:ptCount val="6"/>
                <c:pt idx="0">
                  <c:v>2025</c:v>
                </c:pt>
                <c:pt idx="1">
                  <c:v>2026</c:v>
                </c:pt>
                <c:pt idx="2">
                  <c:v>2027</c:v>
                </c:pt>
                <c:pt idx="3">
                  <c:v>2028</c:v>
                </c:pt>
                <c:pt idx="4">
                  <c:v>2029</c:v>
                </c:pt>
                <c:pt idx="5">
                  <c:v>2030</c:v>
                </c:pt>
              </c:numCache>
            </c:numRef>
          </c:cat>
          <c:val>
            <c:numRef>
              <c:f>'LK-GHG_ex_ante'!$D$6:$I$6</c:f>
              <c:numCache>
                <c:formatCode>_-* #,##0.00_-;\-* #,##0.00_-;_-* "-"??_-;_-@_-</c:formatCode>
                <c:ptCount val="6"/>
                <c:pt idx="0">
                  <c:v>0</c:v>
                </c:pt>
                <c:pt idx="1">
                  <c:v>11589.412291768811</c:v>
                </c:pt>
                <c:pt idx="2">
                  <c:v>50081.323152517209</c:v>
                </c:pt>
                <c:pt idx="3">
                  <c:v>37320.417921508226</c:v>
                </c:pt>
                <c:pt idx="4">
                  <c:v>60039.013136058638</c:v>
                </c:pt>
                <c:pt idx="5">
                  <c:v>82924.964484786207</c:v>
                </c:pt>
              </c:numCache>
            </c:numRef>
          </c:val>
          <c:extLst>
            <c:ext xmlns:c16="http://schemas.microsoft.com/office/drawing/2014/chart" uri="{C3380CC4-5D6E-409C-BE32-E72D297353CC}">
              <c16:uniqueId val="{00000000-0651-42EF-802F-22ED615BA4ED}"/>
            </c:ext>
          </c:extLst>
        </c:ser>
        <c:ser>
          <c:idx val="1"/>
          <c:order val="1"/>
          <c:tx>
            <c:strRef>
              <c:f>'LK-GHG_ex_ante'!$A$10:$A$11</c:f>
              <c:strCache>
                <c:ptCount val="1"/>
                <c:pt idx="0">
                  <c:v>Biomass Burning Emissions (CH4)</c:v>
                </c:pt>
              </c:strCache>
            </c:strRef>
          </c:tx>
          <c:spPr>
            <a:solidFill>
              <a:schemeClr val="tx2"/>
            </a:solidFill>
            <a:ln>
              <a:noFill/>
            </a:ln>
            <a:effectLst/>
          </c:spPr>
          <c:invertIfNegative val="0"/>
          <c:cat>
            <c:numRef>
              <c:f>'LK-GHG_ex_ante'!$D$5:$I$5</c:f>
              <c:numCache>
                <c:formatCode>General</c:formatCode>
                <c:ptCount val="6"/>
                <c:pt idx="0">
                  <c:v>2025</c:v>
                </c:pt>
                <c:pt idx="1">
                  <c:v>2026</c:v>
                </c:pt>
                <c:pt idx="2">
                  <c:v>2027</c:v>
                </c:pt>
                <c:pt idx="3">
                  <c:v>2028</c:v>
                </c:pt>
                <c:pt idx="4">
                  <c:v>2029</c:v>
                </c:pt>
                <c:pt idx="5">
                  <c:v>2030</c:v>
                </c:pt>
              </c:numCache>
            </c:numRef>
          </c:cat>
          <c:val>
            <c:numRef>
              <c:f>'LK-GHG_ex_ante'!$D$10:$I$10</c:f>
              <c:numCache>
                <c:formatCode>_-* #,##0.00_-;\-* #,##0.00_-;_-* "-"??_-;_-@_-</c:formatCode>
                <c:ptCount val="6"/>
                <c:pt idx="0">
                  <c:v>0</c:v>
                </c:pt>
                <c:pt idx="1">
                  <c:v>436.74479827776935</c:v>
                </c:pt>
                <c:pt idx="2">
                  <c:v>1887.3051391281228</c:v>
                </c:pt>
                <c:pt idx="3">
                  <c:v>1406.4128522157775</c:v>
                </c:pt>
                <c:pt idx="4">
                  <c:v>2262.5587925220184</c:v>
                </c:pt>
                <c:pt idx="5">
                  <c:v>3125.0115169189135</c:v>
                </c:pt>
              </c:numCache>
            </c:numRef>
          </c:val>
          <c:extLst>
            <c:ext xmlns:c16="http://schemas.microsoft.com/office/drawing/2014/chart" uri="{C3380CC4-5D6E-409C-BE32-E72D297353CC}">
              <c16:uniqueId val="{00000001-0651-42EF-802F-22ED615BA4ED}"/>
            </c:ext>
          </c:extLst>
        </c:ser>
        <c:ser>
          <c:idx val="2"/>
          <c:order val="2"/>
          <c:tx>
            <c:strRef>
              <c:f>'LK-GHG_ex_ante'!$A$12:$A$13</c:f>
              <c:strCache>
                <c:ptCount val="1"/>
                <c:pt idx="0">
                  <c:v>Biomass Burning Emissions (N2O)</c:v>
                </c:pt>
              </c:strCache>
            </c:strRef>
          </c:tx>
          <c:spPr>
            <a:solidFill>
              <a:schemeClr val="bg1">
                <a:lumMod val="65000"/>
              </a:schemeClr>
            </a:solidFill>
            <a:ln>
              <a:solidFill>
                <a:schemeClr val="tx2">
                  <a:lumMod val="60000"/>
                  <a:lumOff val="40000"/>
                </a:schemeClr>
              </a:solidFill>
            </a:ln>
            <a:effectLst/>
          </c:spPr>
          <c:invertIfNegative val="0"/>
          <c:cat>
            <c:numRef>
              <c:f>'LK-GHG_ex_ante'!$D$5:$I$5</c:f>
              <c:numCache>
                <c:formatCode>General</c:formatCode>
                <c:ptCount val="6"/>
                <c:pt idx="0">
                  <c:v>2025</c:v>
                </c:pt>
                <c:pt idx="1">
                  <c:v>2026</c:v>
                </c:pt>
                <c:pt idx="2">
                  <c:v>2027</c:v>
                </c:pt>
                <c:pt idx="3">
                  <c:v>2028</c:v>
                </c:pt>
                <c:pt idx="4">
                  <c:v>2029</c:v>
                </c:pt>
                <c:pt idx="5">
                  <c:v>2030</c:v>
                </c:pt>
              </c:numCache>
            </c:numRef>
          </c:cat>
          <c:val>
            <c:numRef>
              <c:f>'LK-GHG_ex_ante'!$D$12:$I$12</c:f>
              <c:numCache>
                <c:formatCode>_-* #,##0.00_-;\-* #,##0.00_-;_-* "-"??_-;_-@_-</c:formatCode>
                <c:ptCount val="6"/>
                <c:pt idx="0">
                  <c:v>0</c:v>
                </c:pt>
                <c:pt idx="1">
                  <c:v>172.22823146370371</c:v>
                </c:pt>
                <c:pt idx="2">
                  <c:v>744.24979444784617</c:v>
                </c:pt>
                <c:pt idx="3">
                  <c:v>554.61221106723383</c:v>
                </c:pt>
                <c:pt idx="4">
                  <c:v>892.22928574156981</c:v>
                </c:pt>
                <c:pt idx="5">
                  <c:v>1232.3334106897501</c:v>
                </c:pt>
              </c:numCache>
            </c:numRef>
          </c:val>
          <c:extLst>
            <c:ext xmlns:c16="http://schemas.microsoft.com/office/drawing/2014/chart" uri="{C3380CC4-5D6E-409C-BE32-E72D297353CC}">
              <c16:uniqueId val="{00000002-0651-42EF-802F-22ED615BA4ED}"/>
            </c:ext>
          </c:extLst>
        </c:ser>
        <c:dLbls>
          <c:showLegendKey val="0"/>
          <c:showVal val="0"/>
          <c:showCatName val="0"/>
          <c:showSerName val="0"/>
          <c:showPercent val="0"/>
          <c:showBubbleSize val="0"/>
        </c:dLbls>
        <c:gapWidth val="150"/>
        <c:overlap val="100"/>
        <c:axId val="916242143"/>
        <c:axId val="916242559"/>
      </c:barChart>
      <c:catAx>
        <c:axId val="916242143"/>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crossAx val="916242559"/>
        <c:crosses val="autoZero"/>
        <c:auto val="1"/>
        <c:lblAlgn val="ctr"/>
        <c:lblOffset val="100"/>
        <c:noMultiLvlLbl val="0"/>
      </c:catAx>
      <c:valAx>
        <c:axId val="916242559"/>
        <c:scaling>
          <c:orientation val="minMax"/>
        </c:scaling>
        <c:delete val="0"/>
        <c:axPos val="l"/>
        <c:numFmt formatCode="_-* #,##0.00_-;\-* #,##0.00_-;_-* &quot;-&quot;??_-;_-@_-"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crossAx val="916242143"/>
        <c:crosses val="autoZero"/>
        <c:crossBetween val="between"/>
      </c:valAx>
      <c:spPr>
        <a:noFill/>
        <a:ln>
          <a:solidFill>
            <a:schemeClr val="tx1"/>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pt-BR"/>
    </a:p>
  </c:txPr>
  <c:printSettings>
    <c:headerFooter/>
    <c:pageMargins b="0.78740157499999996" l="0.511811024" r="0.511811024" t="0.78740157499999996" header="0.31496062000000002" footer="0.3149606200000000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'LK-GHG_ex_ante'!$A$15:$A$16</c:f>
              <c:strCache>
                <c:ptCount val="1"/>
                <c:pt idx="0">
                  <c:v>Wood products carbon pool</c:v>
                </c:pt>
              </c:strCache>
            </c:strRef>
          </c:tx>
          <c:spPr>
            <a:solidFill>
              <a:schemeClr val="accent1"/>
            </a:solidFill>
            <a:ln>
              <a:noFill/>
            </a:ln>
            <a:effectLst/>
          </c:spPr>
          <c:invertIfNegative val="0"/>
          <c:cat>
            <c:numRef>
              <c:f>'LK-GHG_ex_ante'!$D$5:$I$5</c:f>
              <c:numCache>
                <c:formatCode>General</c:formatCode>
                <c:ptCount val="6"/>
                <c:pt idx="0">
                  <c:v>2025</c:v>
                </c:pt>
                <c:pt idx="1">
                  <c:v>2026</c:v>
                </c:pt>
                <c:pt idx="2">
                  <c:v>2027</c:v>
                </c:pt>
                <c:pt idx="3">
                  <c:v>2028</c:v>
                </c:pt>
                <c:pt idx="4">
                  <c:v>2029</c:v>
                </c:pt>
                <c:pt idx="5">
                  <c:v>2030</c:v>
                </c:pt>
              </c:numCache>
            </c:numRef>
          </c:cat>
          <c:val>
            <c:numRef>
              <c:f>'LK-GHG_ex_ante'!$D$15:$I$15</c:f>
              <c:numCache>
                <c:formatCode>_-* #,##0.00_-;\-* #,##0.00_-;_-* "-"??_-;_-@_-</c:formatCode>
                <c:ptCount val="6"/>
                <c:pt idx="0">
                  <c:v>0</c:v>
                </c:pt>
                <c:pt idx="1">
                  <c:v>65.137134628857808</c:v>
                </c:pt>
                <c:pt idx="2">
                  <c:v>281.4770763564722</c:v>
                </c:pt>
                <c:pt idx="3">
                  <c:v>209.75568263155654</c:v>
                </c:pt>
                <c:pt idx="4">
                  <c:v>337.44327867296374</c:v>
                </c:pt>
                <c:pt idx="5">
                  <c:v>466.07148315666484</c:v>
                </c:pt>
              </c:numCache>
            </c:numRef>
          </c:val>
          <c:extLst>
            <c:ext xmlns:c16="http://schemas.microsoft.com/office/drawing/2014/chart" uri="{C3380CC4-5D6E-409C-BE32-E72D297353CC}">
              <c16:uniqueId val="{00000000-AE66-4C64-A7D0-3A19B0564F13}"/>
            </c:ext>
          </c:extLst>
        </c:ser>
        <c:ser>
          <c:idx val="1"/>
          <c:order val="1"/>
          <c:tx>
            <c:strRef>
              <c:f>'LK-GHG_ex_ante'!$A$17:$A$18</c:f>
              <c:strCache>
                <c:ptCount val="1"/>
                <c:pt idx="0">
                  <c:v>Pasture Carbon Pool</c:v>
                </c:pt>
              </c:strCache>
            </c:strRef>
          </c:tx>
          <c:spPr>
            <a:solidFill>
              <a:schemeClr val="accent2"/>
            </a:solidFill>
            <a:ln>
              <a:noFill/>
            </a:ln>
            <a:effectLst/>
          </c:spPr>
          <c:invertIfNegative val="0"/>
          <c:cat>
            <c:numRef>
              <c:f>'LK-GHG_ex_ante'!$D$5:$I$5</c:f>
              <c:numCache>
                <c:formatCode>General</c:formatCode>
                <c:ptCount val="6"/>
                <c:pt idx="0">
                  <c:v>2025</c:v>
                </c:pt>
                <c:pt idx="1">
                  <c:v>2026</c:v>
                </c:pt>
                <c:pt idx="2">
                  <c:v>2027</c:v>
                </c:pt>
                <c:pt idx="3">
                  <c:v>2028</c:v>
                </c:pt>
                <c:pt idx="4">
                  <c:v>2029</c:v>
                </c:pt>
                <c:pt idx="5">
                  <c:v>2030</c:v>
                </c:pt>
              </c:numCache>
            </c:numRef>
          </c:cat>
          <c:val>
            <c:numRef>
              <c:f>'LK-GHG_ex_ante'!$D$17:$I$17</c:f>
              <c:numCache>
                <c:formatCode>_-* #,##0.00_-;\-* #,##0.00_-;_-* "-"??_-;_-@_-</c:formatCode>
                <c:ptCount val="6"/>
                <c:pt idx="0">
                  <c:v>0</c:v>
                </c:pt>
                <c:pt idx="1">
                  <c:v>336.39794099999995</c:v>
                </c:pt>
                <c:pt idx="2">
                  <c:v>1453.6763009999997</c:v>
                </c:pt>
                <c:pt idx="3">
                  <c:v>1083.274236</c:v>
                </c:pt>
                <c:pt idx="4">
                  <c:v>1742.7113549999999</c:v>
                </c:pt>
                <c:pt idx="5">
                  <c:v>2407.0062059999996</c:v>
                </c:pt>
              </c:numCache>
            </c:numRef>
          </c:val>
          <c:extLst>
            <c:ext xmlns:c16="http://schemas.microsoft.com/office/drawing/2014/chart" uri="{C3380CC4-5D6E-409C-BE32-E72D297353CC}">
              <c16:uniqueId val="{00000001-AE66-4C64-A7D0-3A19B0564F13}"/>
            </c:ext>
          </c:extLst>
        </c:ser>
        <c:ser>
          <c:idx val="2"/>
          <c:order val="2"/>
          <c:tx>
            <c:strRef>
              <c:f>'LK-GHG_ex_ante'!$A$19:$A$20</c:f>
              <c:strCache>
                <c:ptCount val="1"/>
                <c:pt idx="0">
                  <c:v>Coffee Carbon Pool</c:v>
                </c:pt>
              </c:strCache>
            </c:strRef>
          </c:tx>
          <c:spPr>
            <a:solidFill>
              <a:schemeClr val="accent4"/>
            </a:solidFill>
            <a:ln>
              <a:noFill/>
            </a:ln>
            <a:effectLst/>
          </c:spPr>
          <c:invertIfNegative val="0"/>
          <c:cat>
            <c:numRef>
              <c:f>'LK-GHG_ex_ante'!$D$5:$I$5</c:f>
              <c:numCache>
                <c:formatCode>General</c:formatCode>
                <c:ptCount val="6"/>
                <c:pt idx="0">
                  <c:v>2025</c:v>
                </c:pt>
                <c:pt idx="1">
                  <c:v>2026</c:v>
                </c:pt>
                <c:pt idx="2">
                  <c:v>2027</c:v>
                </c:pt>
                <c:pt idx="3">
                  <c:v>2028</c:v>
                </c:pt>
                <c:pt idx="4">
                  <c:v>2029</c:v>
                </c:pt>
                <c:pt idx="5">
                  <c:v>2030</c:v>
                </c:pt>
              </c:numCache>
            </c:numRef>
          </c:cat>
          <c:val>
            <c:numRef>
              <c:f>'LK-GHG_ex_ante'!$D$19:$I$19</c:f>
              <c:numCache>
                <c:formatCode>_-* #,##0.00_-;\-* #,##0.00_-;_-* "-"??_-;_-@_-</c:formatCode>
                <c:ptCount val="6"/>
                <c:pt idx="0">
                  <c:v>0</c:v>
                </c:pt>
                <c:pt idx="1">
                  <c:v>209.3289</c:v>
                </c:pt>
                <c:pt idx="2">
                  <c:v>904.5729</c:v>
                </c:pt>
                <c:pt idx="3">
                  <c:v>674.08439999999996</c:v>
                </c:pt>
                <c:pt idx="4">
                  <c:v>1084.4295</c:v>
                </c:pt>
                <c:pt idx="5">
                  <c:v>1497.7973999999999</c:v>
                </c:pt>
              </c:numCache>
            </c:numRef>
          </c:val>
          <c:extLst>
            <c:ext xmlns:c16="http://schemas.microsoft.com/office/drawing/2014/chart" uri="{C3380CC4-5D6E-409C-BE32-E72D297353CC}">
              <c16:uniqueId val="{00000002-AE66-4C64-A7D0-3A19B0564F13}"/>
            </c:ext>
          </c:extLst>
        </c:ser>
        <c:dLbls>
          <c:showLegendKey val="0"/>
          <c:showVal val="0"/>
          <c:showCatName val="0"/>
          <c:showSerName val="0"/>
          <c:showPercent val="0"/>
          <c:showBubbleSize val="0"/>
        </c:dLbls>
        <c:gapWidth val="150"/>
        <c:overlap val="100"/>
        <c:axId val="916242143"/>
        <c:axId val="916242559"/>
      </c:barChart>
      <c:catAx>
        <c:axId val="916242143"/>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crossAx val="916242559"/>
        <c:crosses val="autoZero"/>
        <c:auto val="1"/>
        <c:lblAlgn val="ctr"/>
        <c:lblOffset val="100"/>
        <c:noMultiLvlLbl val="0"/>
      </c:catAx>
      <c:valAx>
        <c:axId val="916242559"/>
        <c:scaling>
          <c:orientation val="minMax"/>
        </c:scaling>
        <c:delete val="0"/>
        <c:axPos val="l"/>
        <c:numFmt formatCode="_-* #,##0.00_-;\-* #,##0.00_-;_-* &quot;-&quot;??_-;_-@_-"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crossAx val="916242143"/>
        <c:crosses val="autoZero"/>
        <c:crossBetween val="between"/>
      </c:valAx>
      <c:spPr>
        <a:noFill/>
        <a:ln>
          <a:solidFill>
            <a:schemeClr val="tx1"/>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Reversed" id="26">
  <a:schemeClr val="accent6"/>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image" Target="../media/image1.png"/><Relationship Id="rId4"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image" Target="../media/image1.png"/><Relationship Id="rId5" Type="http://schemas.openxmlformats.org/officeDocument/2006/relationships/chart" Target="../charts/chart7.xml"/><Relationship Id="rId4"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11</xdr:col>
      <xdr:colOff>453390</xdr:colOff>
      <xdr:row>0</xdr:row>
      <xdr:rowOff>0</xdr:rowOff>
    </xdr:from>
    <xdr:to>
      <xdr:col>12</xdr:col>
      <xdr:colOff>668655</xdr:colOff>
      <xdr:row>1</xdr:row>
      <xdr:rowOff>19050</xdr:rowOff>
    </xdr:to>
    <xdr:pic>
      <xdr:nvPicPr>
        <xdr:cNvPr id="3" name="Google Shape;57;p14">
          <a:extLst>
            <a:ext uri="{FF2B5EF4-FFF2-40B4-BE49-F238E27FC236}">
              <a16:creationId xmlns:a16="http://schemas.microsoft.com/office/drawing/2014/main" id="{B832C7BC-7812-4948-BD52-431C5884D770}"/>
            </a:ext>
          </a:extLst>
        </xdr:cNvPr>
        <xdr:cNvPicPr preferRelativeResize="0"/>
      </xdr:nvPicPr>
      <xdr:blipFill>
        <a:blip xmlns:r="http://schemas.openxmlformats.org/officeDocument/2006/relationships" r:embed="rId1">
          <a:clrChange>
            <a:clrFrom>
              <a:srgbClr val="065393"/>
            </a:clrFrom>
            <a:clrTo>
              <a:srgbClr val="065393">
                <a:alpha val="0"/>
              </a:srgbClr>
            </a:clrTo>
          </a:clrChange>
          <a:alphaModFix/>
        </a:blip>
        <a:stretch>
          <a:fillRect/>
        </a:stretch>
      </xdr:blipFill>
      <xdr:spPr>
        <a:xfrm>
          <a:off x="6501765" y="0"/>
          <a:ext cx="781050" cy="34290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704850</xdr:colOff>
      <xdr:row>0</xdr:row>
      <xdr:rowOff>15240</xdr:rowOff>
    </xdr:from>
    <xdr:to>
      <xdr:col>10</xdr:col>
      <xdr:colOff>552450</xdr:colOff>
      <xdr:row>1</xdr:row>
      <xdr:rowOff>53340</xdr:rowOff>
    </xdr:to>
    <xdr:pic>
      <xdr:nvPicPr>
        <xdr:cNvPr id="2" name="Google Shape;57;p14">
          <a:extLst>
            <a:ext uri="{FF2B5EF4-FFF2-40B4-BE49-F238E27FC236}">
              <a16:creationId xmlns:a16="http://schemas.microsoft.com/office/drawing/2014/main" id="{F15E465E-8BD8-43A4-BFF5-01B02E0363A1}"/>
            </a:ext>
          </a:extLst>
        </xdr:cNvPr>
        <xdr:cNvPicPr preferRelativeResize="0"/>
      </xdr:nvPicPr>
      <xdr:blipFill>
        <a:blip xmlns:r="http://schemas.openxmlformats.org/officeDocument/2006/relationships" r:embed="rId1">
          <a:clrChange>
            <a:clrFrom>
              <a:srgbClr val="065393"/>
            </a:clrFrom>
            <a:clrTo>
              <a:srgbClr val="065393">
                <a:alpha val="0"/>
              </a:srgbClr>
            </a:clrTo>
          </a:clrChange>
          <a:alphaModFix/>
        </a:blip>
        <a:stretch>
          <a:fillRect/>
        </a:stretch>
      </xdr:blipFill>
      <xdr:spPr>
        <a:xfrm>
          <a:off x="9902190" y="19050"/>
          <a:ext cx="794385" cy="361950"/>
        </a:xfrm>
        <a:prstGeom prst="rect">
          <a:avLst/>
        </a:prstGeom>
        <a:noFill/>
        <a:ln>
          <a:noFill/>
        </a:ln>
      </xdr:spPr>
    </xdr:pic>
    <xdr:clientData/>
  </xdr:twoCellAnchor>
  <xdr:twoCellAnchor>
    <xdr:from>
      <xdr:col>11</xdr:col>
      <xdr:colOff>464820</xdr:colOff>
      <xdr:row>2</xdr:row>
      <xdr:rowOff>38100</xdr:rowOff>
    </xdr:from>
    <xdr:to>
      <xdr:col>16</xdr:col>
      <xdr:colOff>53340</xdr:colOff>
      <xdr:row>16</xdr:row>
      <xdr:rowOff>0</xdr:rowOff>
    </xdr:to>
    <xdr:graphicFrame macro="">
      <xdr:nvGraphicFramePr>
        <xdr:cNvPr id="6" name="Gráfico 5">
          <a:extLst>
            <a:ext uri="{FF2B5EF4-FFF2-40B4-BE49-F238E27FC236}">
              <a16:creationId xmlns:a16="http://schemas.microsoft.com/office/drawing/2014/main" id="{22B92255-B749-4D4D-AB76-D54DC7B12C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342900</xdr:colOff>
      <xdr:row>15</xdr:row>
      <xdr:rowOff>76200</xdr:rowOff>
    </xdr:from>
    <xdr:to>
      <xdr:col>16</xdr:col>
      <xdr:colOff>38100</xdr:colOff>
      <xdr:row>26</xdr:row>
      <xdr:rowOff>160020</xdr:rowOff>
    </xdr:to>
    <xdr:graphicFrame macro="">
      <xdr:nvGraphicFramePr>
        <xdr:cNvPr id="7" name="Gráfico 6">
          <a:extLst>
            <a:ext uri="{FF2B5EF4-FFF2-40B4-BE49-F238E27FC236}">
              <a16:creationId xmlns:a16="http://schemas.microsoft.com/office/drawing/2014/main" id="{42E4427C-9128-4065-B335-13AFD45214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14</xdr:col>
      <xdr:colOff>773430</xdr:colOff>
      <xdr:row>0</xdr:row>
      <xdr:rowOff>0</xdr:rowOff>
    </xdr:from>
    <xdr:to>
      <xdr:col>15</xdr:col>
      <xdr:colOff>586740</xdr:colOff>
      <xdr:row>1</xdr:row>
      <xdr:rowOff>57150</xdr:rowOff>
    </xdr:to>
    <xdr:pic>
      <xdr:nvPicPr>
        <xdr:cNvPr id="2" name="Google Shape;57;p14">
          <a:extLst>
            <a:ext uri="{FF2B5EF4-FFF2-40B4-BE49-F238E27FC236}">
              <a16:creationId xmlns:a16="http://schemas.microsoft.com/office/drawing/2014/main" id="{7C9D3754-4010-49D0-99EB-78FB6C92EACD}"/>
            </a:ext>
          </a:extLst>
        </xdr:cNvPr>
        <xdr:cNvPicPr preferRelativeResize="0"/>
      </xdr:nvPicPr>
      <xdr:blipFill>
        <a:blip xmlns:r="http://schemas.openxmlformats.org/officeDocument/2006/relationships" r:embed="rId1">
          <a:clrChange>
            <a:clrFrom>
              <a:srgbClr val="065393"/>
            </a:clrFrom>
            <a:clrTo>
              <a:srgbClr val="065393">
                <a:alpha val="0"/>
              </a:srgbClr>
            </a:clrTo>
          </a:clrChange>
          <a:alphaModFix/>
        </a:blip>
        <a:stretch>
          <a:fillRect/>
        </a:stretch>
      </xdr:blipFill>
      <xdr:spPr>
        <a:xfrm>
          <a:off x="14098905" y="0"/>
          <a:ext cx="769620" cy="38100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12</xdr:col>
      <xdr:colOff>769620</xdr:colOff>
      <xdr:row>0</xdr:row>
      <xdr:rowOff>0</xdr:rowOff>
    </xdr:from>
    <xdr:to>
      <xdr:col>13</xdr:col>
      <xdr:colOff>588645</xdr:colOff>
      <xdr:row>1</xdr:row>
      <xdr:rowOff>57150</xdr:rowOff>
    </xdr:to>
    <xdr:pic>
      <xdr:nvPicPr>
        <xdr:cNvPr id="2" name="Google Shape;57;p14">
          <a:extLst>
            <a:ext uri="{FF2B5EF4-FFF2-40B4-BE49-F238E27FC236}">
              <a16:creationId xmlns:a16="http://schemas.microsoft.com/office/drawing/2014/main" id="{B38B4DD3-2B9C-4389-AF59-47BF3F15A203}"/>
            </a:ext>
          </a:extLst>
        </xdr:cNvPr>
        <xdr:cNvPicPr preferRelativeResize="0"/>
      </xdr:nvPicPr>
      <xdr:blipFill>
        <a:blip xmlns:r="http://schemas.openxmlformats.org/officeDocument/2006/relationships" r:embed="rId1">
          <a:clrChange>
            <a:clrFrom>
              <a:srgbClr val="065393"/>
            </a:clrFrom>
            <a:clrTo>
              <a:srgbClr val="065393">
                <a:alpha val="0"/>
              </a:srgbClr>
            </a:clrTo>
          </a:clrChange>
          <a:alphaModFix/>
        </a:blip>
        <a:stretch>
          <a:fillRect/>
        </a:stretch>
      </xdr:blipFill>
      <xdr:spPr>
        <a:xfrm>
          <a:off x="9658350" y="0"/>
          <a:ext cx="773430" cy="37719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11</xdr:col>
      <xdr:colOff>449580</xdr:colOff>
      <xdr:row>0</xdr:row>
      <xdr:rowOff>0</xdr:rowOff>
    </xdr:from>
    <xdr:to>
      <xdr:col>12</xdr:col>
      <xdr:colOff>514183</xdr:colOff>
      <xdr:row>2</xdr:row>
      <xdr:rowOff>15240</xdr:rowOff>
    </xdr:to>
    <xdr:pic>
      <xdr:nvPicPr>
        <xdr:cNvPr id="2" name="Google Shape;57;p14">
          <a:extLst>
            <a:ext uri="{FF2B5EF4-FFF2-40B4-BE49-F238E27FC236}">
              <a16:creationId xmlns:a16="http://schemas.microsoft.com/office/drawing/2014/main" id="{2D5CE8B9-F14B-4D89-BA25-684F149145C4}"/>
            </a:ext>
          </a:extLst>
        </xdr:cNvPr>
        <xdr:cNvPicPr preferRelativeResize="0"/>
      </xdr:nvPicPr>
      <xdr:blipFill>
        <a:blip xmlns:r="http://schemas.openxmlformats.org/officeDocument/2006/relationships" r:embed="rId1">
          <a:clrChange>
            <a:clrFrom>
              <a:srgbClr val="065393"/>
            </a:clrFrom>
            <a:clrTo>
              <a:srgbClr val="065393">
                <a:alpha val="0"/>
              </a:srgbClr>
            </a:clrTo>
          </a:clrChange>
          <a:alphaModFix/>
        </a:blip>
        <a:stretch>
          <a:fillRect/>
        </a:stretch>
      </xdr:blipFill>
      <xdr:spPr>
        <a:xfrm>
          <a:off x="12961620" y="0"/>
          <a:ext cx="771525" cy="377190"/>
        </a:xfrm>
        <a:prstGeom prst="rect">
          <a:avLst/>
        </a:prstGeom>
        <a:noFill/>
        <a:ln>
          <a:noFill/>
        </a:ln>
      </xdr:spPr>
    </xdr:pic>
    <xdr:clientData/>
  </xdr:twoCellAnchor>
  <xdr:twoCellAnchor>
    <xdr:from>
      <xdr:col>0</xdr:col>
      <xdr:colOff>135257</xdr:colOff>
      <xdr:row>17</xdr:row>
      <xdr:rowOff>19050</xdr:rowOff>
    </xdr:from>
    <xdr:to>
      <xdr:col>2</xdr:col>
      <xdr:colOff>630556</xdr:colOff>
      <xdr:row>33</xdr:row>
      <xdr:rowOff>15826</xdr:rowOff>
    </xdr:to>
    <xdr:graphicFrame macro="">
      <xdr:nvGraphicFramePr>
        <xdr:cNvPr id="3" name="Gráfico 2">
          <a:extLst>
            <a:ext uri="{FF2B5EF4-FFF2-40B4-BE49-F238E27FC236}">
              <a16:creationId xmlns:a16="http://schemas.microsoft.com/office/drawing/2014/main" id="{EDA8D80F-EA0F-4349-AC33-30C7C2AAEF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605791</xdr:colOff>
      <xdr:row>16</xdr:row>
      <xdr:rowOff>135256</xdr:rowOff>
    </xdr:from>
    <xdr:to>
      <xdr:col>5</xdr:col>
      <xdr:colOff>897255</xdr:colOff>
      <xdr:row>32</xdr:row>
      <xdr:rowOff>55246</xdr:rowOff>
    </xdr:to>
    <xdr:graphicFrame macro="">
      <xdr:nvGraphicFramePr>
        <xdr:cNvPr id="4" name="Gráfico 3">
          <a:extLst>
            <a:ext uri="{FF2B5EF4-FFF2-40B4-BE49-F238E27FC236}">
              <a16:creationId xmlns:a16="http://schemas.microsoft.com/office/drawing/2014/main" id="{332FAA72-F13C-4869-869B-6EB3822A8D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822629</xdr:colOff>
      <xdr:row>16</xdr:row>
      <xdr:rowOff>133351</xdr:rowOff>
    </xdr:from>
    <xdr:to>
      <xdr:col>8</xdr:col>
      <xdr:colOff>993913</xdr:colOff>
      <xdr:row>32</xdr:row>
      <xdr:rowOff>53341</xdr:rowOff>
    </xdr:to>
    <xdr:graphicFrame macro="">
      <xdr:nvGraphicFramePr>
        <xdr:cNvPr id="5" name="Gráfico 4">
          <a:extLst>
            <a:ext uri="{FF2B5EF4-FFF2-40B4-BE49-F238E27FC236}">
              <a16:creationId xmlns:a16="http://schemas.microsoft.com/office/drawing/2014/main" id="{07701722-FF90-4EF6-88D5-06BB8220D2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453390</xdr:colOff>
      <xdr:row>0</xdr:row>
      <xdr:rowOff>0</xdr:rowOff>
    </xdr:from>
    <xdr:to>
      <xdr:col>9</xdr:col>
      <xdr:colOff>163912</xdr:colOff>
      <xdr:row>1</xdr:row>
      <xdr:rowOff>15240</xdr:rowOff>
    </xdr:to>
    <xdr:pic>
      <xdr:nvPicPr>
        <xdr:cNvPr id="4" name="Google Shape;57;p14">
          <a:extLst>
            <a:ext uri="{FF2B5EF4-FFF2-40B4-BE49-F238E27FC236}">
              <a16:creationId xmlns:a16="http://schemas.microsoft.com/office/drawing/2014/main" id="{2D33B309-035C-9775-2467-93811B93DF3D}"/>
            </a:ext>
          </a:extLst>
        </xdr:cNvPr>
        <xdr:cNvPicPr preferRelativeResize="0"/>
      </xdr:nvPicPr>
      <xdr:blipFill>
        <a:blip xmlns:r="http://schemas.openxmlformats.org/officeDocument/2006/relationships" r:embed="rId1">
          <a:clrChange>
            <a:clrFrom>
              <a:srgbClr val="065393"/>
            </a:clrFrom>
            <a:clrTo>
              <a:srgbClr val="065393">
                <a:alpha val="0"/>
              </a:srgbClr>
            </a:clrTo>
          </a:clrChange>
          <a:alphaModFix/>
        </a:blip>
        <a:stretch>
          <a:fillRect/>
        </a:stretch>
      </xdr:blipFill>
      <xdr:spPr>
        <a:xfrm>
          <a:off x="6501765" y="0"/>
          <a:ext cx="773430" cy="33909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563218</xdr:colOff>
      <xdr:row>0</xdr:row>
      <xdr:rowOff>71148</xdr:rowOff>
    </xdr:from>
    <xdr:to>
      <xdr:col>9</xdr:col>
      <xdr:colOff>615778</xdr:colOff>
      <xdr:row>1</xdr:row>
      <xdr:rowOff>94008</xdr:rowOff>
    </xdr:to>
    <xdr:pic>
      <xdr:nvPicPr>
        <xdr:cNvPr id="2" name="Google Shape;57;p14">
          <a:extLst>
            <a:ext uri="{FF2B5EF4-FFF2-40B4-BE49-F238E27FC236}">
              <a16:creationId xmlns:a16="http://schemas.microsoft.com/office/drawing/2014/main" id="{C1218793-C195-48BD-AE14-ED49618545EF}"/>
            </a:ext>
          </a:extLst>
        </xdr:cNvPr>
        <xdr:cNvPicPr preferRelativeResize="0"/>
      </xdr:nvPicPr>
      <xdr:blipFill>
        <a:blip xmlns:r="http://schemas.openxmlformats.org/officeDocument/2006/relationships" r:embed="rId1">
          <a:clrChange>
            <a:clrFrom>
              <a:srgbClr val="065393"/>
            </a:clrFrom>
            <a:clrTo>
              <a:srgbClr val="065393">
                <a:alpha val="0"/>
              </a:srgbClr>
            </a:clrTo>
          </a:clrChange>
          <a:alphaModFix/>
        </a:blip>
        <a:stretch>
          <a:fillRect/>
        </a:stretch>
      </xdr:blipFill>
      <xdr:spPr>
        <a:xfrm>
          <a:off x="5771322" y="71148"/>
          <a:ext cx="768097" cy="348532"/>
        </a:xfrm>
        <a:prstGeom prst="rect">
          <a:avLst/>
        </a:prstGeom>
        <a:noFill/>
        <a:ln>
          <a:noFill/>
        </a:ln>
      </xdr:spPr>
    </xdr:pic>
    <xdr:clientData/>
  </xdr:twoCellAnchor>
  <xdr:twoCellAnchor editAs="oneCell">
    <xdr:from>
      <xdr:col>16</xdr:col>
      <xdr:colOff>252264</xdr:colOff>
      <xdr:row>0</xdr:row>
      <xdr:rowOff>0</xdr:rowOff>
    </xdr:from>
    <xdr:to>
      <xdr:col>26</xdr:col>
      <xdr:colOff>535787</xdr:colOff>
      <xdr:row>31</xdr:row>
      <xdr:rowOff>70713</xdr:rowOff>
    </xdr:to>
    <xdr:pic>
      <xdr:nvPicPr>
        <xdr:cNvPr id="3" name="Imagem 2">
          <a:extLst>
            <a:ext uri="{FF2B5EF4-FFF2-40B4-BE49-F238E27FC236}">
              <a16:creationId xmlns:a16="http://schemas.microsoft.com/office/drawing/2014/main" id="{F2F67B0A-AD6D-E984-4309-49EFF5493C53}"/>
            </a:ext>
          </a:extLst>
        </xdr:cNvPr>
        <xdr:cNvPicPr>
          <a:picLocks noChangeAspect="1"/>
        </xdr:cNvPicPr>
      </xdr:nvPicPr>
      <xdr:blipFill>
        <a:blip xmlns:r="http://schemas.openxmlformats.org/officeDocument/2006/relationships" r:embed="rId2"/>
        <a:stretch>
          <a:fillRect/>
        </a:stretch>
      </xdr:blipFill>
      <xdr:spPr>
        <a:xfrm>
          <a:off x="10701603" y="0"/>
          <a:ext cx="6379522" cy="61698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468630</xdr:colOff>
      <xdr:row>0</xdr:row>
      <xdr:rowOff>28575</xdr:rowOff>
    </xdr:from>
    <xdr:to>
      <xdr:col>11</xdr:col>
      <xdr:colOff>17941</xdr:colOff>
      <xdr:row>2</xdr:row>
      <xdr:rowOff>19050</xdr:rowOff>
    </xdr:to>
    <xdr:pic>
      <xdr:nvPicPr>
        <xdr:cNvPr id="2" name="Google Shape;57;p14">
          <a:extLst>
            <a:ext uri="{FF2B5EF4-FFF2-40B4-BE49-F238E27FC236}">
              <a16:creationId xmlns:a16="http://schemas.microsoft.com/office/drawing/2014/main" id="{A6ABF626-9D71-4F8D-8FA4-1870CAB94139}"/>
            </a:ext>
          </a:extLst>
        </xdr:cNvPr>
        <xdr:cNvPicPr preferRelativeResize="0"/>
      </xdr:nvPicPr>
      <xdr:blipFill>
        <a:blip xmlns:r="http://schemas.openxmlformats.org/officeDocument/2006/relationships" r:embed="rId1">
          <a:clrChange>
            <a:clrFrom>
              <a:srgbClr val="065393"/>
            </a:clrFrom>
            <a:clrTo>
              <a:srgbClr val="065393">
                <a:alpha val="0"/>
              </a:srgbClr>
            </a:clrTo>
          </a:clrChange>
          <a:alphaModFix/>
        </a:blip>
        <a:stretch>
          <a:fillRect/>
        </a:stretch>
      </xdr:blipFill>
      <xdr:spPr>
        <a:xfrm>
          <a:off x="11822430" y="28575"/>
          <a:ext cx="768511" cy="35052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769620</xdr:colOff>
      <xdr:row>0</xdr:row>
      <xdr:rowOff>0</xdr:rowOff>
    </xdr:from>
    <xdr:to>
      <xdr:col>16</xdr:col>
      <xdr:colOff>514035</xdr:colOff>
      <xdr:row>1</xdr:row>
      <xdr:rowOff>57150</xdr:rowOff>
    </xdr:to>
    <xdr:pic>
      <xdr:nvPicPr>
        <xdr:cNvPr id="3" name="Google Shape;57;p14">
          <a:extLst>
            <a:ext uri="{FF2B5EF4-FFF2-40B4-BE49-F238E27FC236}">
              <a16:creationId xmlns:a16="http://schemas.microsoft.com/office/drawing/2014/main" id="{3F6DD6A0-C3BA-4CC8-BF3B-9F71D885BEB1}"/>
            </a:ext>
          </a:extLst>
        </xdr:cNvPr>
        <xdr:cNvPicPr preferRelativeResize="0"/>
      </xdr:nvPicPr>
      <xdr:blipFill>
        <a:blip xmlns:r="http://schemas.openxmlformats.org/officeDocument/2006/relationships" r:embed="rId1">
          <a:clrChange>
            <a:clrFrom>
              <a:srgbClr val="065393"/>
            </a:clrFrom>
            <a:clrTo>
              <a:srgbClr val="065393">
                <a:alpha val="0"/>
              </a:srgbClr>
            </a:clrTo>
          </a:clrChange>
          <a:alphaModFix/>
        </a:blip>
        <a:stretch>
          <a:fillRect/>
        </a:stretch>
      </xdr:blipFill>
      <xdr:spPr>
        <a:xfrm>
          <a:off x="12456795" y="0"/>
          <a:ext cx="775335" cy="377190"/>
        </a:xfrm>
        <a:prstGeom prst="rect">
          <a:avLst/>
        </a:prstGeom>
        <a:noFill/>
        <a:ln>
          <a:noFill/>
        </a:ln>
      </xdr:spPr>
    </xdr:pic>
    <xdr:clientData/>
  </xdr:twoCellAnchor>
  <xdr:twoCellAnchor>
    <xdr:from>
      <xdr:col>0</xdr:col>
      <xdr:colOff>97321</xdr:colOff>
      <xdr:row>19</xdr:row>
      <xdr:rowOff>72934</xdr:rowOff>
    </xdr:from>
    <xdr:to>
      <xdr:col>4</xdr:col>
      <xdr:colOff>74543</xdr:colOff>
      <xdr:row>35</xdr:row>
      <xdr:rowOff>57025</xdr:rowOff>
    </xdr:to>
    <xdr:graphicFrame macro="">
      <xdr:nvGraphicFramePr>
        <xdr:cNvPr id="2" name="Gráfico 1">
          <a:extLst>
            <a:ext uri="{FF2B5EF4-FFF2-40B4-BE49-F238E27FC236}">
              <a16:creationId xmlns:a16="http://schemas.microsoft.com/office/drawing/2014/main" id="{363BCE68-0D0C-2C21-789A-0D9D3D62A35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696388</xdr:colOff>
      <xdr:row>30</xdr:row>
      <xdr:rowOff>47304</xdr:rowOff>
    </xdr:from>
    <xdr:to>
      <xdr:col>12</xdr:col>
      <xdr:colOff>506964</xdr:colOff>
      <xdr:row>50</xdr:row>
      <xdr:rowOff>6052</xdr:rowOff>
    </xdr:to>
    <xdr:graphicFrame macro="">
      <xdr:nvGraphicFramePr>
        <xdr:cNvPr id="4" name="Gráfico 3">
          <a:extLst>
            <a:ext uri="{FF2B5EF4-FFF2-40B4-BE49-F238E27FC236}">
              <a16:creationId xmlns:a16="http://schemas.microsoft.com/office/drawing/2014/main" id="{B7D034DC-5EFB-4715-B56A-EA3D9C894F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0</xdr:colOff>
      <xdr:row>0</xdr:row>
      <xdr:rowOff>24765</xdr:rowOff>
    </xdr:from>
    <xdr:to>
      <xdr:col>10</xdr:col>
      <xdr:colOff>777465</xdr:colOff>
      <xdr:row>1</xdr:row>
      <xdr:rowOff>55245</xdr:rowOff>
    </xdr:to>
    <xdr:pic>
      <xdr:nvPicPr>
        <xdr:cNvPr id="2" name="Google Shape;57;p14">
          <a:extLst>
            <a:ext uri="{FF2B5EF4-FFF2-40B4-BE49-F238E27FC236}">
              <a16:creationId xmlns:a16="http://schemas.microsoft.com/office/drawing/2014/main" id="{8CAE869C-1C12-4DB6-937E-CE02D7B351D3}"/>
            </a:ext>
          </a:extLst>
        </xdr:cNvPr>
        <xdr:cNvPicPr preferRelativeResize="0"/>
      </xdr:nvPicPr>
      <xdr:blipFill>
        <a:blip xmlns:r="http://schemas.openxmlformats.org/officeDocument/2006/relationships" r:embed="rId1">
          <a:clrChange>
            <a:clrFrom>
              <a:srgbClr val="065393"/>
            </a:clrFrom>
            <a:clrTo>
              <a:srgbClr val="065393">
                <a:alpha val="0"/>
              </a:srgbClr>
            </a:clrTo>
          </a:clrChange>
          <a:alphaModFix/>
        </a:blip>
        <a:stretch>
          <a:fillRect/>
        </a:stretch>
      </xdr:blipFill>
      <xdr:spPr>
        <a:xfrm>
          <a:off x="6084570" y="20955"/>
          <a:ext cx="773430" cy="367665"/>
        </a:xfrm>
        <a:prstGeom prst="rect">
          <a:avLst/>
        </a:prstGeom>
        <a:noFill/>
        <a:ln>
          <a:noFill/>
        </a:ln>
      </xdr:spPr>
    </xdr:pic>
    <xdr:clientData/>
  </xdr:twoCellAnchor>
  <xdr:twoCellAnchor>
    <xdr:from>
      <xdr:col>11</xdr:col>
      <xdr:colOff>267528</xdr:colOff>
      <xdr:row>3</xdr:row>
      <xdr:rowOff>7302</xdr:rowOff>
    </xdr:from>
    <xdr:to>
      <xdr:col>20</xdr:col>
      <xdr:colOff>554316</xdr:colOff>
      <xdr:row>25</xdr:row>
      <xdr:rowOff>190454</xdr:rowOff>
    </xdr:to>
    <xdr:graphicFrame macro="">
      <xdr:nvGraphicFramePr>
        <xdr:cNvPr id="3" name="Gráfico 2">
          <a:extLst>
            <a:ext uri="{FF2B5EF4-FFF2-40B4-BE49-F238E27FC236}">
              <a16:creationId xmlns:a16="http://schemas.microsoft.com/office/drawing/2014/main" id="{9CD04782-C512-7EF6-9F47-93973832B122}"/>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704850</xdr:colOff>
      <xdr:row>0</xdr:row>
      <xdr:rowOff>15240</xdr:rowOff>
    </xdr:from>
    <xdr:to>
      <xdr:col>10</xdr:col>
      <xdr:colOff>722598</xdr:colOff>
      <xdr:row>1</xdr:row>
      <xdr:rowOff>40640</xdr:rowOff>
    </xdr:to>
    <xdr:pic>
      <xdr:nvPicPr>
        <xdr:cNvPr id="2" name="Google Shape;57;p14">
          <a:extLst>
            <a:ext uri="{FF2B5EF4-FFF2-40B4-BE49-F238E27FC236}">
              <a16:creationId xmlns:a16="http://schemas.microsoft.com/office/drawing/2014/main" id="{35867A3D-4027-4166-99B4-5E58B185A3C1}"/>
            </a:ext>
          </a:extLst>
        </xdr:cNvPr>
        <xdr:cNvPicPr preferRelativeResize="0"/>
      </xdr:nvPicPr>
      <xdr:blipFill>
        <a:blip xmlns:r="http://schemas.openxmlformats.org/officeDocument/2006/relationships" r:embed="rId1">
          <a:clrChange>
            <a:clrFrom>
              <a:srgbClr val="065393"/>
            </a:clrFrom>
            <a:clrTo>
              <a:srgbClr val="065393">
                <a:alpha val="0"/>
              </a:srgbClr>
            </a:clrTo>
          </a:clrChange>
          <a:alphaModFix/>
        </a:blip>
        <a:stretch>
          <a:fillRect/>
        </a:stretch>
      </xdr:blipFill>
      <xdr:spPr>
        <a:xfrm>
          <a:off x="7343775" y="15240"/>
          <a:ext cx="781050" cy="361950"/>
        </a:xfrm>
        <a:prstGeom prst="rect">
          <a:avLst/>
        </a:prstGeom>
        <a:noFill/>
        <a:ln>
          <a:noFill/>
        </a:ln>
      </xdr:spPr>
    </xdr:pic>
    <xdr:clientData/>
  </xdr:twoCellAnchor>
  <xdr:twoCellAnchor>
    <xdr:from>
      <xdr:col>11</xdr:col>
      <xdr:colOff>464820</xdr:colOff>
      <xdr:row>2</xdr:row>
      <xdr:rowOff>38100</xdr:rowOff>
    </xdr:from>
    <xdr:to>
      <xdr:col>16</xdr:col>
      <xdr:colOff>53340</xdr:colOff>
      <xdr:row>16</xdr:row>
      <xdr:rowOff>0</xdr:rowOff>
    </xdr:to>
    <xdr:graphicFrame macro="">
      <xdr:nvGraphicFramePr>
        <xdr:cNvPr id="6" name="Gráfico 5">
          <a:extLst>
            <a:ext uri="{FF2B5EF4-FFF2-40B4-BE49-F238E27FC236}">
              <a16:creationId xmlns:a16="http://schemas.microsoft.com/office/drawing/2014/main" id="{B03675E5-F407-9CD3-814A-CC7210BC2EA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342900</xdr:colOff>
      <xdr:row>15</xdr:row>
      <xdr:rowOff>76200</xdr:rowOff>
    </xdr:from>
    <xdr:to>
      <xdr:col>16</xdr:col>
      <xdr:colOff>38100</xdr:colOff>
      <xdr:row>26</xdr:row>
      <xdr:rowOff>160020</xdr:rowOff>
    </xdr:to>
    <xdr:graphicFrame macro="">
      <xdr:nvGraphicFramePr>
        <xdr:cNvPr id="7" name="Gráfico 6">
          <a:extLst>
            <a:ext uri="{FF2B5EF4-FFF2-40B4-BE49-F238E27FC236}">
              <a16:creationId xmlns:a16="http://schemas.microsoft.com/office/drawing/2014/main" id="{E90204B4-8321-4CC7-AA9E-B58CDB6894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586161</xdr:colOff>
      <xdr:row>27</xdr:row>
      <xdr:rowOff>182217</xdr:rowOff>
    </xdr:from>
    <xdr:to>
      <xdr:col>16</xdr:col>
      <xdr:colOff>418161</xdr:colOff>
      <xdr:row>42</xdr:row>
      <xdr:rowOff>166617</xdr:rowOff>
    </xdr:to>
    <xdr:graphicFrame macro="">
      <xdr:nvGraphicFramePr>
        <xdr:cNvPr id="3" name="Gráfico 2">
          <a:extLst>
            <a:ext uri="{FF2B5EF4-FFF2-40B4-BE49-F238E27FC236}">
              <a16:creationId xmlns:a16="http://schemas.microsoft.com/office/drawing/2014/main" id="{5161BAD5-8BE7-45A9-A5BD-D8B0612561A3}"/>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82827</xdr:colOff>
      <xdr:row>42</xdr:row>
      <xdr:rowOff>33130</xdr:rowOff>
    </xdr:from>
    <xdr:to>
      <xdr:col>16</xdr:col>
      <xdr:colOff>381250</xdr:colOff>
      <xdr:row>55</xdr:row>
      <xdr:rowOff>164244</xdr:rowOff>
    </xdr:to>
    <xdr:graphicFrame macro="">
      <xdr:nvGraphicFramePr>
        <xdr:cNvPr id="4" name="Gráfico 3">
          <a:extLst>
            <a:ext uri="{FF2B5EF4-FFF2-40B4-BE49-F238E27FC236}">
              <a16:creationId xmlns:a16="http://schemas.microsoft.com/office/drawing/2014/main" id="{AEDC88F0-6D0E-4CBD-81AF-A2BDBCBA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8.xml><?xml version="1.0" encoding="utf-8"?>
<xdr:wsDr xmlns:xdr="http://schemas.openxmlformats.org/drawingml/2006/spreadsheetDrawing" xmlns:a="http://schemas.openxmlformats.org/drawingml/2006/main">
  <xdr:oneCellAnchor>
    <xdr:from>
      <xdr:col>15</xdr:col>
      <xdr:colOff>852281</xdr:colOff>
      <xdr:row>0</xdr:row>
      <xdr:rowOff>0</xdr:rowOff>
    </xdr:from>
    <xdr:ext cx="778068" cy="383485"/>
    <xdr:pic>
      <xdr:nvPicPr>
        <xdr:cNvPr id="3" name="Google Shape;57;p14">
          <a:extLst>
            <a:ext uri="{FF2B5EF4-FFF2-40B4-BE49-F238E27FC236}">
              <a16:creationId xmlns:a16="http://schemas.microsoft.com/office/drawing/2014/main" id="{B540FFDD-043F-4DB3-A7BA-B116C1EBFC91}"/>
            </a:ext>
          </a:extLst>
        </xdr:cNvPr>
        <xdr:cNvPicPr preferRelativeResize="0"/>
      </xdr:nvPicPr>
      <xdr:blipFill>
        <a:blip xmlns:r="http://schemas.openxmlformats.org/officeDocument/2006/relationships" r:embed="rId1">
          <a:clrChange>
            <a:clrFrom>
              <a:srgbClr val="065393"/>
            </a:clrFrom>
            <a:clrTo>
              <a:srgbClr val="065393">
                <a:alpha val="0"/>
              </a:srgbClr>
            </a:clrTo>
          </a:clrChange>
          <a:alphaModFix/>
        </a:blip>
        <a:stretch>
          <a:fillRect/>
        </a:stretch>
      </xdr:blipFill>
      <xdr:spPr>
        <a:xfrm>
          <a:off x="13897390" y="0"/>
          <a:ext cx="778068" cy="383485"/>
        </a:xfrm>
        <a:prstGeom prst="rect">
          <a:avLst/>
        </a:prstGeom>
        <a:noFill/>
        <a:ln>
          <a:noFill/>
        </a:ln>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11</xdr:col>
      <xdr:colOff>769620</xdr:colOff>
      <xdr:row>0</xdr:row>
      <xdr:rowOff>0</xdr:rowOff>
    </xdr:from>
    <xdr:to>
      <xdr:col>12</xdr:col>
      <xdr:colOff>592455</xdr:colOff>
      <xdr:row>1</xdr:row>
      <xdr:rowOff>53340</xdr:rowOff>
    </xdr:to>
    <xdr:pic>
      <xdr:nvPicPr>
        <xdr:cNvPr id="2" name="Google Shape;57;p14">
          <a:extLst>
            <a:ext uri="{FF2B5EF4-FFF2-40B4-BE49-F238E27FC236}">
              <a16:creationId xmlns:a16="http://schemas.microsoft.com/office/drawing/2014/main" id="{4665B288-A508-4D82-80C0-A59A4240909A}"/>
            </a:ext>
          </a:extLst>
        </xdr:cNvPr>
        <xdr:cNvPicPr preferRelativeResize="0"/>
      </xdr:nvPicPr>
      <xdr:blipFill>
        <a:blip xmlns:r="http://schemas.openxmlformats.org/officeDocument/2006/relationships" r:embed="rId1">
          <a:clrChange>
            <a:clrFrom>
              <a:srgbClr val="065393"/>
            </a:clrFrom>
            <a:clrTo>
              <a:srgbClr val="065393">
                <a:alpha val="0"/>
              </a:srgbClr>
            </a:clrTo>
          </a:clrChange>
          <a:alphaModFix/>
        </a:blip>
        <a:stretch>
          <a:fillRect/>
        </a:stretch>
      </xdr:blipFill>
      <xdr:spPr>
        <a:xfrm>
          <a:off x="13091160" y="0"/>
          <a:ext cx="771525" cy="377190"/>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ibge.gov.br/geociencias/cartas-e-mapas/mapas-regionais/15819-amazonia-legal.html?=&amp;t=acesso-ao-produto" TargetMode="External"/><Relationship Id="rId1" Type="http://schemas.openxmlformats.org/officeDocument/2006/relationships/hyperlink" Target="http://meioambiente.am.gov.br/unidade-de-conservacao/" TargetMode="External"/><Relationship Id="rId5" Type="http://schemas.openxmlformats.org/officeDocument/2006/relationships/vmlDrawing" Target="../drawings/vmlDrawing6.vml"/><Relationship Id="rId4"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ibge.gov.br/geociencias/cartas-e-mapas/mapas-regionais/15819-amazonia-legal.html?=&amp;t=acesso-ao-produto"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914AA-A40D-465C-86AC-433276A81B2E}">
  <sheetPr codeName="Planilha1">
    <tabColor theme="1"/>
  </sheetPr>
  <dimension ref="A1:M31"/>
  <sheetViews>
    <sheetView showGridLines="0" topLeftCell="A24" zoomScaleNormal="100" workbookViewId="0">
      <selection activeCell="E15" sqref="E15"/>
    </sheetView>
  </sheetViews>
  <sheetFormatPr defaultColWidth="8.90625" defaultRowHeight="14.5" x14ac:dyDescent="0.35"/>
  <cols>
    <col min="1" max="1" width="22.36328125" bestFit="1" customWidth="1"/>
    <col min="2" max="3" width="10.54296875" bestFit="1" customWidth="1"/>
    <col min="4" max="4" width="3.453125" customWidth="1"/>
    <col min="5" max="5" width="3.6328125" bestFit="1" customWidth="1"/>
    <col min="6" max="6" width="16.36328125" bestFit="1" customWidth="1"/>
    <col min="7" max="7" width="12.54296875" bestFit="1" customWidth="1"/>
    <col min="8" max="8" width="11.36328125" bestFit="1" customWidth="1"/>
    <col min="11" max="11" width="26.90625" bestFit="1" customWidth="1"/>
    <col min="12" max="12" width="8.36328125" bestFit="1" customWidth="1"/>
    <col min="13" max="13" width="10.6328125" bestFit="1" customWidth="1"/>
  </cols>
  <sheetData>
    <row r="1" spans="1:13" ht="25.25" customHeight="1" x14ac:dyDescent="0.35">
      <c r="A1" s="40" t="s">
        <v>0</v>
      </c>
      <c r="B1" s="407" t="str">
        <f>Projeto</f>
        <v>FLORESTAL SANTA MARIA - CARAGUA AGRONEGÓCIOS LTDA</v>
      </c>
      <c r="C1" s="407"/>
      <c r="D1" s="407"/>
      <c r="E1" s="407"/>
      <c r="F1" s="407"/>
      <c r="G1" s="407"/>
      <c r="H1" s="407"/>
      <c r="I1" s="407"/>
      <c r="J1" s="407"/>
      <c r="K1" s="407"/>
      <c r="L1" s="41"/>
      <c r="M1" s="41"/>
    </row>
    <row r="2" spans="1:13" x14ac:dyDescent="0.35">
      <c r="A2" s="391" t="s">
        <v>1</v>
      </c>
      <c r="B2" s="391"/>
      <c r="C2" s="391"/>
      <c r="D2" s="391"/>
      <c r="E2" s="391"/>
      <c r="F2" s="391"/>
      <c r="G2" s="391"/>
      <c r="H2" s="391"/>
      <c r="I2" s="391"/>
      <c r="J2" s="391"/>
      <c r="K2" s="391"/>
      <c r="L2" s="391"/>
      <c r="M2" s="391"/>
    </row>
    <row r="4" spans="1:13" x14ac:dyDescent="0.35">
      <c r="A4" s="391" t="s">
        <v>2</v>
      </c>
      <c r="B4" s="391"/>
      <c r="C4" s="391"/>
      <c r="F4" s="38" t="s">
        <v>3</v>
      </c>
      <c r="G4" s="38" t="s">
        <v>4</v>
      </c>
      <c r="H4" s="38" t="s">
        <v>5</v>
      </c>
      <c r="K4" s="38" t="s">
        <v>6</v>
      </c>
      <c r="L4" s="38" t="s">
        <v>7</v>
      </c>
      <c r="M4" s="38" t="s">
        <v>8</v>
      </c>
    </row>
    <row r="5" spans="1:13" x14ac:dyDescent="0.35">
      <c r="A5" s="5" t="s">
        <v>9</v>
      </c>
      <c r="B5" s="392" t="s">
        <v>10</v>
      </c>
      <c r="C5" s="392"/>
      <c r="F5" s="7" t="s">
        <v>11</v>
      </c>
      <c r="G5" s="7" t="s">
        <v>12</v>
      </c>
      <c r="H5" s="7" t="s">
        <v>13</v>
      </c>
      <c r="I5" s="8"/>
      <c r="J5" s="8"/>
      <c r="K5" s="8" t="s">
        <v>14</v>
      </c>
      <c r="L5" s="8" t="s">
        <v>15</v>
      </c>
      <c r="M5" s="8"/>
    </row>
    <row r="6" spans="1:13" x14ac:dyDescent="0.35">
      <c r="A6" s="5" t="s">
        <v>16</v>
      </c>
      <c r="B6" s="395">
        <v>875</v>
      </c>
      <c r="C6" s="395"/>
      <c r="F6" s="401" t="s">
        <v>17</v>
      </c>
      <c r="G6" s="9" t="s">
        <v>18</v>
      </c>
      <c r="H6" s="9" t="s">
        <v>13</v>
      </c>
      <c r="I6" s="8"/>
      <c r="J6" s="8"/>
      <c r="K6" s="8" t="s">
        <v>19</v>
      </c>
      <c r="L6" s="8" t="s">
        <v>15</v>
      </c>
      <c r="M6" s="8"/>
    </row>
    <row r="7" spans="1:13" x14ac:dyDescent="0.35">
      <c r="A7" s="5" t="s">
        <v>20</v>
      </c>
      <c r="B7" s="406">
        <v>39916</v>
      </c>
      <c r="C7" s="395"/>
      <c r="F7" s="402"/>
      <c r="G7" s="7" t="s">
        <v>21</v>
      </c>
      <c r="H7" s="7" t="s">
        <v>13</v>
      </c>
      <c r="I7" s="8"/>
      <c r="J7" s="8"/>
      <c r="K7" s="8" t="s">
        <v>22</v>
      </c>
      <c r="L7" s="8" t="s">
        <v>15</v>
      </c>
      <c r="M7" s="8"/>
    </row>
    <row r="8" spans="1:13" x14ac:dyDescent="0.35">
      <c r="A8" s="5" t="s">
        <v>23</v>
      </c>
      <c r="B8" s="7">
        <v>2009</v>
      </c>
      <c r="C8" s="7">
        <v>2019</v>
      </c>
      <c r="F8" s="402"/>
      <c r="G8" s="7" t="s">
        <v>24</v>
      </c>
      <c r="H8" s="7" t="s">
        <v>13</v>
      </c>
      <c r="I8" s="8"/>
      <c r="J8" s="8"/>
      <c r="K8" s="8" t="s">
        <v>25</v>
      </c>
      <c r="L8" s="8" t="s">
        <v>26</v>
      </c>
      <c r="M8" s="8"/>
    </row>
    <row r="9" spans="1:13" x14ac:dyDescent="0.35">
      <c r="A9" s="5" t="s">
        <v>27</v>
      </c>
      <c r="B9" s="7">
        <v>2019</v>
      </c>
      <c r="C9" s="7">
        <v>2025</v>
      </c>
      <c r="F9" s="402"/>
      <c r="G9" s="7" t="s">
        <v>28</v>
      </c>
      <c r="H9" s="7" t="s">
        <v>29</v>
      </c>
      <c r="I9" s="8"/>
      <c r="J9" s="8"/>
      <c r="K9" s="8" t="s">
        <v>30</v>
      </c>
      <c r="L9" s="8" t="s">
        <v>26</v>
      </c>
      <c r="M9" s="8"/>
    </row>
    <row r="10" spans="1:13" x14ac:dyDescent="0.35">
      <c r="A10" s="5" t="s">
        <v>31</v>
      </c>
      <c r="B10" s="395">
        <f>713179800/10000</f>
        <v>71317.98</v>
      </c>
      <c r="C10" s="395"/>
      <c r="F10" s="402"/>
      <c r="G10" s="7" t="s">
        <v>32</v>
      </c>
      <c r="H10" s="7" t="s">
        <v>33</v>
      </c>
      <c r="I10" s="8"/>
      <c r="J10" s="8"/>
      <c r="K10" s="8" t="s">
        <v>34</v>
      </c>
      <c r="L10" s="8" t="s">
        <v>26</v>
      </c>
      <c r="M10" s="8"/>
    </row>
    <row r="11" spans="1:13" x14ac:dyDescent="0.35">
      <c r="A11" s="5" t="s">
        <v>35</v>
      </c>
      <c r="B11" s="188">
        <v>39916</v>
      </c>
      <c r="C11" s="188">
        <v>50873</v>
      </c>
      <c r="F11" s="402"/>
      <c r="G11" s="7" t="s">
        <v>36</v>
      </c>
      <c r="H11" s="7" t="s">
        <v>33</v>
      </c>
      <c r="I11" s="8"/>
      <c r="J11" s="8"/>
      <c r="K11" s="8" t="s">
        <v>37</v>
      </c>
      <c r="L11" s="8" t="s">
        <v>15</v>
      </c>
      <c r="M11" s="8"/>
    </row>
    <row r="12" spans="1:13" x14ac:dyDescent="0.35">
      <c r="A12" s="5" t="s">
        <v>38</v>
      </c>
      <c r="B12" s="395" t="s">
        <v>39</v>
      </c>
      <c r="C12" s="395"/>
      <c r="F12" s="402"/>
      <c r="G12" s="7" t="s">
        <v>40</v>
      </c>
      <c r="H12" s="7" t="s">
        <v>41</v>
      </c>
      <c r="I12" s="8"/>
      <c r="J12" s="8"/>
      <c r="K12" s="8"/>
      <c r="L12" s="8"/>
      <c r="M12" s="8"/>
    </row>
    <row r="13" spans="1:13" x14ac:dyDescent="0.35">
      <c r="A13" s="5" t="s">
        <v>42</v>
      </c>
      <c r="B13" s="395"/>
      <c r="C13" s="395"/>
      <c r="F13" s="402"/>
      <c r="G13" s="7" t="s">
        <v>43</v>
      </c>
      <c r="H13" s="7" t="s">
        <v>44</v>
      </c>
      <c r="I13" s="8"/>
      <c r="J13" s="8"/>
      <c r="K13" s="39" t="s">
        <v>45</v>
      </c>
      <c r="M13" s="8"/>
    </row>
    <row r="14" spans="1:13" x14ac:dyDescent="0.35">
      <c r="A14" s="5" t="s">
        <v>46</v>
      </c>
      <c r="B14" s="395"/>
      <c r="C14" s="395"/>
      <c r="F14" s="402"/>
      <c r="G14" s="7" t="s">
        <v>47</v>
      </c>
      <c r="H14" s="7" t="s">
        <v>33</v>
      </c>
      <c r="I14" s="8"/>
      <c r="J14" s="8"/>
      <c r="K14" s="36" t="s">
        <v>15</v>
      </c>
      <c r="M14" s="8"/>
    </row>
    <row r="15" spans="1:13" x14ac:dyDescent="0.35">
      <c r="A15" s="6" t="s">
        <v>48</v>
      </c>
      <c r="B15" s="390" t="s">
        <v>49</v>
      </c>
      <c r="C15" s="390"/>
      <c r="F15" s="402"/>
      <c r="G15" s="7" t="s">
        <v>50</v>
      </c>
      <c r="H15" s="7" t="s">
        <v>13</v>
      </c>
      <c r="I15" s="8"/>
      <c r="J15" s="8"/>
      <c r="K15" s="36" t="s">
        <v>26</v>
      </c>
      <c r="M15" s="8"/>
    </row>
    <row r="16" spans="1:13" ht="15" customHeight="1" x14ac:dyDescent="0.35">
      <c r="F16" s="403"/>
      <c r="G16" s="10" t="s">
        <v>51</v>
      </c>
      <c r="H16" s="10" t="s">
        <v>13</v>
      </c>
      <c r="I16" s="8"/>
      <c r="J16" s="8"/>
      <c r="K16" s="37" t="s">
        <v>52</v>
      </c>
      <c r="M16" s="8"/>
    </row>
    <row r="17" spans="5:13" x14ac:dyDescent="0.35">
      <c r="F17" s="401" t="s">
        <v>53</v>
      </c>
      <c r="G17" s="9" t="s">
        <v>54</v>
      </c>
      <c r="H17" s="9" t="s">
        <v>13</v>
      </c>
      <c r="I17" s="8"/>
      <c r="J17" s="8"/>
      <c r="K17" s="8"/>
      <c r="L17" s="8"/>
      <c r="M17" s="8"/>
    </row>
    <row r="18" spans="5:13" x14ac:dyDescent="0.35">
      <c r="F18" s="402"/>
      <c r="G18" s="7" t="s">
        <v>40</v>
      </c>
      <c r="H18" s="7" t="s">
        <v>41</v>
      </c>
      <c r="I18" s="8"/>
      <c r="J18" s="8"/>
      <c r="K18" s="8"/>
      <c r="L18" s="8"/>
      <c r="M18" s="8"/>
    </row>
    <row r="19" spans="5:13" x14ac:dyDescent="0.35">
      <c r="F19" s="402"/>
      <c r="G19" s="7" t="s">
        <v>12</v>
      </c>
      <c r="H19" s="7" t="s">
        <v>13</v>
      </c>
      <c r="I19" s="8"/>
      <c r="J19" s="8"/>
      <c r="K19" s="8"/>
      <c r="L19" s="8"/>
      <c r="M19" s="8"/>
    </row>
    <row r="20" spans="5:13" x14ac:dyDescent="0.35">
      <c r="F20" s="402"/>
      <c r="G20" s="7" t="s">
        <v>55</v>
      </c>
      <c r="H20" s="7" t="s">
        <v>13</v>
      </c>
      <c r="I20" s="8"/>
      <c r="J20" s="8"/>
      <c r="K20" s="8"/>
      <c r="L20" s="8"/>
      <c r="M20" s="8"/>
    </row>
    <row r="21" spans="5:13" x14ac:dyDescent="0.35">
      <c r="F21" s="403"/>
      <c r="G21" s="10" t="s">
        <v>21</v>
      </c>
      <c r="H21" s="10" t="s">
        <v>13</v>
      </c>
      <c r="I21" s="8"/>
      <c r="J21" s="8"/>
      <c r="K21" s="8"/>
      <c r="L21" s="8"/>
      <c r="M21" s="8"/>
    </row>
    <row r="22" spans="5:13" x14ac:dyDescent="0.35">
      <c r="F22" s="402" t="s">
        <v>56</v>
      </c>
      <c r="G22" s="7" t="s">
        <v>18</v>
      </c>
      <c r="H22" s="7" t="s">
        <v>13</v>
      </c>
      <c r="I22" s="8"/>
      <c r="J22" s="8"/>
      <c r="K22" s="8"/>
      <c r="L22" s="8"/>
      <c r="M22" s="8"/>
    </row>
    <row r="23" spans="5:13" x14ac:dyDescent="0.35">
      <c r="F23" s="402"/>
      <c r="G23" s="7" t="s">
        <v>51</v>
      </c>
      <c r="H23" s="7" t="s">
        <v>13</v>
      </c>
      <c r="I23" s="8"/>
      <c r="J23" s="8"/>
      <c r="K23" s="8"/>
      <c r="L23" s="8"/>
      <c r="M23" s="8"/>
    </row>
    <row r="24" spans="5:13" x14ac:dyDescent="0.35">
      <c r="F24" s="402"/>
      <c r="G24" s="7" t="s">
        <v>57</v>
      </c>
      <c r="H24" s="7" t="s">
        <v>41</v>
      </c>
      <c r="I24" s="8"/>
      <c r="J24" s="8"/>
      <c r="K24" s="8"/>
      <c r="L24" s="8"/>
      <c r="M24" s="8"/>
    </row>
    <row r="26" spans="5:13" x14ac:dyDescent="0.35">
      <c r="E26" s="398" t="s">
        <v>45</v>
      </c>
      <c r="F26" s="399"/>
      <c r="G26" s="399"/>
      <c r="H26" s="399"/>
      <c r="I26" s="399"/>
      <c r="J26" s="400"/>
    </row>
    <row r="27" spans="5:13" x14ac:dyDescent="0.35">
      <c r="E27" s="31" t="s">
        <v>13</v>
      </c>
      <c r="F27" s="404" t="s">
        <v>58</v>
      </c>
      <c r="G27" s="404"/>
      <c r="H27" s="404"/>
      <c r="I27" s="404"/>
      <c r="J27" s="405"/>
    </row>
    <row r="28" spans="5:13" ht="22.25" customHeight="1" x14ac:dyDescent="0.35">
      <c r="E28" s="32" t="s">
        <v>41</v>
      </c>
      <c r="F28" s="393" t="s">
        <v>59</v>
      </c>
      <c r="G28" s="393"/>
      <c r="H28" s="393"/>
      <c r="I28" s="393"/>
      <c r="J28" s="394"/>
    </row>
    <row r="29" spans="5:13" ht="34.25" customHeight="1" x14ac:dyDescent="0.35">
      <c r="E29" s="33" t="s">
        <v>29</v>
      </c>
      <c r="F29" s="393" t="s">
        <v>60</v>
      </c>
      <c r="G29" s="393"/>
      <c r="H29" s="393"/>
      <c r="I29" s="393"/>
      <c r="J29" s="394"/>
    </row>
    <row r="30" spans="5:13" ht="23.4" customHeight="1" x14ac:dyDescent="0.35">
      <c r="E30" s="34" t="s">
        <v>44</v>
      </c>
      <c r="F30" s="393" t="s">
        <v>61</v>
      </c>
      <c r="G30" s="393"/>
      <c r="H30" s="393"/>
      <c r="I30" s="393"/>
      <c r="J30" s="394"/>
    </row>
    <row r="31" spans="5:13" ht="34.25" customHeight="1" x14ac:dyDescent="0.35">
      <c r="E31" s="35" t="s">
        <v>33</v>
      </c>
      <c r="F31" s="396" t="s">
        <v>62</v>
      </c>
      <c r="G31" s="396"/>
      <c r="H31" s="396"/>
      <c r="I31" s="396"/>
      <c r="J31" s="397"/>
    </row>
  </sheetData>
  <mergeCells count="20">
    <mergeCell ref="B1:K1"/>
    <mergeCell ref="F30:J30"/>
    <mergeCell ref="F31:J31"/>
    <mergeCell ref="E26:J26"/>
    <mergeCell ref="F6:F16"/>
    <mergeCell ref="F17:F21"/>
    <mergeCell ref="F22:F24"/>
    <mergeCell ref="F27:J27"/>
    <mergeCell ref="F28:J28"/>
    <mergeCell ref="B15:C15"/>
    <mergeCell ref="A4:C4"/>
    <mergeCell ref="B5:C5"/>
    <mergeCell ref="A2:M2"/>
    <mergeCell ref="F29:J29"/>
    <mergeCell ref="B14:C14"/>
    <mergeCell ref="B6:C6"/>
    <mergeCell ref="B7:C7"/>
    <mergeCell ref="B10:C10"/>
    <mergeCell ref="B12:C12"/>
    <mergeCell ref="B13:C13"/>
  </mergeCells>
  <conditionalFormatting sqref="H5:H24 E27:E31">
    <cfRule type="cellIs" dxfId="7" priority="7" operator="equal">
      <formula>"O"</formula>
    </cfRule>
    <cfRule type="cellIs" dxfId="6" priority="8" operator="equal">
      <formula>"M4"</formula>
    </cfRule>
    <cfRule type="cellIs" dxfId="5" priority="9" operator="equal">
      <formula>"M1"</formula>
    </cfRule>
    <cfRule type="cellIs" dxfId="4" priority="10" operator="equal">
      <formula>"M3"</formula>
    </cfRule>
  </conditionalFormatting>
  <conditionalFormatting sqref="H5:H24">
    <cfRule type="cellIs" dxfId="3" priority="11" operator="equal">
      <formula>"M"</formula>
    </cfRule>
  </conditionalFormatting>
  <conditionalFormatting sqref="L5:L11 K14:K16">
    <cfRule type="cellIs" dxfId="2" priority="1" operator="equal">
      <formula>$K$16</formula>
    </cfRule>
    <cfRule type="cellIs" dxfId="1" priority="2" operator="equal">
      <formula>$K$15</formula>
    </cfRule>
    <cfRule type="cellIs" dxfId="0" priority="3" operator="equal">
      <formula>$K$14</formula>
    </cfRule>
  </conditionalFormatting>
  <dataValidations count="2">
    <dataValidation type="list" allowBlank="1" showInputMessage="1" showErrorMessage="1" sqref="H5:H24" xr:uid="{5F8CF671-22E5-4011-A32C-2A08BCDAB5F2}">
      <formula1>$E$27:$E$31</formula1>
    </dataValidation>
    <dataValidation type="list" allowBlank="1" showInputMessage="1" showErrorMessage="1" sqref="L5:L11" xr:uid="{FB9AFA01-B321-4D30-92A0-C9B1100BEB7A}">
      <formula1>$K$14:$K$16</formula1>
    </dataValidation>
  </dataValidations>
  <pageMargins left="0.511811024" right="0.511811024" top="0.78740157499999996" bottom="0.78740157499999996" header="0.31496062000000002" footer="0.31496062000000002"/>
  <pageSetup paperSize="9" orientation="portrait" r:id="rId1"/>
  <headerFooter>
    <oddHeader>&amp;L&amp;G</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25322-629A-4782-BB99-39945BEBB0CD}">
  <sheetPr>
    <tabColor theme="5"/>
  </sheetPr>
  <dimension ref="A1:O31"/>
  <sheetViews>
    <sheetView showGridLines="0" zoomScale="70" zoomScaleNormal="70" workbookViewId="0">
      <selection activeCell="J3" sqref="J3"/>
    </sheetView>
  </sheetViews>
  <sheetFormatPr defaultColWidth="8.90625" defaultRowHeight="14.5" x14ac:dyDescent="0.35"/>
  <cols>
    <col min="1" max="1" width="10.453125" customWidth="1"/>
    <col min="2" max="2" width="26" bestFit="1" customWidth="1"/>
    <col min="3" max="3" width="16" style="46" bestFit="1" customWidth="1"/>
    <col min="4" max="4" width="11.36328125" bestFit="1" customWidth="1"/>
    <col min="5" max="5" width="13.08984375" customWidth="1"/>
    <col min="6" max="6" width="13.90625" bestFit="1" customWidth="1"/>
    <col min="7" max="7" width="15.6328125" bestFit="1" customWidth="1"/>
    <col min="8" max="10" width="13.90625" bestFit="1" customWidth="1"/>
    <col min="11" max="11" width="12.08984375" bestFit="1" customWidth="1"/>
  </cols>
  <sheetData>
    <row r="1" spans="1:15" ht="25.25" customHeight="1" x14ac:dyDescent="0.35">
      <c r="A1" s="40" t="s">
        <v>0</v>
      </c>
      <c r="B1" s="40"/>
      <c r="C1" s="407" t="str">
        <f>Projeto</f>
        <v>FLORESTAL SANTA MARIA - CARAGUA AGRONEGÓCIOS LTDA</v>
      </c>
      <c r="D1" s="407"/>
      <c r="E1" s="407"/>
      <c r="F1" s="407"/>
      <c r="G1" s="407"/>
      <c r="H1" s="407"/>
      <c r="I1" s="407"/>
      <c r="J1" s="407"/>
      <c r="K1" s="41"/>
    </row>
    <row r="2" spans="1:15" x14ac:dyDescent="0.35">
      <c r="A2" s="407" t="s">
        <v>417</v>
      </c>
      <c r="B2" s="407"/>
      <c r="C2" s="407"/>
      <c r="D2" s="407"/>
      <c r="E2" s="407"/>
      <c r="F2" s="407"/>
      <c r="G2" s="407"/>
      <c r="H2" s="407"/>
      <c r="I2" s="407"/>
      <c r="J2" s="407"/>
      <c r="K2" s="407"/>
    </row>
    <row r="3" spans="1:15" x14ac:dyDescent="0.35">
      <c r="D3">
        <v>1</v>
      </c>
      <c r="E3">
        <v>2</v>
      </c>
      <c r="F3">
        <v>3</v>
      </c>
      <c r="G3">
        <v>4</v>
      </c>
      <c r="H3">
        <v>5</v>
      </c>
      <c r="I3">
        <v>6</v>
      </c>
    </row>
    <row r="4" spans="1:15" x14ac:dyDescent="0.35">
      <c r="B4" s="421" t="s">
        <v>67</v>
      </c>
      <c r="C4" s="421" t="s">
        <v>69</v>
      </c>
      <c r="D4" s="421" t="s">
        <v>216</v>
      </c>
      <c r="E4" s="421"/>
      <c r="F4" s="421"/>
      <c r="G4" s="421"/>
      <c r="H4" s="421"/>
      <c r="I4" s="421"/>
      <c r="J4" s="421" t="s">
        <v>217</v>
      </c>
      <c r="O4" s="24"/>
    </row>
    <row r="5" spans="1:15" x14ac:dyDescent="0.35">
      <c r="B5" s="421"/>
      <c r="C5" s="421"/>
      <c r="D5" s="380">
        <f>Overview!C9</f>
        <v>2025</v>
      </c>
      <c r="E5" s="380">
        <f>D5+1</f>
        <v>2026</v>
      </c>
      <c r="F5" s="380">
        <f t="shared" ref="F5:I5" si="0">E5+1</f>
        <v>2027</v>
      </c>
      <c r="G5" s="380">
        <f t="shared" si="0"/>
        <v>2028</v>
      </c>
      <c r="H5" s="380">
        <f t="shared" si="0"/>
        <v>2029</v>
      </c>
      <c r="I5" s="380">
        <f t="shared" si="0"/>
        <v>2030</v>
      </c>
      <c r="J5" s="421"/>
    </row>
    <row r="6" spans="1:15" x14ac:dyDescent="0.35">
      <c r="A6" s="449" t="s">
        <v>17</v>
      </c>
      <c r="B6" s="63" t="s">
        <v>90</v>
      </c>
      <c r="C6" s="16" t="s">
        <v>293</v>
      </c>
      <c r="D6" s="154">
        <f>Deforestation!D25*Biomass!$C$18</f>
        <v>0</v>
      </c>
      <c r="E6" s="154">
        <f>Deforestation!E25*Biomass!$C$18</f>
        <v>11589.412291768811</v>
      </c>
      <c r="F6" s="154">
        <f>Deforestation!F25*Biomass!$C$18</f>
        <v>50081.323152517209</v>
      </c>
      <c r="G6" s="154">
        <f>Deforestation!G25*Biomass!$C$18</f>
        <v>37320.417921508226</v>
      </c>
      <c r="H6" s="154">
        <f>Deforestation!H25*Biomass!$C$18</f>
        <v>60039.013136058638</v>
      </c>
      <c r="I6" s="154">
        <f>Deforestation!I25*Biomass!$C$18</f>
        <v>82924.964484786207</v>
      </c>
      <c r="J6" s="98">
        <f>SUM(D6:I6)</f>
        <v>241955.13098663909</v>
      </c>
    </row>
    <row r="7" spans="1:15" x14ac:dyDescent="0.35">
      <c r="A7" s="450"/>
      <c r="B7" s="147" t="s">
        <v>301</v>
      </c>
      <c r="C7" s="148" t="s">
        <v>295</v>
      </c>
      <c r="D7" s="149">
        <f>D6</f>
        <v>0</v>
      </c>
      <c r="E7" s="149">
        <f>E6+D7</f>
        <v>11589.412291768811</v>
      </c>
      <c r="F7" s="149">
        <f t="shared" ref="F7:I7" si="1">F6+E7</f>
        <v>61670.735444286023</v>
      </c>
      <c r="G7" s="149">
        <f t="shared" si="1"/>
        <v>98991.153365794249</v>
      </c>
      <c r="H7" s="149">
        <f t="shared" si="1"/>
        <v>159030.16650185289</v>
      </c>
      <c r="I7" s="149">
        <f t="shared" si="1"/>
        <v>241955.13098663909</v>
      </c>
      <c r="J7" s="150"/>
    </row>
    <row r="8" spans="1:15" ht="14.4" customHeight="1" x14ac:dyDescent="0.45">
      <c r="B8" s="5" t="s">
        <v>418</v>
      </c>
      <c r="C8" s="16" t="s">
        <v>126</v>
      </c>
      <c r="D8" s="91">
        <f>Deforestation!D25</f>
        <v>0</v>
      </c>
      <c r="E8" s="91">
        <f>Deforestation!E25</f>
        <v>24.93</v>
      </c>
      <c r="F8" s="91">
        <f>Deforestation!F25</f>
        <v>107.73</v>
      </c>
      <c r="G8" s="91">
        <f>Deforestation!G25</f>
        <v>80.28</v>
      </c>
      <c r="H8" s="91">
        <f>Deforestation!H25</f>
        <v>129.15</v>
      </c>
      <c r="I8" s="91">
        <f>Deforestation!I25</f>
        <v>178.38</v>
      </c>
      <c r="J8" s="93">
        <f>SUM(D8:I8)</f>
        <v>520.47</v>
      </c>
    </row>
    <row r="9" spans="1:15" ht="16.5" x14ac:dyDescent="0.45">
      <c r="B9" s="5" t="s">
        <v>419</v>
      </c>
      <c r="C9" s="16" t="s">
        <v>126</v>
      </c>
      <c r="D9" s="91">
        <f>D8</f>
        <v>0</v>
      </c>
      <c r="E9" s="91">
        <f>D9+E8</f>
        <v>24.93</v>
      </c>
      <c r="F9" s="91">
        <f t="shared" ref="F9:I9" si="2">E9+F8</f>
        <v>132.66</v>
      </c>
      <c r="G9" s="91">
        <f t="shared" si="2"/>
        <v>212.94</v>
      </c>
      <c r="H9" s="91">
        <f t="shared" si="2"/>
        <v>342.09000000000003</v>
      </c>
      <c r="I9" s="91">
        <f t="shared" si="2"/>
        <v>520.47</v>
      </c>
      <c r="J9" s="93"/>
    </row>
    <row r="10" spans="1:15" s="8" customFormat="1" ht="17" customHeight="1" x14ac:dyDescent="0.35">
      <c r="A10" s="439" t="s">
        <v>305</v>
      </c>
      <c r="B10" s="141" t="s">
        <v>420</v>
      </c>
      <c r="C10" s="142" t="s">
        <v>421</v>
      </c>
      <c r="D10" s="88">
        <f t="shared" ref="D10:I10" si="3">D8*COMFi*GgCH4*GWPgCH4*Conversion*(CLB/CF/tC_to_tCO2)</f>
        <v>0</v>
      </c>
      <c r="E10" s="88">
        <f t="shared" si="3"/>
        <v>436.74479827776935</v>
      </c>
      <c r="F10" s="88">
        <f t="shared" si="3"/>
        <v>1887.3051391281228</v>
      </c>
      <c r="G10" s="88">
        <f t="shared" si="3"/>
        <v>1406.4128522157775</v>
      </c>
      <c r="H10" s="88">
        <f t="shared" si="3"/>
        <v>2262.5587925220184</v>
      </c>
      <c r="I10" s="88">
        <f t="shared" si="3"/>
        <v>3125.0115169189135</v>
      </c>
      <c r="J10" s="143">
        <f>SUM(D10:I10)</f>
        <v>9118.0330990626026</v>
      </c>
    </row>
    <row r="11" spans="1:15" s="8" customFormat="1" ht="17" customHeight="1" x14ac:dyDescent="0.35">
      <c r="A11" s="440"/>
      <c r="B11" s="138" t="s">
        <v>422</v>
      </c>
      <c r="C11" s="139" t="s">
        <v>421</v>
      </c>
      <c r="D11" s="87">
        <f>D10</f>
        <v>0</v>
      </c>
      <c r="E11" s="87">
        <f>D11+E10</f>
        <v>436.74479827776935</v>
      </c>
      <c r="F11" s="87">
        <f t="shared" ref="F11:I11" si="4">E11+F10</f>
        <v>2324.0499374058923</v>
      </c>
      <c r="G11" s="87">
        <f t="shared" si="4"/>
        <v>3730.4627896216698</v>
      </c>
      <c r="H11" s="87">
        <f t="shared" si="4"/>
        <v>5993.0215821436886</v>
      </c>
      <c r="I11" s="87">
        <f t="shared" si="4"/>
        <v>9118.0330990626026</v>
      </c>
      <c r="J11" s="140"/>
    </row>
    <row r="12" spans="1:15" ht="14.4" customHeight="1" x14ac:dyDescent="0.4">
      <c r="A12" s="441" t="s">
        <v>308</v>
      </c>
      <c r="B12" s="144" t="s">
        <v>423</v>
      </c>
      <c r="C12" s="73" t="s">
        <v>421</v>
      </c>
      <c r="D12" s="145">
        <f t="shared" ref="D12:I12" si="5">D8*COMFi*GgN2O*GWPgN2O*Conversion*(CLB/CF/tC_to_tCO2)</f>
        <v>0</v>
      </c>
      <c r="E12" s="145">
        <f t="shared" si="5"/>
        <v>172.22823146370371</v>
      </c>
      <c r="F12" s="145">
        <f t="shared" si="5"/>
        <v>744.24979444784617</v>
      </c>
      <c r="G12" s="145">
        <f t="shared" si="5"/>
        <v>554.61221106723383</v>
      </c>
      <c r="H12" s="145">
        <f t="shared" si="5"/>
        <v>892.22928574156981</v>
      </c>
      <c r="I12" s="145">
        <f t="shared" si="5"/>
        <v>1232.3334106897501</v>
      </c>
      <c r="J12" s="146">
        <f>SUM(D12:I12)</f>
        <v>3595.6529334101033</v>
      </c>
    </row>
    <row r="13" spans="1:15" ht="15" x14ac:dyDescent="0.4">
      <c r="A13" s="442"/>
      <c r="B13" s="147" t="s">
        <v>424</v>
      </c>
      <c r="C13" s="148" t="s">
        <v>421</v>
      </c>
      <c r="D13" s="149">
        <f>D12</f>
        <v>0</v>
      </c>
      <c r="E13" s="149">
        <f>E12+D13</f>
        <v>172.22823146370371</v>
      </c>
      <c r="F13" s="149">
        <f t="shared" ref="F13:I13" si="6">F12+E13</f>
        <v>916.47802591154982</v>
      </c>
      <c r="G13" s="149">
        <f t="shared" si="6"/>
        <v>1471.0902369787837</v>
      </c>
      <c r="H13" s="149">
        <f t="shared" si="6"/>
        <v>2363.3195227203532</v>
      </c>
      <c r="I13" s="149">
        <f t="shared" si="6"/>
        <v>3595.6529334101033</v>
      </c>
      <c r="J13" s="150"/>
    </row>
    <row r="14" spans="1:15" ht="15" x14ac:dyDescent="0.4">
      <c r="B14" s="63" t="s">
        <v>311</v>
      </c>
      <c r="C14" s="16" t="s">
        <v>421</v>
      </c>
      <c r="D14" s="91">
        <f>SUM(D10,D12)</f>
        <v>0</v>
      </c>
      <c r="E14" s="91">
        <f t="shared" ref="E14:I14" si="7">SUM(E10,E12)</f>
        <v>608.97302974147306</v>
      </c>
      <c r="F14" s="91">
        <f t="shared" si="7"/>
        <v>2631.5549335759688</v>
      </c>
      <c r="G14" s="91">
        <f t="shared" si="7"/>
        <v>1961.0250632830114</v>
      </c>
      <c r="H14" s="91">
        <f t="shared" si="7"/>
        <v>3154.7880782635884</v>
      </c>
      <c r="I14" s="91">
        <f t="shared" si="7"/>
        <v>4357.3449276086631</v>
      </c>
      <c r="J14" s="93">
        <f>SUM(D14:I14)</f>
        <v>12713.686032472704</v>
      </c>
    </row>
    <row r="15" spans="1:15" ht="15" x14ac:dyDescent="0.35">
      <c r="A15" s="443" t="s">
        <v>312</v>
      </c>
      <c r="B15" s="141" t="s">
        <v>313</v>
      </c>
      <c r="C15" s="142" t="s">
        <v>421</v>
      </c>
      <c r="D15" s="145">
        <f>D8*CWP_average</f>
        <v>0</v>
      </c>
      <c r="E15" s="145">
        <f t="shared" ref="E15:I15" si="8">E8*CWP_average</f>
        <v>65.137134628857808</v>
      </c>
      <c r="F15" s="145">
        <f t="shared" si="8"/>
        <v>281.4770763564722</v>
      </c>
      <c r="G15" s="145">
        <f t="shared" si="8"/>
        <v>209.75568263155654</v>
      </c>
      <c r="H15" s="145">
        <f t="shared" si="8"/>
        <v>337.44327867296374</v>
      </c>
      <c r="I15" s="145">
        <f t="shared" si="8"/>
        <v>466.07148315666484</v>
      </c>
      <c r="J15" s="146">
        <f>SUM(D15:I15)</f>
        <v>1359.8846554465151</v>
      </c>
    </row>
    <row r="16" spans="1:15" ht="15" x14ac:dyDescent="0.35">
      <c r="A16" s="444"/>
      <c r="B16" s="138" t="s">
        <v>314</v>
      </c>
      <c r="C16" s="139" t="s">
        <v>421</v>
      </c>
      <c r="D16" s="149">
        <f>D15</f>
        <v>0</v>
      </c>
      <c r="E16" s="149">
        <f>E15+D16</f>
        <v>65.137134628857808</v>
      </c>
      <c r="F16" s="149">
        <f t="shared" ref="F16:I16" si="9">F15+E16</f>
        <v>346.61421098533003</v>
      </c>
      <c r="G16" s="149">
        <f t="shared" si="9"/>
        <v>556.36989361688654</v>
      </c>
      <c r="H16" s="149">
        <f t="shared" si="9"/>
        <v>893.81317228985029</v>
      </c>
      <c r="I16" s="149">
        <f t="shared" si="9"/>
        <v>1359.8846554465151</v>
      </c>
      <c r="J16" s="150"/>
    </row>
    <row r="17" spans="1:14" ht="15" x14ac:dyDescent="0.35">
      <c r="A17" s="445" t="s">
        <v>315</v>
      </c>
      <c r="B17" s="141" t="s">
        <v>316</v>
      </c>
      <c r="C17" s="142" t="s">
        <v>421</v>
      </c>
      <c r="D17" s="145">
        <f>D8*pasture_percentage*pasture_tco2ha</f>
        <v>0</v>
      </c>
      <c r="E17" s="145">
        <f t="shared" ref="E17:I17" si="10">E8*pasture_percentage*pasture_tco2ha</f>
        <v>336.39794099999995</v>
      </c>
      <c r="F17" s="145">
        <f t="shared" si="10"/>
        <v>1453.6763009999997</v>
      </c>
      <c r="G17" s="145">
        <f t="shared" si="10"/>
        <v>1083.274236</v>
      </c>
      <c r="H17" s="145">
        <f t="shared" si="10"/>
        <v>1742.7113549999999</v>
      </c>
      <c r="I17" s="145">
        <f t="shared" si="10"/>
        <v>2407.0062059999996</v>
      </c>
      <c r="J17" s="146">
        <f>SUM(D17:I17)</f>
        <v>7023.0660389999994</v>
      </c>
    </row>
    <row r="18" spans="1:14" ht="15" x14ac:dyDescent="0.35">
      <c r="A18" s="446"/>
      <c r="B18" s="138" t="s">
        <v>317</v>
      </c>
      <c r="C18" s="139" t="s">
        <v>421</v>
      </c>
      <c r="D18" s="149">
        <f>D17</f>
        <v>0</v>
      </c>
      <c r="E18" s="149">
        <f>E17+D18</f>
        <v>336.39794099999995</v>
      </c>
      <c r="F18" s="149">
        <f t="shared" ref="F18:I18" si="11">F17+E18</f>
        <v>1790.0742419999997</v>
      </c>
      <c r="G18" s="149">
        <f t="shared" si="11"/>
        <v>2873.3484779999999</v>
      </c>
      <c r="H18" s="149">
        <f t="shared" si="11"/>
        <v>4616.0598329999993</v>
      </c>
      <c r="I18" s="149">
        <f t="shared" si="11"/>
        <v>7023.0660389999994</v>
      </c>
      <c r="J18" s="150"/>
      <c r="K18" s="2"/>
      <c r="L18" s="2"/>
      <c r="M18" s="2"/>
      <c r="N18" s="2"/>
    </row>
    <row r="19" spans="1:14" ht="15" x14ac:dyDescent="0.35">
      <c r="A19" s="447" t="s">
        <v>318</v>
      </c>
      <c r="B19" s="141" t="s">
        <v>319</v>
      </c>
      <c r="C19" s="142" t="s">
        <v>421</v>
      </c>
      <c r="D19" s="145">
        <f>D8*coffee_percentage*coffee_tcoha</f>
        <v>0</v>
      </c>
      <c r="E19" s="145">
        <f>E8*coffee_percentage*coffee_tcoha</f>
        <v>209.3289</v>
      </c>
      <c r="F19" s="145">
        <f t="shared" ref="F19:I19" si="12">F8*coffee_percentage*coffee_tcoha</f>
        <v>904.5729</v>
      </c>
      <c r="G19" s="145">
        <f t="shared" si="12"/>
        <v>674.08439999999996</v>
      </c>
      <c r="H19" s="145">
        <f t="shared" si="12"/>
        <v>1084.4295</v>
      </c>
      <c r="I19" s="145">
        <f t="shared" si="12"/>
        <v>1497.7973999999999</v>
      </c>
      <c r="J19" s="146">
        <f>SUM(D19:I19)</f>
        <v>4370.2130999999999</v>
      </c>
      <c r="K19" s="2"/>
      <c r="L19" s="2"/>
      <c r="M19" s="2"/>
      <c r="N19" s="2"/>
    </row>
    <row r="20" spans="1:14" ht="15" x14ac:dyDescent="0.35">
      <c r="A20" s="448"/>
      <c r="B20" s="138" t="s">
        <v>320</v>
      </c>
      <c r="C20" s="139" t="s">
        <v>421</v>
      </c>
      <c r="D20" s="149">
        <f>D19</f>
        <v>0</v>
      </c>
      <c r="E20" s="149">
        <f>E19+D20</f>
        <v>209.3289</v>
      </c>
      <c r="F20" s="149">
        <f t="shared" ref="F20:I20" si="13">F19+E20</f>
        <v>1113.9018000000001</v>
      </c>
      <c r="G20" s="149">
        <f t="shared" si="13"/>
        <v>1787.9862000000001</v>
      </c>
      <c r="H20" s="149">
        <f t="shared" si="13"/>
        <v>2872.4157</v>
      </c>
      <c r="I20" s="149">
        <f t="shared" si="13"/>
        <v>4370.2130999999999</v>
      </c>
      <c r="J20" s="150"/>
      <c r="K20" s="2"/>
      <c r="L20" s="2"/>
      <c r="M20" s="2"/>
      <c r="N20" s="2"/>
    </row>
    <row r="21" spans="1:14" x14ac:dyDescent="0.35">
      <c r="A21" s="137"/>
      <c r="B21" s="137"/>
      <c r="C21" s="208" t="s">
        <v>425</v>
      </c>
      <c r="D21" s="269">
        <f t="shared" ref="D21:I21" si="14">D6+D10+D12-(D15+D17+D19)</f>
        <v>0</v>
      </c>
      <c r="E21" s="269">
        <f>E6+E10+E12-(E15+E17+E19)</f>
        <v>11587.521345881425</v>
      </c>
      <c r="F21" s="269">
        <f t="shared" si="14"/>
        <v>50073.151808736708</v>
      </c>
      <c r="G21" s="269">
        <f t="shared" si="14"/>
        <v>37314.328666159687</v>
      </c>
      <c r="H21" s="269">
        <f t="shared" si="14"/>
        <v>60029.217080649258</v>
      </c>
      <c r="I21" s="269">
        <f t="shared" si="14"/>
        <v>82911.434323238209</v>
      </c>
      <c r="J21" s="270"/>
      <c r="K21" s="2"/>
      <c r="L21" s="2"/>
      <c r="M21" s="2"/>
      <c r="N21" s="2"/>
    </row>
    <row r="22" spans="1:14" x14ac:dyDescent="0.35">
      <c r="B22" s="5"/>
    </row>
    <row r="23" spans="1:14" ht="30" customHeight="1" x14ac:dyDescent="0.35"/>
    <row r="24" spans="1:14" x14ac:dyDescent="0.35">
      <c r="C24"/>
    </row>
    <row r="25" spans="1:14" x14ac:dyDescent="0.35">
      <c r="C25"/>
    </row>
    <row r="26" spans="1:14" ht="15.65" customHeight="1" x14ac:dyDescent="0.35">
      <c r="C26"/>
    </row>
    <row r="27" spans="1:14" x14ac:dyDescent="0.35">
      <c r="C27"/>
    </row>
    <row r="28" spans="1:14" x14ac:dyDescent="0.35">
      <c r="C28"/>
    </row>
    <row r="29" spans="1:14" x14ac:dyDescent="0.35">
      <c r="C29"/>
    </row>
    <row r="30" spans="1:14" x14ac:dyDescent="0.35">
      <c r="C30"/>
    </row>
    <row r="31" spans="1:14" x14ac:dyDescent="0.35">
      <c r="B31" s="71"/>
      <c r="C31" s="2"/>
      <c r="D31" s="23"/>
      <c r="E31" s="23"/>
      <c r="F31" s="23"/>
      <c r="G31" s="23"/>
    </row>
  </sheetData>
  <mergeCells count="12">
    <mergeCell ref="A19:A20"/>
    <mergeCell ref="C1:J1"/>
    <mergeCell ref="A2:K2"/>
    <mergeCell ref="B4:B5"/>
    <mergeCell ref="C4:C5"/>
    <mergeCell ref="D4:I4"/>
    <mergeCell ref="J4:J5"/>
    <mergeCell ref="A6:A7"/>
    <mergeCell ref="A10:A11"/>
    <mergeCell ref="A12:A13"/>
    <mergeCell ref="A15:A16"/>
    <mergeCell ref="A17:A18"/>
  </mergeCells>
  <pageMargins left="0.511811024" right="0.511811024" top="0.78740157499999996" bottom="0.78740157499999996" header="0.31496062000000002" footer="0.31496062000000002"/>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4F1D2-D391-4A18-A4BB-2C06AFC20DCA}">
  <sheetPr>
    <tabColor theme="5"/>
  </sheetPr>
  <dimension ref="A1:V19"/>
  <sheetViews>
    <sheetView showGridLines="0" zoomScale="70" zoomScaleNormal="70" workbookViewId="0">
      <selection activeCell="K7" sqref="K7"/>
    </sheetView>
  </sheetViews>
  <sheetFormatPr defaultColWidth="8.90625" defaultRowHeight="14.5" x14ac:dyDescent="0.35"/>
  <cols>
    <col min="1" max="1" width="3.36328125" customWidth="1"/>
    <col min="2" max="2" width="2.08984375" customWidth="1"/>
    <col min="3" max="3" width="4" customWidth="1"/>
    <col min="4" max="4" width="2.54296875" customWidth="1"/>
    <col min="5" max="5" width="21.453125" style="1" customWidth="1"/>
    <col min="6" max="6" width="39" style="183" customWidth="1"/>
    <col min="7" max="7" width="5.90625" bestFit="1" customWidth="1"/>
    <col min="8" max="8" width="14.54296875" bestFit="1" customWidth="1"/>
    <col min="9" max="10" width="11.36328125" bestFit="1" customWidth="1"/>
    <col min="11" max="11" width="12.6328125" bestFit="1" customWidth="1"/>
    <col min="12" max="13" width="13.36328125" bestFit="1" customWidth="1"/>
    <col min="14" max="14" width="14.453125" bestFit="1" customWidth="1"/>
    <col min="15" max="15" width="13.90625" bestFit="1" customWidth="1"/>
    <col min="16" max="16" width="10.90625" bestFit="1" customWidth="1"/>
    <col min="17" max="21" width="11.6328125" bestFit="1" customWidth="1"/>
    <col min="22" max="22" width="9" bestFit="1" customWidth="1"/>
  </cols>
  <sheetData>
    <row r="1" spans="1:22" ht="25.25" customHeight="1" x14ac:dyDescent="0.35">
      <c r="A1" s="53" t="s">
        <v>0</v>
      </c>
      <c r="B1" s="194"/>
      <c r="C1" s="194"/>
      <c r="D1" s="194"/>
      <c r="E1" s="407" t="str">
        <f>Projeto</f>
        <v>FLORESTAL SANTA MARIA - CARAGUA AGRONEGÓCIOS LTDA</v>
      </c>
      <c r="F1" s="407"/>
      <c r="G1" s="407"/>
      <c r="H1" s="407"/>
      <c r="I1" s="407"/>
      <c r="J1" s="407"/>
      <c r="K1" s="407"/>
      <c r="L1" s="407"/>
      <c r="M1" s="407"/>
      <c r="N1" s="407"/>
      <c r="O1" s="41"/>
      <c r="P1" s="41"/>
    </row>
    <row r="2" spans="1:22" x14ac:dyDescent="0.35">
      <c r="A2" s="194"/>
      <c r="B2" s="407" t="s">
        <v>426</v>
      </c>
      <c r="C2" s="407"/>
      <c r="D2" s="407"/>
      <c r="E2" s="407"/>
      <c r="F2" s="407"/>
      <c r="G2" s="407"/>
      <c r="H2" s="407"/>
      <c r="I2" s="407"/>
      <c r="J2" s="407"/>
      <c r="K2" s="407"/>
      <c r="L2" s="407"/>
      <c r="M2" s="407"/>
      <c r="N2" s="407"/>
      <c r="O2" s="407"/>
      <c r="P2" s="407"/>
    </row>
    <row r="3" spans="1:22" x14ac:dyDescent="0.35">
      <c r="P3" s="24"/>
    </row>
    <row r="4" spans="1:22" ht="14.4" customHeight="1" x14ac:dyDescent="0.35">
      <c r="E4" s="48" t="s">
        <v>427</v>
      </c>
      <c r="F4" s="48"/>
      <c r="G4" s="43"/>
      <c r="H4" s="43">
        <v>1</v>
      </c>
      <c r="I4" s="43">
        <v>2</v>
      </c>
      <c r="J4" s="43">
        <v>3</v>
      </c>
      <c r="K4" s="43">
        <v>4</v>
      </c>
      <c r="L4" s="43">
        <v>5</v>
      </c>
      <c r="M4" s="43">
        <v>6</v>
      </c>
      <c r="N4" s="43"/>
      <c r="O4" s="43"/>
      <c r="P4" s="42"/>
      <c r="Q4" s="42"/>
    </row>
    <row r="5" spans="1:22" s="4" customFormat="1" x14ac:dyDescent="0.35">
      <c r="E5" s="421" t="s">
        <v>67</v>
      </c>
      <c r="F5" s="438" t="s">
        <v>68</v>
      </c>
      <c r="G5" s="421" t="s">
        <v>69</v>
      </c>
      <c r="H5" s="421" t="s">
        <v>290</v>
      </c>
      <c r="I5" s="421"/>
      <c r="J5" s="421"/>
      <c r="K5" s="421"/>
      <c r="L5" s="421"/>
      <c r="M5" s="421"/>
      <c r="N5" s="421" t="s">
        <v>90</v>
      </c>
      <c r="O5" s="43"/>
      <c r="P5" s="42"/>
      <c r="Q5" s="42"/>
    </row>
    <row r="6" spans="1:22" ht="14.4" customHeight="1" x14ac:dyDescent="0.35">
      <c r="B6" s="4"/>
      <c r="C6" s="4"/>
      <c r="D6" s="4"/>
      <c r="E6" s="421"/>
      <c r="F6" s="438"/>
      <c r="G6" s="421"/>
      <c r="H6" s="380">
        <v>2019</v>
      </c>
      <c r="I6" s="380">
        <v>2020</v>
      </c>
      <c r="J6" s="380">
        <v>2021</v>
      </c>
      <c r="K6" s="380">
        <v>2022</v>
      </c>
      <c r="L6" s="380">
        <v>2023</v>
      </c>
      <c r="M6" s="380">
        <v>2024</v>
      </c>
      <c r="N6" s="421"/>
      <c r="O6" s="43"/>
      <c r="P6" s="42"/>
      <c r="Q6" s="42"/>
    </row>
    <row r="7" spans="1:22" ht="55.5" x14ac:dyDescent="0.35">
      <c r="A7" s="466" t="s">
        <v>426</v>
      </c>
      <c r="B7" s="469" t="s">
        <v>428</v>
      </c>
      <c r="C7" s="259" t="s">
        <v>429</v>
      </c>
      <c r="D7" s="467" t="s">
        <v>430</v>
      </c>
      <c r="E7" s="198" t="s">
        <v>431</v>
      </c>
      <c r="F7" s="199" t="s">
        <v>432</v>
      </c>
      <c r="G7" s="45" t="s">
        <v>348</v>
      </c>
      <c r="H7" s="88">
        <f>'BL-GHG'!D21</f>
        <v>72573.573868837717</v>
      </c>
      <c r="I7" s="88">
        <f>'BL-GHG'!E21</f>
        <v>112816.76363879994</v>
      </c>
      <c r="J7" s="88">
        <f>'BL-GHG'!F21</f>
        <v>243372.62448287685</v>
      </c>
      <c r="K7" s="88">
        <f>'BL-GHG'!G21</f>
        <v>176858.42099728965</v>
      </c>
      <c r="L7" s="88">
        <f>'BL-GHG'!H21</f>
        <v>186698.98454977942</v>
      </c>
      <c r="M7" s="88">
        <f>'BL-GHG'!I21</f>
        <v>141321.48067552599</v>
      </c>
      <c r="N7" s="235"/>
      <c r="O7" s="43"/>
      <c r="P7" s="42"/>
      <c r="Q7" s="42"/>
    </row>
    <row r="8" spans="1:22" ht="57.5" x14ac:dyDescent="0.35">
      <c r="A8" s="466"/>
      <c r="B8" s="470"/>
      <c r="C8" s="256" t="s">
        <v>433</v>
      </c>
      <c r="D8" s="468"/>
      <c r="E8" s="195" t="s">
        <v>434</v>
      </c>
      <c r="F8" s="196" t="s">
        <v>435</v>
      </c>
      <c r="G8" s="197" t="s">
        <v>348</v>
      </c>
      <c r="H8" s="257">
        <f>'LK-GHG_ex_ante'!D21</f>
        <v>0</v>
      </c>
      <c r="I8" s="257">
        <f>'LK-GHG_ex_ante'!E21</f>
        <v>11587.521345881425</v>
      </c>
      <c r="J8" s="257">
        <f>'LK-GHG_ex_ante'!F21</f>
        <v>50073.151808736708</v>
      </c>
      <c r="K8" s="257">
        <f>'LK-GHG_ex_ante'!G21</f>
        <v>37314.328666159687</v>
      </c>
      <c r="L8" s="257">
        <f>'LK-GHG_ex_ante'!H21</f>
        <v>60029.217080649258</v>
      </c>
      <c r="M8" s="257">
        <f>'LK-GHG_ex_ante'!I21</f>
        <v>82911.434323238209</v>
      </c>
      <c r="N8" s="235"/>
      <c r="O8" s="47"/>
      <c r="P8" s="47"/>
      <c r="Q8" s="47"/>
      <c r="R8" s="47"/>
      <c r="S8" s="47"/>
    </row>
    <row r="9" spans="1:22" ht="55.5" x14ac:dyDescent="0.35">
      <c r="A9" s="466"/>
      <c r="B9" s="470"/>
      <c r="C9" s="256" t="s">
        <v>429</v>
      </c>
      <c r="D9" s="467" t="s">
        <v>436</v>
      </c>
      <c r="E9" s="172" t="s">
        <v>437</v>
      </c>
      <c r="F9" s="178" t="s">
        <v>438</v>
      </c>
      <c r="G9" s="197" t="s">
        <v>348</v>
      </c>
      <c r="H9" s="165">
        <f>H7*LK_percentage</f>
        <v>7257.3573868837721</v>
      </c>
      <c r="I9" s="165">
        <f t="shared" ref="I9:M9" si="0">I7*LK_percentage</f>
        <v>11281.676363879995</v>
      </c>
      <c r="J9" s="165">
        <f t="shared" si="0"/>
        <v>24337.262448287685</v>
      </c>
      <c r="K9" s="165">
        <f t="shared" si="0"/>
        <v>17685.842099728965</v>
      </c>
      <c r="L9" s="165">
        <f t="shared" si="0"/>
        <v>18669.898454977942</v>
      </c>
      <c r="M9" s="165">
        <f t="shared" si="0"/>
        <v>14132.1480675526</v>
      </c>
      <c r="N9" s="235"/>
      <c r="O9" s="47"/>
      <c r="P9" s="47"/>
      <c r="Q9" s="47"/>
      <c r="R9" s="47"/>
      <c r="S9" s="47"/>
    </row>
    <row r="10" spans="1:22" ht="57.5" x14ac:dyDescent="0.35">
      <c r="A10" s="466"/>
      <c r="B10" s="471"/>
      <c r="C10" s="256" t="s">
        <v>433</v>
      </c>
      <c r="D10" s="468"/>
      <c r="E10" s="195" t="s">
        <v>439</v>
      </c>
      <c r="F10" s="196" t="s">
        <v>440</v>
      </c>
      <c r="G10" s="197" t="s">
        <v>348</v>
      </c>
      <c r="H10" s="257">
        <f>H9+H8</f>
        <v>7257.3573868837721</v>
      </c>
      <c r="I10" s="257">
        <f t="shared" ref="I10:M10" si="1">I9+I8</f>
        <v>22869.197709761422</v>
      </c>
      <c r="J10" s="257">
        <f t="shared" si="1"/>
        <v>74410.414257024386</v>
      </c>
      <c r="K10" s="257">
        <f t="shared" si="1"/>
        <v>55000.170765888652</v>
      </c>
      <c r="L10" s="257">
        <f t="shared" si="1"/>
        <v>78699.115535627207</v>
      </c>
      <c r="M10" s="257">
        <f t="shared" si="1"/>
        <v>97043.582390790805</v>
      </c>
      <c r="N10" s="235"/>
      <c r="O10" s="47"/>
      <c r="P10" s="47"/>
      <c r="Q10" s="47"/>
      <c r="R10" s="47"/>
      <c r="S10" s="47"/>
    </row>
    <row r="11" spans="1:22" ht="52.5" x14ac:dyDescent="0.35">
      <c r="A11" s="172"/>
      <c r="B11" s="172"/>
      <c r="C11" s="172"/>
      <c r="D11" s="172"/>
      <c r="E11" s="258" t="s">
        <v>441</v>
      </c>
      <c r="F11" s="187" t="s">
        <v>442</v>
      </c>
      <c r="G11" s="179" t="s">
        <v>348</v>
      </c>
      <c r="H11" s="267">
        <f>H10-H8</f>
        <v>7257.3573868837721</v>
      </c>
      <c r="I11" s="267">
        <f t="shared" ref="I11:M11" si="2">I10-I8</f>
        <v>11281.676363879997</v>
      </c>
      <c r="J11" s="267">
        <f t="shared" si="2"/>
        <v>24337.262448287678</v>
      </c>
      <c r="K11" s="267">
        <f t="shared" si="2"/>
        <v>17685.842099728965</v>
      </c>
      <c r="L11" s="267">
        <f t="shared" si="2"/>
        <v>18669.898454977949</v>
      </c>
      <c r="M11" s="267">
        <f t="shared" si="2"/>
        <v>14132.148067552596</v>
      </c>
      <c r="N11" s="238">
        <f>SUM(H11:M11)</f>
        <v>93364.184821310948</v>
      </c>
      <c r="O11" s="47"/>
      <c r="P11" s="47"/>
      <c r="Q11" s="47"/>
      <c r="R11" s="47"/>
      <c r="S11" s="47"/>
    </row>
    <row r="12" spans="1:22" x14ac:dyDescent="0.35">
      <c r="A12" s="43"/>
      <c r="B12" s="43"/>
      <c r="C12" s="43"/>
      <c r="D12" s="43"/>
      <c r="E12" s="43"/>
      <c r="F12" s="43"/>
      <c r="G12" s="43"/>
      <c r="H12" s="43"/>
      <c r="I12" s="43"/>
      <c r="J12" s="43"/>
      <c r="K12" s="43"/>
      <c r="L12" s="43"/>
      <c r="M12" s="43"/>
      <c r="N12" s="43"/>
      <c r="O12" s="43"/>
      <c r="P12" s="236"/>
      <c r="Q12" s="236"/>
      <c r="R12" s="236"/>
      <c r="S12" s="236"/>
      <c r="T12" s="236"/>
      <c r="U12" s="236"/>
      <c r="V12" s="236"/>
    </row>
    <row r="13" spans="1:22" x14ac:dyDescent="0.35">
      <c r="A13" s="43"/>
      <c r="B13" s="43"/>
      <c r="C13" s="43"/>
      <c r="D13" s="43"/>
      <c r="E13" s="43"/>
      <c r="F13" s="43"/>
      <c r="G13" s="43"/>
      <c r="H13" s="43"/>
      <c r="I13" s="43"/>
      <c r="J13" s="43"/>
      <c r="K13" s="43"/>
      <c r="L13" s="43"/>
      <c r="M13" s="43"/>
      <c r="N13" s="43"/>
      <c r="O13" s="43"/>
      <c r="P13" s="236"/>
      <c r="Q13" s="236"/>
      <c r="R13" s="236"/>
      <c r="S13" s="236"/>
      <c r="T13" s="236"/>
      <c r="U13" s="236"/>
      <c r="V13" s="236"/>
    </row>
    <row r="14" spans="1:22" x14ac:dyDescent="0.35">
      <c r="A14" s="43"/>
      <c r="B14" s="43"/>
      <c r="C14" s="43"/>
      <c r="D14" s="43"/>
      <c r="E14" s="43"/>
      <c r="F14" s="43"/>
      <c r="G14" s="43"/>
      <c r="H14" s="43"/>
      <c r="I14" s="43"/>
      <c r="J14" s="43"/>
      <c r="K14" s="43"/>
      <c r="L14" s="43"/>
      <c r="M14" s="43"/>
      <c r="N14" s="43"/>
      <c r="O14" s="43"/>
      <c r="P14" s="236"/>
      <c r="Q14" s="236"/>
      <c r="R14" s="236"/>
      <c r="S14" s="236"/>
      <c r="T14" s="236"/>
      <c r="U14" s="236"/>
      <c r="V14" s="236"/>
    </row>
    <row r="15" spans="1:22" x14ac:dyDescent="0.35">
      <c r="A15" s="43"/>
      <c r="B15" s="43"/>
      <c r="C15" s="43"/>
      <c r="D15" s="43"/>
      <c r="E15" s="43"/>
      <c r="F15" s="43"/>
      <c r="G15" s="43"/>
      <c r="H15" s="43"/>
      <c r="I15" s="43"/>
      <c r="J15" s="43"/>
      <c r="K15" s="43"/>
      <c r="L15" s="43"/>
      <c r="M15" s="43"/>
      <c r="N15" s="43"/>
      <c r="O15" s="43"/>
      <c r="P15" s="236"/>
      <c r="Q15" s="236"/>
      <c r="R15" s="236"/>
      <c r="S15" s="236"/>
      <c r="T15" s="236"/>
      <c r="U15" s="236"/>
      <c r="V15" s="236"/>
    </row>
    <row r="16" spans="1:22" x14ac:dyDescent="0.35">
      <c r="A16" s="43"/>
      <c r="B16" s="43"/>
      <c r="C16" s="43"/>
      <c r="D16" s="43"/>
      <c r="E16" s="43"/>
      <c r="F16" s="43"/>
      <c r="G16" s="43"/>
      <c r="H16" s="43"/>
      <c r="I16" s="43"/>
      <c r="J16" s="43"/>
      <c r="K16" s="43"/>
      <c r="L16" s="43"/>
      <c r="M16" s="43"/>
      <c r="N16" s="43"/>
      <c r="O16" s="43"/>
      <c r="P16" s="236"/>
      <c r="Q16" s="236"/>
      <c r="R16" s="236"/>
      <c r="S16" s="236"/>
      <c r="T16" s="236"/>
      <c r="U16" s="236"/>
      <c r="V16" s="236"/>
    </row>
    <row r="19" ht="14" customHeight="1" x14ac:dyDescent="0.35"/>
  </sheetData>
  <mergeCells count="11">
    <mergeCell ref="A7:A10"/>
    <mergeCell ref="E1:N1"/>
    <mergeCell ref="B2:P2"/>
    <mergeCell ref="N5:N6"/>
    <mergeCell ref="H5:M5"/>
    <mergeCell ref="G5:G6"/>
    <mergeCell ref="F5:F6"/>
    <mergeCell ref="E5:E6"/>
    <mergeCell ref="D7:D8"/>
    <mergeCell ref="D9:D10"/>
    <mergeCell ref="B7:B10"/>
  </mergeCells>
  <pageMargins left="0.511811024" right="0.511811024" top="0.78740157499999996" bottom="0.78740157499999996" header="0.31496062000000002" footer="0.31496062000000002"/>
  <pageSetup paperSize="9" orientation="portrait" r:id="rId1"/>
  <headerFooter>
    <oddHeader>&amp;L&amp;G</oddHead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66990-C3F4-43C5-9324-DD9ECEE13770}">
  <sheetPr>
    <tabColor theme="5"/>
  </sheetPr>
  <dimension ref="A1:T37"/>
  <sheetViews>
    <sheetView showGridLines="0" topLeftCell="A3" zoomScale="70" zoomScaleNormal="70" workbookViewId="0">
      <selection activeCell="K23" sqref="K23"/>
    </sheetView>
  </sheetViews>
  <sheetFormatPr defaultColWidth="8.90625" defaultRowHeight="14.5" x14ac:dyDescent="0.35"/>
  <cols>
    <col min="1" max="1" width="4" customWidth="1"/>
    <col min="2" max="2" width="3.6328125" customWidth="1"/>
    <col min="3" max="3" width="18" style="1" bestFit="1" customWidth="1"/>
    <col min="4" max="4" width="57.6328125" style="183" customWidth="1"/>
    <col min="5" max="5" width="12.453125" customWidth="1"/>
    <col min="6" max="6" width="14.453125" bestFit="1" customWidth="1"/>
    <col min="7" max="10" width="10.90625" bestFit="1" customWidth="1"/>
    <col min="11" max="11" width="11.90625" customWidth="1"/>
    <col min="12" max="12" width="17.36328125" bestFit="1" customWidth="1"/>
    <col min="13" max="13" width="13.90625" bestFit="1" customWidth="1"/>
    <col min="14" max="14" width="10.90625" bestFit="1" customWidth="1"/>
    <col min="15" max="19" width="11.6328125" bestFit="1" customWidth="1"/>
    <col min="20" max="20" width="9" bestFit="1" customWidth="1"/>
  </cols>
  <sheetData>
    <row r="1" spans="1:15" ht="25.25" customHeight="1" x14ac:dyDescent="0.35">
      <c r="A1" s="53" t="s">
        <v>0</v>
      </c>
      <c r="B1" s="194"/>
      <c r="C1" s="407" t="str">
        <f>Projeto</f>
        <v>FLORESTAL SANTA MARIA - CARAGUA AGRONEGÓCIOS LTDA</v>
      </c>
      <c r="D1" s="407"/>
      <c r="E1" s="407"/>
      <c r="F1" s="407"/>
      <c r="G1" s="407"/>
      <c r="H1" s="407"/>
      <c r="I1" s="407"/>
      <c r="J1" s="407"/>
      <c r="K1" s="407"/>
      <c r="L1" s="407"/>
      <c r="M1" s="41"/>
      <c r="N1" s="41"/>
    </row>
    <row r="2" spans="1:15" x14ac:dyDescent="0.35">
      <c r="A2" s="194"/>
      <c r="B2" s="407" t="s">
        <v>443</v>
      </c>
      <c r="C2" s="407"/>
      <c r="D2" s="407"/>
      <c r="E2" s="407"/>
      <c r="F2" s="407"/>
      <c r="G2" s="407"/>
      <c r="H2" s="407"/>
      <c r="I2" s="407"/>
      <c r="J2" s="407"/>
      <c r="K2" s="407"/>
      <c r="L2" s="407"/>
      <c r="M2" s="407"/>
      <c r="N2" s="407"/>
    </row>
    <row r="3" spans="1:15" x14ac:dyDescent="0.35">
      <c r="N3" s="24"/>
    </row>
    <row r="4" spans="1:15" ht="14.4" customHeight="1" x14ac:dyDescent="0.35">
      <c r="C4" s="48" t="s">
        <v>427</v>
      </c>
      <c r="D4" s="48"/>
      <c r="E4" s="43"/>
      <c r="F4" s="43"/>
      <c r="G4" s="43"/>
      <c r="H4" s="43"/>
      <c r="I4" s="43"/>
      <c r="J4" s="43"/>
      <c r="K4" s="43"/>
      <c r="L4" s="43"/>
      <c r="M4" s="43"/>
      <c r="N4" s="42"/>
      <c r="O4" s="42"/>
    </row>
    <row r="5" spans="1:15" ht="14.4" customHeight="1" x14ac:dyDescent="0.35">
      <c r="C5" s="421" t="s">
        <v>67</v>
      </c>
      <c r="D5" s="438" t="s">
        <v>68</v>
      </c>
      <c r="E5" s="421" t="s">
        <v>69</v>
      </c>
      <c r="F5" s="421" t="s">
        <v>444</v>
      </c>
      <c r="G5" s="421" t="s">
        <v>445</v>
      </c>
      <c r="H5" s="421"/>
      <c r="I5" s="421"/>
      <c r="J5" s="421"/>
      <c r="K5" s="421"/>
      <c r="L5" s="43"/>
      <c r="M5" s="43"/>
      <c r="N5" s="42"/>
      <c r="O5" s="42"/>
    </row>
    <row r="6" spans="1:15" ht="14.4" customHeight="1" x14ac:dyDescent="0.35">
      <c r="C6" s="421"/>
      <c r="D6" s="438"/>
      <c r="E6" s="421"/>
      <c r="F6" s="421"/>
      <c r="G6" s="421"/>
      <c r="H6" s="421"/>
      <c r="I6" s="421"/>
      <c r="J6" s="421"/>
      <c r="K6" s="421"/>
      <c r="L6" s="43"/>
      <c r="M6" s="43"/>
      <c r="N6" s="42"/>
      <c r="O6" s="42"/>
    </row>
    <row r="7" spans="1:15" ht="14.4" customHeight="1" x14ac:dyDescent="0.35">
      <c r="C7" s="172" t="s">
        <v>139</v>
      </c>
      <c r="D7" s="178" t="s">
        <v>140</v>
      </c>
      <c r="E7" s="43" t="s">
        <v>126</v>
      </c>
      <c r="F7" s="163">
        <f>F8-F11-F12</f>
        <v>356155513.8526715</v>
      </c>
      <c r="G7" s="475"/>
      <c r="H7" s="475"/>
      <c r="I7" s="475"/>
      <c r="J7" s="475"/>
      <c r="K7" s="475"/>
      <c r="L7" s="43"/>
      <c r="M7" s="43"/>
      <c r="N7" s="42"/>
      <c r="O7" s="42"/>
    </row>
    <row r="8" spans="1:15" ht="14.4" customHeight="1" x14ac:dyDescent="0.35">
      <c r="C8" s="172" t="s">
        <v>141</v>
      </c>
      <c r="D8" s="178" t="s">
        <v>142</v>
      </c>
      <c r="E8" s="43" t="s">
        <v>126</v>
      </c>
      <c r="F8" s="163">
        <f>F9*F10</f>
        <v>486454993.8526715</v>
      </c>
      <c r="G8" s="475"/>
      <c r="H8" s="475"/>
      <c r="I8" s="475"/>
      <c r="J8" s="475"/>
      <c r="K8" s="475"/>
      <c r="L8" s="43"/>
      <c r="M8" s="43"/>
      <c r="N8" s="42"/>
      <c r="O8" s="42"/>
    </row>
    <row r="9" spans="1:15" ht="14.4" customHeight="1" x14ac:dyDescent="0.35">
      <c r="C9" s="172"/>
      <c r="D9" s="178" t="s">
        <v>446</v>
      </c>
      <c r="E9" s="43" t="s">
        <v>126</v>
      </c>
      <c r="F9" s="190">
        <f>5014999.93662548*100</f>
        <v>501499993.66254795</v>
      </c>
      <c r="G9" s="477" t="s">
        <v>447</v>
      </c>
      <c r="H9" s="477"/>
      <c r="I9" s="477"/>
      <c r="J9" s="477"/>
      <c r="K9" s="477"/>
      <c r="M9" s="43"/>
      <c r="N9" s="42"/>
      <c r="O9" s="42"/>
    </row>
    <row r="10" spans="1:15" ht="14.4" customHeight="1" x14ac:dyDescent="0.35">
      <c r="C10" s="172"/>
      <c r="D10" s="178" t="s">
        <v>448</v>
      </c>
      <c r="E10" s="43" t="s">
        <v>73</v>
      </c>
      <c r="F10" s="190">
        <v>0.97</v>
      </c>
      <c r="G10" s="477" t="s">
        <v>449</v>
      </c>
      <c r="H10" s="477"/>
      <c r="I10" s="477"/>
      <c r="J10" s="477"/>
      <c r="K10" s="477"/>
      <c r="L10" s="43"/>
      <c r="M10" s="43"/>
      <c r="N10" s="42"/>
      <c r="O10" s="42"/>
    </row>
    <row r="11" spans="1:15" ht="14.4" customHeight="1" x14ac:dyDescent="0.35">
      <c r="C11" s="172" t="s">
        <v>144</v>
      </c>
      <c r="D11" s="178" t="s">
        <v>145</v>
      </c>
      <c r="E11" s="43" t="s">
        <v>126</v>
      </c>
      <c r="F11" s="190">
        <f>66920775+61978705</f>
        <v>128899480</v>
      </c>
      <c r="G11" s="477" t="s">
        <v>146</v>
      </c>
      <c r="H11" s="477"/>
      <c r="I11" s="477"/>
      <c r="J11" s="477"/>
      <c r="K11" s="477"/>
      <c r="L11" s="235"/>
      <c r="M11" s="43"/>
      <c r="N11" s="42"/>
      <c r="O11" s="42"/>
    </row>
    <row r="12" spans="1:15" ht="14.4" customHeight="1" x14ac:dyDescent="0.35">
      <c r="C12" s="172" t="s">
        <v>147</v>
      </c>
      <c r="D12" s="178" t="s">
        <v>148</v>
      </c>
      <c r="E12" s="172" t="s">
        <v>126</v>
      </c>
      <c r="F12" s="190">
        <v>1400000</v>
      </c>
      <c r="G12" s="477" t="s">
        <v>149</v>
      </c>
      <c r="H12" s="477"/>
      <c r="I12" s="477"/>
      <c r="J12" s="477"/>
      <c r="K12" s="477"/>
      <c r="L12" s="43"/>
      <c r="M12" s="43"/>
      <c r="N12" s="42"/>
      <c r="O12" s="42"/>
    </row>
    <row r="13" spans="1:15" ht="36.65" customHeight="1" x14ac:dyDescent="0.35">
      <c r="C13" s="172" t="s">
        <v>450</v>
      </c>
      <c r="D13" s="178" t="s">
        <v>451</v>
      </c>
      <c r="E13" s="172" t="s">
        <v>129</v>
      </c>
      <c r="F13" s="262">
        <f>LBFOR/F7</f>
        <v>1.0554386647948856E-4</v>
      </c>
      <c r="G13" s="475"/>
      <c r="H13" s="475"/>
      <c r="I13" s="475"/>
      <c r="J13" s="475"/>
      <c r="K13" s="475"/>
      <c r="L13" s="43"/>
      <c r="M13" s="43"/>
      <c r="N13" s="42"/>
      <c r="O13" s="42"/>
    </row>
    <row r="14" spans="1:15" ht="36.65" customHeight="1" x14ac:dyDescent="0.35">
      <c r="C14" s="172" t="s">
        <v>452</v>
      </c>
      <c r="D14" s="48" t="s">
        <v>453</v>
      </c>
      <c r="E14" s="43" t="s">
        <v>129</v>
      </c>
      <c r="F14" s="356">
        <f>COLB/CLB</f>
        <v>1.5183415681136612</v>
      </c>
      <c r="G14" s="475"/>
      <c r="H14" s="475"/>
      <c r="I14" s="475"/>
      <c r="J14" s="475"/>
      <c r="K14" s="475"/>
      <c r="L14" s="236"/>
      <c r="M14" s="43"/>
      <c r="N14" s="42"/>
      <c r="O14" s="42"/>
    </row>
    <row r="15" spans="1:15" ht="14.4" customHeight="1" x14ac:dyDescent="0.35">
      <c r="C15" s="172" t="s">
        <v>454</v>
      </c>
      <c r="D15" s="48" t="s">
        <v>455</v>
      </c>
      <c r="E15" s="43" t="s">
        <v>129</v>
      </c>
      <c r="F15" s="192">
        <f>PROPIMM*(1-F13)*F14</f>
        <v>3.2960390137641696E-2</v>
      </c>
      <c r="G15" s="475"/>
      <c r="H15" s="475"/>
      <c r="I15" s="475"/>
      <c r="J15" s="475"/>
      <c r="K15" s="475"/>
      <c r="L15" s="43"/>
      <c r="M15" s="43"/>
      <c r="N15" s="42"/>
      <c r="O15" s="42"/>
    </row>
    <row r="16" spans="1:15" ht="14.4" customHeight="1" x14ac:dyDescent="0.35">
      <c r="C16" s="172"/>
      <c r="D16" s="48"/>
      <c r="E16" s="43"/>
      <c r="F16" s="43"/>
      <c r="G16" s="43"/>
      <c r="H16" s="43"/>
      <c r="I16" s="43"/>
      <c r="J16" s="43"/>
      <c r="K16" s="43"/>
      <c r="L16" s="43"/>
      <c r="M16" s="43"/>
      <c r="N16" s="42"/>
      <c r="O16" s="42"/>
    </row>
    <row r="17" spans="1:15" ht="14.4" customHeight="1" x14ac:dyDescent="0.35">
      <c r="C17" s="172"/>
      <c r="D17" s="48"/>
      <c r="E17" s="43"/>
      <c r="F17" s="43">
        <v>1</v>
      </c>
      <c r="G17" s="43">
        <v>2</v>
      </c>
      <c r="H17" s="43">
        <v>3</v>
      </c>
      <c r="I17" s="43">
        <v>4</v>
      </c>
      <c r="J17" s="43">
        <v>5</v>
      </c>
      <c r="K17" s="43">
        <v>6</v>
      </c>
      <c r="L17" s="43"/>
      <c r="M17" s="43"/>
      <c r="N17" s="42"/>
      <c r="O17" s="42"/>
    </row>
    <row r="18" spans="1:15" s="4" customFormat="1" x14ac:dyDescent="0.35">
      <c r="C18" s="421" t="s">
        <v>67</v>
      </c>
      <c r="D18" s="438" t="s">
        <v>68</v>
      </c>
      <c r="E18" s="421" t="s">
        <v>69</v>
      </c>
      <c r="F18" s="421" t="s">
        <v>290</v>
      </c>
      <c r="G18" s="421"/>
      <c r="H18" s="421"/>
      <c r="I18" s="421"/>
      <c r="J18" s="421"/>
      <c r="K18" s="421"/>
      <c r="L18" s="421" t="s">
        <v>90</v>
      </c>
      <c r="M18" s="43"/>
      <c r="N18" s="42"/>
      <c r="O18" s="42"/>
    </row>
    <row r="19" spans="1:15" ht="14.4" customHeight="1" x14ac:dyDescent="0.35">
      <c r="B19" s="4"/>
      <c r="C19" s="421"/>
      <c r="D19" s="438"/>
      <c r="E19" s="421"/>
      <c r="F19" s="380">
        <v>2019</v>
      </c>
      <c r="G19" s="380">
        <v>2020</v>
      </c>
      <c r="H19" s="380">
        <v>2021</v>
      </c>
      <c r="I19" s="380">
        <v>2022</v>
      </c>
      <c r="J19" s="380">
        <v>2023</v>
      </c>
      <c r="K19" s="380">
        <v>2024</v>
      </c>
      <c r="L19" s="421"/>
      <c r="M19" s="43"/>
      <c r="N19" s="42"/>
      <c r="O19" s="42"/>
    </row>
    <row r="20" spans="1:15" ht="21.65" customHeight="1" x14ac:dyDescent="0.35">
      <c r="A20" s="472" t="s">
        <v>456</v>
      </c>
      <c r="B20" s="470" t="s">
        <v>428</v>
      </c>
      <c r="C20" s="172" t="s">
        <v>457</v>
      </c>
      <c r="D20" s="178" t="s">
        <v>458</v>
      </c>
      <c r="E20" s="239" t="s">
        <v>348</v>
      </c>
      <c r="F20" s="249">
        <f>(F21-F22)*LKPROP</f>
        <v>-239.20533083998498</v>
      </c>
      <c r="G20" s="249">
        <f>(G21-G22)*LKPROP</f>
        <v>10.080769928407083</v>
      </c>
      <c r="H20" s="249">
        <f t="shared" ref="H20:J20" si="0">(H21-H22)*LKPROP</f>
        <v>848.26495385958208</v>
      </c>
      <c r="I20" s="249">
        <f t="shared" si="0"/>
        <v>646.96257504101573</v>
      </c>
      <c r="J20" s="249">
        <f t="shared" si="0"/>
        <v>1363.2192777291571</v>
      </c>
      <c r="K20" s="249">
        <f>(K21-K22)*LKPROP</f>
        <v>2266.992108375935</v>
      </c>
      <c r="L20" s="246"/>
      <c r="M20" s="43"/>
      <c r="N20" s="42"/>
      <c r="O20" s="42"/>
    </row>
    <row r="21" spans="1:15" ht="14" customHeight="1" x14ac:dyDescent="0.35">
      <c r="A21" s="472"/>
      <c r="B21" s="470"/>
      <c r="C21" s="172" t="s">
        <v>459</v>
      </c>
      <c r="D21" s="178" t="s">
        <v>460</v>
      </c>
      <c r="E21" s="239" t="s">
        <v>348</v>
      </c>
      <c r="F21" s="249">
        <f>Leakage_AS!H8</f>
        <v>0</v>
      </c>
      <c r="G21" s="249">
        <f>Leakage_AS!I8</f>
        <v>11587.521345881425</v>
      </c>
      <c r="H21" s="249">
        <f>Leakage_AS!J8</f>
        <v>50073.151808736708</v>
      </c>
      <c r="I21" s="249">
        <f>Leakage_AS!K8</f>
        <v>37314.328666159687</v>
      </c>
      <c r="J21" s="249">
        <f>Leakage_AS!L8</f>
        <v>60029.217080649258</v>
      </c>
      <c r="K21" s="249">
        <f>Leakage_AS!M8</f>
        <v>82911.434323238209</v>
      </c>
      <c r="L21" s="246"/>
      <c r="M21" s="43"/>
      <c r="N21" s="42"/>
      <c r="O21" s="42"/>
    </row>
    <row r="22" spans="1:15" ht="14.4" customHeight="1" x14ac:dyDescent="0.35">
      <c r="A22" s="472"/>
      <c r="B22" s="470"/>
      <c r="C22" s="172" t="s">
        <v>461</v>
      </c>
      <c r="D22" s="178" t="s">
        <v>462</v>
      </c>
      <c r="E22" s="239" t="s">
        <v>348</v>
      </c>
      <c r="F22" s="249">
        <f>Leakage_AS!H11</f>
        <v>7257.3573868837721</v>
      </c>
      <c r="G22" s="249">
        <f>Leakage_AS!I11</f>
        <v>11281.676363879997</v>
      </c>
      <c r="H22" s="249">
        <f>Leakage_AS!J11</f>
        <v>24337.262448287678</v>
      </c>
      <c r="I22" s="249">
        <f>Leakage_AS!K11</f>
        <v>17685.842099728965</v>
      </c>
      <c r="J22" s="249">
        <f>Leakage_AS!L11</f>
        <v>18669.898454977949</v>
      </c>
      <c r="K22" s="249">
        <f>Leakage_AS!M11</f>
        <v>14132.148067552596</v>
      </c>
      <c r="L22" s="246"/>
      <c r="M22" s="43"/>
      <c r="N22" s="42"/>
      <c r="O22" s="42"/>
    </row>
    <row r="23" spans="1:15" ht="23.4" customHeight="1" x14ac:dyDescent="0.35">
      <c r="A23" s="472"/>
      <c r="B23" s="4"/>
      <c r="C23" s="247" t="s">
        <v>463</v>
      </c>
      <c r="D23" s="237"/>
      <c r="E23" s="248" t="s">
        <v>348</v>
      </c>
      <c r="F23" s="250">
        <f>IF(F20&lt;=0,0,F20)</f>
        <v>0</v>
      </c>
      <c r="G23" s="250">
        <f t="shared" ref="G23:K23" si="1">IF(G20&lt;=0,0,G20)</f>
        <v>10.080769928407083</v>
      </c>
      <c r="H23" s="250">
        <f t="shared" si="1"/>
        <v>848.26495385958208</v>
      </c>
      <c r="I23" s="250">
        <f t="shared" si="1"/>
        <v>646.96257504101573</v>
      </c>
      <c r="J23" s="250">
        <f t="shared" si="1"/>
        <v>1363.2192777291571</v>
      </c>
      <c r="K23" s="250">
        <f t="shared" si="1"/>
        <v>2266.992108375935</v>
      </c>
      <c r="L23" s="238">
        <f>SUM(F23:K23)</f>
        <v>5135.5196849340973</v>
      </c>
      <c r="M23" s="43"/>
      <c r="N23" s="42"/>
      <c r="O23" s="42"/>
    </row>
    <row r="24" spans="1:15" ht="15.65" hidden="1" customHeight="1" x14ac:dyDescent="0.35">
      <c r="A24" s="472"/>
      <c r="B24" s="476" t="s">
        <v>464</v>
      </c>
      <c r="C24" s="172" t="s">
        <v>465</v>
      </c>
      <c r="D24" s="178" t="s">
        <v>466</v>
      </c>
      <c r="E24" s="239" t="s">
        <v>126</v>
      </c>
      <c r="F24" s="163">
        <f>F25*PROPIMM</f>
        <v>3.3939936780311322</v>
      </c>
      <c r="G24" s="163">
        <f t="shared" ref="G24:K24" si="2">G25*PROPIMM</f>
        <v>5.240466922555882</v>
      </c>
      <c r="H24" s="163">
        <f t="shared" si="2"/>
        <v>11.385608037931805</v>
      </c>
      <c r="I24" s="163">
        <f t="shared" si="2"/>
        <v>8.2788435312711659</v>
      </c>
      <c r="J24" s="163">
        <f t="shared" si="2"/>
        <v>8.7614666967712775</v>
      </c>
      <c r="K24" s="163">
        <f t="shared" si="2"/>
        <v>6.672704899525848</v>
      </c>
      <c r="L24" s="43"/>
      <c r="M24" s="43"/>
      <c r="N24" s="42"/>
      <c r="O24" s="42"/>
    </row>
    <row r="25" spans="1:15" ht="15.65" hidden="1" customHeight="1" x14ac:dyDescent="0.35">
      <c r="A25" s="472"/>
      <c r="B25" s="476"/>
      <c r="C25" s="43" t="s">
        <v>467</v>
      </c>
      <c r="D25" s="178" t="s">
        <v>468</v>
      </c>
      <c r="E25" s="239" t="s">
        <v>126</v>
      </c>
      <c r="F25" s="163">
        <f>Deforestation!D10</f>
        <v>156.32999999999879</v>
      </c>
      <c r="G25" s="163">
        <f>Deforestation!E10</f>
        <v>241.38</v>
      </c>
      <c r="H25" s="163">
        <f>Deforestation!F10</f>
        <v>524.42999999999961</v>
      </c>
      <c r="I25" s="163">
        <f>Deforestation!G10</f>
        <v>381.32999999999993</v>
      </c>
      <c r="J25" s="163">
        <f>Deforestation!H10</f>
        <v>403.55999999999983</v>
      </c>
      <c r="K25" s="163">
        <f>Deforestation!I10</f>
        <v>307.3499999999998</v>
      </c>
      <c r="L25" s="43"/>
      <c r="M25" s="43"/>
      <c r="N25" s="42"/>
      <c r="O25" s="42"/>
    </row>
    <row r="26" spans="1:15" ht="15.65" hidden="1" customHeight="1" x14ac:dyDescent="0.35">
      <c r="A26" s="472"/>
      <c r="B26" s="476"/>
      <c r="C26" s="172" t="s">
        <v>469</v>
      </c>
      <c r="D26" s="178" t="s">
        <v>470</v>
      </c>
      <c r="E26" s="239" t="s">
        <v>126</v>
      </c>
      <c r="F26" s="249">
        <f>Deforestation!D20</f>
        <v>0</v>
      </c>
      <c r="G26" s="249">
        <f>Deforestation!E20</f>
        <v>0</v>
      </c>
      <c r="H26" s="249">
        <f>Deforestation!F20</f>
        <v>0</v>
      </c>
      <c r="I26" s="249">
        <f>Deforestation!G20</f>
        <v>0</v>
      </c>
      <c r="J26" s="249">
        <f>Deforestation!H20</f>
        <v>0</v>
      </c>
      <c r="K26" s="249">
        <f>Deforestation!I20</f>
        <v>0</v>
      </c>
      <c r="L26" s="43"/>
      <c r="M26" s="43"/>
      <c r="N26" s="42"/>
      <c r="O26" s="42"/>
    </row>
    <row r="27" spans="1:15" ht="15.65" hidden="1" customHeight="1" x14ac:dyDescent="0.35">
      <c r="A27" s="472"/>
      <c r="B27" s="476"/>
      <c r="C27" s="172" t="s">
        <v>471</v>
      </c>
      <c r="D27" s="178" t="s">
        <v>472</v>
      </c>
      <c r="E27" s="239" t="s">
        <v>126</v>
      </c>
      <c r="F27" s="249">
        <f>Deforestation!D29</f>
        <v>0</v>
      </c>
      <c r="G27" s="249">
        <f>Deforestation!E29</f>
        <v>0</v>
      </c>
      <c r="H27" s="249">
        <f>Deforestation!F29</f>
        <v>0</v>
      </c>
      <c r="I27" s="249">
        <f>Deforestation!G29</f>
        <v>0</v>
      </c>
      <c r="J27" s="249">
        <f>Deforestation!H29</f>
        <v>0</v>
      </c>
      <c r="K27" s="249">
        <f>Deforestation!I29</f>
        <v>0</v>
      </c>
      <c r="M27" s="43"/>
      <c r="N27" s="42"/>
      <c r="O27" s="42"/>
    </row>
    <row r="28" spans="1:15" ht="21" hidden="1" x14ac:dyDescent="0.35">
      <c r="A28" s="472"/>
      <c r="B28" s="476"/>
      <c r="C28" s="43" t="s">
        <v>473</v>
      </c>
      <c r="D28" s="178" t="s">
        <v>474</v>
      </c>
      <c r="E28" s="239" t="s">
        <v>126</v>
      </c>
      <c r="F28" s="163">
        <f t="shared" ref="F28:K28" si="3">(F26+F27)*PROPIMM</f>
        <v>0</v>
      </c>
      <c r="G28" s="163">
        <f t="shared" si="3"/>
        <v>0</v>
      </c>
      <c r="H28" s="163">
        <f t="shared" si="3"/>
        <v>0</v>
      </c>
      <c r="I28" s="163">
        <f t="shared" si="3"/>
        <v>0</v>
      </c>
      <c r="J28" s="163">
        <f t="shared" si="3"/>
        <v>0</v>
      </c>
      <c r="K28" s="163">
        <f t="shared" si="3"/>
        <v>0</v>
      </c>
      <c r="L28" s="43"/>
      <c r="M28" s="43"/>
      <c r="N28" s="42"/>
      <c r="O28" s="42"/>
    </row>
    <row r="29" spans="1:15" ht="21" hidden="1" x14ac:dyDescent="0.35">
      <c r="A29" s="472"/>
      <c r="B29" s="476"/>
      <c r="C29" s="43" t="s">
        <v>475</v>
      </c>
      <c r="D29" s="178" t="s">
        <v>476</v>
      </c>
      <c r="E29" s="239" t="s">
        <v>126</v>
      </c>
      <c r="F29" s="163">
        <f>F24-F28</f>
        <v>3.3939936780311322</v>
      </c>
      <c r="G29" s="163">
        <f t="shared" ref="G29:K29" si="4">G24-G28</f>
        <v>5.240466922555882</v>
      </c>
      <c r="H29" s="163">
        <f t="shared" si="4"/>
        <v>11.385608037931805</v>
      </c>
      <c r="I29" s="163">
        <f t="shared" si="4"/>
        <v>8.2788435312711659</v>
      </c>
      <c r="J29" s="163">
        <f t="shared" si="4"/>
        <v>8.7614666967712775</v>
      </c>
      <c r="K29" s="163">
        <f t="shared" si="4"/>
        <v>6.672704899525848</v>
      </c>
      <c r="L29" s="43"/>
      <c r="M29" s="43"/>
      <c r="N29" s="42"/>
      <c r="O29" s="42"/>
    </row>
    <row r="30" spans="1:15" ht="14" hidden="1" customHeight="1" x14ac:dyDescent="0.35">
      <c r="A30" s="472"/>
      <c r="B30" s="476"/>
      <c r="C30" s="43" t="s">
        <v>457</v>
      </c>
      <c r="D30" s="178" t="s">
        <v>477</v>
      </c>
      <c r="E30" s="43"/>
      <c r="F30" s="163">
        <f>IF(F29&lt;=0,0,(COLB*F29))</f>
        <v>1962.0224920207568</v>
      </c>
      <c r="G30" s="163">
        <f t="shared" ref="G30:K30" si="5">IF(G29&lt;=0,0,(COLB*G29))</f>
        <v>3029.4440550372542</v>
      </c>
      <c r="H30" s="163">
        <f t="shared" si="5"/>
        <v>6581.8681986212032</v>
      </c>
      <c r="I30" s="163">
        <f t="shared" si="5"/>
        <v>4785.889060847443</v>
      </c>
      <c r="J30" s="163">
        <f t="shared" si="5"/>
        <v>5064.8870778475175</v>
      </c>
      <c r="K30" s="163">
        <f t="shared" si="5"/>
        <v>3857.4017330172319</v>
      </c>
      <c r="L30" s="43"/>
      <c r="M30" s="43"/>
      <c r="N30" s="42"/>
      <c r="O30" s="42"/>
    </row>
    <row r="31" spans="1:15" ht="30" hidden="1" customHeight="1" x14ac:dyDescent="0.35">
      <c r="A31" s="472"/>
      <c r="B31" s="43"/>
      <c r="C31" s="260" t="s">
        <v>478</v>
      </c>
      <c r="D31" s="240"/>
      <c r="E31" s="251" t="s">
        <v>348</v>
      </c>
      <c r="F31" s="241">
        <f>F30</f>
        <v>1962.0224920207568</v>
      </c>
      <c r="G31" s="241">
        <f t="shared" ref="G31:K31" si="6">G30</f>
        <v>3029.4440550372542</v>
      </c>
      <c r="H31" s="241">
        <f t="shared" si="6"/>
        <v>6581.8681986212032</v>
      </c>
      <c r="I31" s="241">
        <f t="shared" si="6"/>
        <v>4785.889060847443</v>
      </c>
      <c r="J31" s="241">
        <f t="shared" si="6"/>
        <v>5064.8870778475175</v>
      </c>
      <c r="K31" s="241">
        <f t="shared" si="6"/>
        <v>3857.4017330172319</v>
      </c>
      <c r="L31" s="244">
        <f>SUM(F31:K31)</f>
        <v>25281.512617391407</v>
      </c>
      <c r="M31" s="43"/>
      <c r="N31" s="42"/>
      <c r="O31" s="42"/>
    </row>
    <row r="32" spans="1:15" ht="27.65" hidden="1" customHeight="1" x14ac:dyDescent="0.35">
      <c r="A32" s="472"/>
      <c r="B32" s="473" t="s">
        <v>479</v>
      </c>
      <c r="C32" s="474"/>
      <c r="D32" s="242"/>
      <c r="E32" s="242" t="s">
        <v>480</v>
      </c>
      <c r="F32" s="243">
        <f>F31</f>
        <v>1962.0224920207568</v>
      </c>
      <c r="G32" s="243">
        <f t="shared" ref="G32:K32" si="7">G31</f>
        <v>3029.4440550372542</v>
      </c>
      <c r="H32" s="243">
        <f t="shared" si="7"/>
        <v>6581.8681986212032</v>
      </c>
      <c r="I32" s="243">
        <f t="shared" si="7"/>
        <v>4785.889060847443</v>
      </c>
      <c r="J32" s="243">
        <f t="shared" si="7"/>
        <v>5064.8870778475175</v>
      </c>
      <c r="K32" s="243">
        <f t="shared" si="7"/>
        <v>3857.4017330172319</v>
      </c>
      <c r="L32" s="245">
        <f t="shared" ref="L32" si="8">SUM(F32:K32)</f>
        <v>25281.512617391407</v>
      </c>
      <c r="M32" s="43"/>
      <c r="N32" s="42"/>
      <c r="O32" s="42"/>
    </row>
    <row r="33" spans="1:20" ht="15.65" customHeight="1" x14ac:dyDescent="0.35">
      <c r="B33" s="43"/>
      <c r="C33" s="43"/>
      <c r="D33" s="43"/>
      <c r="E33" s="43"/>
      <c r="F33" s="43"/>
      <c r="G33" s="43"/>
      <c r="H33" s="43"/>
      <c r="I33" s="43"/>
      <c r="J33" s="43"/>
      <c r="K33" s="43"/>
      <c r="L33" s="43"/>
      <c r="M33" s="43"/>
      <c r="N33" s="42"/>
      <c r="O33" s="42"/>
    </row>
    <row r="34" spans="1:20" x14ac:dyDescent="0.35">
      <c r="A34" s="43"/>
      <c r="B34" s="43"/>
      <c r="C34" s="43"/>
      <c r="D34" s="43"/>
      <c r="E34" s="43"/>
      <c r="F34" s="43"/>
      <c r="G34" s="43"/>
      <c r="H34" s="43"/>
      <c r="I34" s="43"/>
      <c r="J34" s="43"/>
      <c r="K34" s="43"/>
      <c r="L34" s="43"/>
      <c r="M34" s="43"/>
      <c r="N34" s="236"/>
      <c r="O34" s="236"/>
      <c r="P34" s="236"/>
      <c r="Q34" s="236"/>
      <c r="R34" s="236"/>
      <c r="S34" s="236"/>
      <c r="T34" s="236"/>
    </row>
    <row r="35" spans="1:20" x14ac:dyDescent="0.35">
      <c r="A35" s="43"/>
      <c r="B35" s="43"/>
      <c r="C35" s="43"/>
      <c r="D35" s="43"/>
      <c r="E35" s="43"/>
      <c r="F35" s="43"/>
      <c r="G35" s="43"/>
      <c r="H35" s="43"/>
      <c r="I35" s="43"/>
      <c r="J35" s="43"/>
      <c r="K35" s="43"/>
      <c r="L35" s="43"/>
      <c r="M35" s="43"/>
      <c r="N35" s="236"/>
      <c r="O35" s="236"/>
      <c r="P35" s="236"/>
      <c r="Q35" s="236"/>
      <c r="R35" s="236"/>
      <c r="S35" s="236"/>
      <c r="T35" s="236"/>
    </row>
    <row r="37" spans="1:20" ht="14" customHeight="1" x14ac:dyDescent="0.35"/>
  </sheetData>
  <mergeCells count="25">
    <mergeCell ref="C1:L1"/>
    <mergeCell ref="B2:N2"/>
    <mergeCell ref="F5:F6"/>
    <mergeCell ref="G9:K9"/>
    <mergeCell ref="G10:K10"/>
    <mergeCell ref="L18:L19"/>
    <mergeCell ref="G13:K13"/>
    <mergeCell ref="G14:K14"/>
    <mergeCell ref="D5:D6"/>
    <mergeCell ref="E5:E6"/>
    <mergeCell ref="G11:K11"/>
    <mergeCell ref="G12:K12"/>
    <mergeCell ref="A20:A32"/>
    <mergeCell ref="B32:C32"/>
    <mergeCell ref="C5:C6"/>
    <mergeCell ref="B20:B22"/>
    <mergeCell ref="G15:K15"/>
    <mergeCell ref="G5:K6"/>
    <mergeCell ref="G8:K8"/>
    <mergeCell ref="G7:K7"/>
    <mergeCell ref="B24:B30"/>
    <mergeCell ref="C18:C19"/>
    <mergeCell ref="D18:D19"/>
    <mergeCell ref="E18:E19"/>
    <mergeCell ref="F18:K18"/>
  </mergeCells>
  <hyperlinks>
    <hyperlink ref="G10" r:id="rId1" display="http://meioambiente.am.gov.br/unidade-de-conservacao/" xr:uid="{EEB04C0D-FF6D-4F48-ABDC-AAD5CC76FD44}"/>
    <hyperlink ref="G9" r:id="rId2" display="https://www.ibge.gov.br/geociencias/cartas-e-mapas/mapas-regionais/15819-amazonia-legal.html?=&amp;t=acesso-ao-produto" xr:uid="{3AEAC382-1642-446A-A3A4-933F9DD9D40E}"/>
  </hyperlinks>
  <pageMargins left="0.511811024" right="0.511811024" top="0.78740157499999996" bottom="0.78740157499999996" header="0.31496062000000002" footer="0.31496062000000002"/>
  <pageSetup paperSize="9" orientation="portrait" r:id="rId3"/>
  <headerFooter>
    <oddHeader>&amp;L&amp;G</oddHeader>
  </headerFooter>
  <drawing r:id="rId4"/>
  <legacyDrawingHF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61F09-501C-4126-81DD-B050E2F1DF65}">
  <sheetPr>
    <tabColor theme="5"/>
  </sheetPr>
  <dimension ref="A1:I6"/>
  <sheetViews>
    <sheetView showGridLines="0" workbookViewId="0">
      <selection activeCell="A4" sqref="A4"/>
    </sheetView>
  </sheetViews>
  <sheetFormatPr defaultColWidth="8.90625" defaultRowHeight="14.5" x14ac:dyDescent="0.35"/>
  <cols>
    <col min="1" max="1" width="31.36328125" style="365" customWidth="1"/>
    <col min="3" max="8" width="13.90625" bestFit="1" customWidth="1"/>
    <col min="9" max="9" width="14" bestFit="1" customWidth="1"/>
  </cols>
  <sheetData>
    <row r="1" spans="1:9" x14ac:dyDescent="0.35">
      <c r="A1" s="478" t="s">
        <v>481</v>
      </c>
      <c r="B1" s="479" t="s">
        <v>69</v>
      </c>
      <c r="C1" s="480" t="s">
        <v>290</v>
      </c>
      <c r="D1" s="480"/>
      <c r="E1" s="480"/>
      <c r="F1" s="480"/>
      <c r="G1" s="480"/>
      <c r="H1" s="480"/>
      <c r="I1" s="480" t="s">
        <v>90</v>
      </c>
    </row>
    <row r="2" spans="1:9" x14ac:dyDescent="0.35">
      <c r="A2" s="478"/>
      <c r="B2" s="479"/>
      <c r="C2" s="357" t="s">
        <v>482</v>
      </c>
      <c r="D2" s="357" t="s">
        <v>483</v>
      </c>
      <c r="E2" s="357" t="s">
        <v>484</v>
      </c>
      <c r="F2" s="357" t="s">
        <v>485</v>
      </c>
      <c r="G2" s="357" t="s">
        <v>486</v>
      </c>
      <c r="H2" s="357" t="s">
        <v>487</v>
      </c>
      <c r="I2" s="480"/>
    </row>
    <row r="3" spans="1:9" ht="15.5" x14ac:dyDescent="0.35">
      <c r="A3" s="363" t="s">
        <v>488</v>
      </c>
      <c r="B3" s="358" t="s">
        <v>489</v>
      </c>
      <c r="C3" s="360">
        <f>Leakage_ME!E32</f>
        <v>2522.0315985479788</v>
      </c>
      <c r="D3" s="360">
        <f>Leakage_ME!F32</f>
        <v>3894.1213283279976</v>
      </c>
      <c r="E3" s="360">
        <f>Leakage_ME!G32</f>
        <v>8460.4940269079889</v>
      </c>
      <c r="F3" s="360">
        <f>Leakage_ME!H32</f>
        <v>6151.8986085479955</v>
      </c>
      <c r="G3" s="360">
        <f>Leakage_ME!I32</f>
        <v>6510.5294691359932</v>
      </c>
      <c r="H3" s="360">
        <f>Leakage_ME!J32</f>
        <v>4958.3983356599929</v>
      </c>
      <c r="I3" s="361">
        <f>SUM(C3:H3)</f>
        <v>32497.473367127946</v>
      </c>
    </row>
    <row r="4" spans="1:9" ht="27" x14ac:dyDescent="0.35">
      <c r="A4" s="363" t="s">
        <v>490</v>
      </c>
      <c r="B4" s="358" t="s">
        <v>491</v>
      </c>
      <c r="C4" s="360">
        <f>Leakage_AS!H11</f>
        <v>7257.3573868837721</v>
      </c>
      <c r="D4" s="360">
        <f>Leakage_AS!I11</f>
        <v>11281.676363879997</v>
      </c>
      <c r="E4" s="360">
        <f>Leakage_AS!J11</f>
        <v>24337.262448287678</v>
      </c>
      <c r="F4" s="360">
        <f>Leakage_AS!K11</f>
        <v>17685.842099728965</v>
      </c>
      <c r="G4" s="360">
        <f>Leakage_AS!L11</f>
        <v>18669.898454977949</v>
      </c>
      <c r="H4" s="360">
        <f>Leakage_AS!M11</f>
        <v>14132.148067552596</v>
      </c>
      <c r="I4" s="361">
        <f t="shared" ref="I4:I5" si="0">SUM(C4:H4)</f>
        <v>93364.184821310948</v>
      </c>
    </row>
    <row r="5" spans="1:9" ht="27" x14ac:dyDescent="0.35">
      <c r="A5" s="363" t="s">
        <v>492</v>
      </c>
      <c r="B5" s="358" t="s">
        <v>491</v>
      </c>
      <c r="C5" s="360">
        <f>Leakage_Outside!F23</f>
        <v>0</v>
      </c>
      <c r="D5" s="360">
        <f>Leakage_Outside!G23</f>
        <v>10.080769928407083</v>
      </c>
      <c r="E5" s="360">
        <f>Leakage_Outside!H23</f>
        <v>848.26495385958208</v>
      </c>
      <c r="F5" s="360">
        <f>Leakage_Outside!I23</f>
        <v>646.96257504101573</v>
      </c>
      <c r="G5" s="360">
        <f>Leakage_Outside!J23</f>
        <v>1363.2192777291571</v>
      </c>
      <c r="H5" s="360">
        <f>Leakage_Outside!K23</f>
        <v>2266.992108375935</v>
      </c>
      <c r="I5" s="361">
        <f t="shared" si="0"/>
        <v>5135.5196849340973</v>
      </c>
    </row>
    <row r="6" spans="1:9" ht="15.5" x14ac:dyDescent="0.35">
      <c r="A6" s="364" t="s">
        <v>493</v>
      </c>
      <c r="B6" s="359" t="s">
        <v>494</v>
      </c>
      <c r="C6" s="362">
        <f>SUM(C3:C5)</f>
        <v>9779.3889854317513</v>
      </c>
      <c r="D6" s="362">
        <f t="shared" ref="D6:H6" si="1">SUM(D3:D5)</f>
        <v>15185.878462136401</v>
      </c>
      <c r="E6" s="362">
        <f t="shared" si="1"/>
        <v>33646.021429055247</v>
      </c>
      <c r="F6" s="362">
        <f t="shared" si="1"/>
        <v>24484.703283317976</v>
      </c>
      <c r="G6" s="362">
        <f t="shared" si="1"/>
        <v>26543.647201843098</v>
      </c>
      <c r="H6" s="362">
        <f t="shared" si="1"/>
        <v>21357.538511588526</v>
      </c>
      <c r="I6" s="362">
        <f>SUM(I3:I5)</f>
        <v>130997.17787337299</v>
      </c>
    </row>
  </sheetData>
  <mergeCells count="4">
    <mergeCell ref="A1:A2"/>
    <mergeCell ref="B1:B2"/>
    <mergeCell ref="C1:H1"/>
    <mergeCell ref="I1:I2"/>
  </mergeCells>
  <pageMargins left="0.511811024" right="0.511811024" top="0.78740157499999996" bottom="0.78740157499999996" header="0.31496062000000002" footer="0.3149606200000000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D3E57-8439-4D0D-B0DA-6A4DE7943989}">
  <sheetPr>
    <tabColor theme="1" tint="4.9989318521683403E-2"/>
  </sheetPr>
  <dimension ref="A1:M35"/>
  <sheetViews>
    <sheetView showGridLines="0" zoomScale="115" zoomScaleNormal="115" workbookViewId="0">
      <selection activeCell="A10" sqref="A10"/>
    </sheetView>
  </sheetViews>
  <sheetFormatPr defaultColWidth="8.90625" defaultRowHeight="14.5" x14ac:dyDescent="0.35"/>
  <cols>
    <col min="1" max="1" width="35.453125" customWidth="1"/>
    <col min="2" max="2" width="8.36328125" bestFit="1" customWidth="1"/>
    <col min="3" max="3" width="16" bestFit="1" customWidth="1"/>
    <col min="4" max="8" width="17.08984375" bestFit="1" customWidth="1"/>
    <col min="9" max="9" width="17.453125" customWidth="1"/>
    <col min="11" max="11" width="19.36328125" customWidth="1"/>
    <col min="12" max="12" width="10.36328125" customWidth="1"/>
  </cols>
  <sheetData>
    <row r="1" spans="1:13" x14ac:dyDescent="0.35">
      <c r="A1" s="40" t="s">
        <v>0</v>
      </c>
      <c r="B1" s="407" t="str">
        <f>Projeto</f>
        <v>FLORESTAL SANTA MARIA - CARAGUA AGRONEGÓCIOS LTDA</v>
      </c>
      <c r="C1" s="407"/>
      <c r="D1" s="407"/>
      <c r="E1" s="407"/>
      <c r="F1" s="407"/>
      <c r="G1" s="407"/>
      <c r="H1" s="407"/>
      <c r="I1" s="407"/>
      <c r="J1" s="407"/>
      <c r="K1" s="407"/>
      <c r="L1" s="407"/>
      <c r="M1" s="41"/>
    </row>
    <row r="2" spans="1:13" x14ac:dyDescent="0.35">
      <c r="A2" s="407" t="s">
        <v>495</v>
      </c>
      <c r="B2" s="407"/>
      <c r="C2" s="407"/>
      <c r="D2" s="407"/>
      <c r="E2" s="407"/>
      <c r="F2" s="407"/>
      <c r="G2" s="407"/>
      <c r="H2" s="407"/>
      <c r="I2" s="407"/>
      <c r="J2" s="407"/>
      <c r="K2" s="407"/>
      <c r="L2" s="407"/>
      <c r="M2" s="407"/>
    </row>
    <row r="5" spans="1:13" ht="14.4" customHeight="1" x14ac:dyDescent="0.35">
      <c r="A5" s="482" t="s">
        <v>67</v>
      </c>
      <c r="B5" s="51" t="s">
        <v>69</v>
      </c>
      <c r="C5" s="421" t="s">
        <v>290</v>
      </c>
      <c r="D5" s="421"/>
      <c r="E5" s="421"/>
      <c r="F5" s="421"/>
      <c r="G5" s="421"/>
      <c r="H5" s="421"/>
      <c r="I5" s="421" t="s">
        <v>90</v>
      </c>
    </row>
    <row r="6" spans="1:13" x14ac:dyDescent="0.35">
      <c r="A6" s="482"/>
      <c r="B6" s="51"/>
      <c r="C6" s="30" t="s">
        <v>482</v>
      </c>
      <c r="D6" s="30" t="s">
        <v>483</v>
      </c>
      <c r="E6" s="30" t="s">
        <v>484</v>
      </c>
      <c r="F6" s="30" t="s">
        <v>485</v>
      </c>
      <c r="G6" s="30" t="s">
        <v>486</v>
      </c>
      <c r="H6" s="30" t="s">
        <v>487</v>
      </c>
      <c r="I6" s="421"/>
    </row>
    <row r="7" spans="1:13" hidden="1" x14ac:dyDescent="0.35">
      <c r="A7" s="158"/>
      <c r="B7" s="46"/>
      <c r="C7" s="156"/>
      <c r="D7" s="156"/>
      <c r="E7" s="156"/>
    </row>
    <row r="8" spans="1:13" hidden="1" x14ac:dyDescent="0.35">
      <c r="A8" s="158"/>
      <c r="B8" s="155"/>
      <c r="C8" s="155"/>
      <c r="D8" s="155"/>
      <c r="E8" s="155"/>
      <c r="F8" s="155"/>
      <c r="G8" s="155"/>
      <c r="H8" s="155"/>
      <c r="I8" s="155"/>
    </row>
    <row r="9" spans="1:13" ht="16.5" x14ac:dyDescent="0.35">
      <c r="A9" s="5" t="s">
        <v>519</v>
      </c>
      <c r="B9" s="43" t="s">
        <v>351</v>
      </c>
      <c r="C9" s="91">
        <f>'BL-GHG'!D21</f>
        <v>72573.573868837717</v>
      </c>
      <c r="D9" s="91">
        <f>'BL-GHG'!E21</f>
        <v>112816.76363879994</v>
      </c>
      <c r="E9" s="91">
        <f>'BL-GHG'!F21</f>
        <v>243372.62448287685</v>
      </c>
      <c r="F9" s="91">
        <f>'BL-GHG'!G21</f>
        <v>176858.42099728965</v>
      </c>
      <c r="G9" s="91">
        <f>'BL-GHG'!H21</f>
        <v>186698.98454977942</v>
      </c>
      <c r="H9" s="91">
        <f>'BL-GHG'!I21</f>
        <v>141321.48067552599</v>
      </c>
      <c r="I9" s="368">
        <f>SUM(C9:H9)</f>
        <v>933641.84821310965</v>
      </c>
    </row>
    <row r="10" spans="1:13" ht="16.5" x14ac:dyDescent="0.35">
      <c r="A10" s="5" t="s">
        <v>520</v>
      </c>
      <c r="B10" s="43" t="s">
        <v>351</v>
      </c>
      <c r="C10" s="91">
        <f>PER!D31</f>
        <v>0</v>
      </c>
      <c r="D10" s="91">
        <f>PER!E31</f>
        <v>0</v>
      </c>
      <c r="E10" s="91">
        <f>PER!F31</f>
        <v>0</v>
      </c>
      <c r="F10" s="91">
        <f>PER!G31</f>
        <v>108655.40424099649</v>
      </c>
      <c r="G10" s="91">
        <f>PER!H31</f>
        <v>108655.40424099649</v>
      </c>
      <c r="H10" s="91">
        <f>PER!I31</f>
        <v>108655.40424099649</v>
      </c>
      <c r="I10" s="368">
        <f>SUM(C10:H10)</f>
        <v>325966.2127229895</v>
      </c>
    </row>
    <row r="11" spans="1:13" ht="16.5" x14ac:dyDescent="0.35">
      <c r="A11" s="481" t="s">
        <v>496</v>
      </c>
      <c r="B11" s="43" t="s">
        <v>351</v>
      </c>
      <c r="C11" s="91">
        <f>'Total Leakage_Ex-ante'!C6</f>
        <v>9779.3889854317513</v>
      </c>
      <c r="D11" s="91">
        <f>'Total Leakage_Ex-ante'!D6</f>
        <v>15185.878462136401</v>
      </c>
      <c r="E11" s="91">
        <f>'Total Leakage_Ex-ante'!E6</f>
        <v>33646.021429055247</v>
      </c>
      <c r="F11" s="91">
        <f>'Total Leakage_Ex-ante'!F6</f>
        <v>24484.703283317976</v>
      </c>
      <c r="G11" s="91">
        <f>'Total Leakage_Ex-ante'!G6</f>
        <v>26543.647201843098</v>
      </c>
      <c r="H11" s="91">
        <f>'Total Leakage_Ex-ante'!H6</f>
        <v>21357.538511588526</v>
      </c>
      <c r="I11" s="368">
        <f t="shared" ref="I11:I14" si="0">SUM(C11:H11)</f>
        <v>130997.177873373</v>
      </c>
      <c r="L11" s="157"/>
    </row>
    <row r="12" spans="1:13" x14ac:dyDescent="0.35">
      <c r="A12" s="481"/>
      <c r="B12" s="43" t="s">
        <v>73</v>
      </c>
      <c r="C12" s="91">
        <f>C11/C13</f>
        <v>0.15573717540230481</v>
      </c>
      <c r="D12" s="91">
        <f t="shared" ref="D12:H12" si="1">D11/D13</f>
        <v>0.15554379574309385</v>
      </c>
      <c r="E12" s="91">
        <f t="shared" si="1"/>
        <v>0.16042800931849716</v>
      </c>
      <c r="F12" s="91">
        <f>F11/F13</f>
        <v>0.56005598885815622</v>
      </c>
      <c r="G12" s="91">
        <f t="shared" si="1"/>
        <v>0.51541129474333691</v>
      </c>
      <c r="H12" s="91">
        <f t="shared" si="1"/>
        <v>1.8886206737885831</v>
      </c>
      <c r="I12" s="368"/>
      <c r="L12" s="157"/>
    </row>
    <row r="13" spans="1:13" ht="16.5" x14ac:dyDescent="0.35">
      <c r="A13" s="5" t="s">
        <v>521</v>
      </c>
      <c r="B13" s="43" t="s">
        <v>351</v>
      </c>
      <c r="C13" s="367">
        <f>C9-(C10+C11)</f>
        <v>62794.184883405964</v>
      </c>
      <c r="D13" s="367">
        <f>D9-(D10+D11)</f>
        <v>97630.885176663534</v>
      </c>
      <c r="E13" s="367">
        <f t="shared" ref="E13:H13" si="2">E9-(E10+E11)</f>
        <v>209726.6030538216</v>
      </c>
      <c r="F13" s="91">
        <f>F9-(F10+F11)</f>
        <v>43718.313472975191</v>
      </c>
      <c r="G13" s="91">
        <f t="shared" si="2"/>
        <v>51499.933106939832</v>
      </c>
      <c r="H13" s="91">
        <f t="shared" si="2"/>
        <v>11308.537922940974</v>
      </c>
      <c r="I13" s="368">
        <f t="shared" si="0"/>
        <v>476678.45761674712</v>
      </c>
    </row>
    <row r="14" spans="1:13" ht="14.4" customHeight="1" x14ac:dyDescent="0.35">
      <c r="A14" s="5" t="s">
        <v>497</v>
      </c>
      <c r="B14" s="43" t="s">
        <v>351</v>
      </c>
      <c r="C14" s="367">
        <f>C13*Buffer</f>
        <v>6279.4184883405969</v>
      </c>
      <c r="D14" s="367">
        <f t="shared" ref="D14:H14" si="3">D13*Buffer</f>
        <v>9763.0885176663542</v>
      </c>
      <c r="E14" s="367">
        <f t="shared" si="3"/>
        <v>20972.66030538216</v>
      </c>
      <c r="F14" s="91">
        <f t="shared" si="3"/>
        <v>4371.8313472975196</v>
      </c>
      <c r="G14" s="91">
        <f t="shared" si="3"/>
        <v>5149.9933106939834</v>
      </c>
      <c r="H14" s="91">
        <f t="shared" si="3"/>
        <v>1130.8537922940975</v>
      </c>
      <c r="I14" s="368">
        <f t="shared" si="0"/>
        <v>47667.845761674718</v>
      </c>
    </row>
    <row r="15" spans="1:13" ht="16.5" x14ac:dyDescent="0.35">
      <c r="A15" s="5" t="s">
        <v>498</v>
      </c>
      <c r="B15" s="43" t="s">
        <v>351</v>
      </c>
      <c r="C15" s="367">
        <f>C13-C14</f>
        <v>56514.766395065366</v>
      </c>
      <c r="D15" s="367">
        <f t="shared" ref="D15:H15" si="4">D13-D14</f>
        <v>87867.796658997177</v>
      </c>
      <c r="E15" s="367">
        <f t="shared" si="4"/>
        <v>188753.94274843944</v>
      </c>
      <c r="F15" s="91">
        <f>F13-F14</f>
        <v>39346.48212567767</v>
      </c>
      <c r="G15" s="91">
        <f>G13-G14</f>
        <v>46349.939796245846</v>
      </c>
      <c r="H15" s="91">
        <f t="shared" si="4"/>
        <v>10177.684130646876</v>
      </c>
      <c r="I15" s="368">
        <f>SUM(C15:H15)</f>
        <v>429010.61185507238</v>
      </c>
      <c r="L15" s="157"/>
    </row>
    <row r="20" spans="11:11" x14ac:dyDescent="0.35">
      <c r="K20" s="24"/>
    </row>
    <row r="21" spans="11:11" x14ac:dyDescent="0.35">
      <c r="K21" s="24"/>
    </row>
    <row r="22" spans="11:11" x14ac:dyDescent="0.35">
      <c r="K22" s="24"/>
    </row>
    <row r="23" spans="11:11" x14ac:dyDescent="0.35">
      <c r="K23" s="200"/>
    </row>
    <row r="28" spans="11:11" x14ac:dyDescent="0.35">
      <c r="K28" s="99"/>
    </row>
    <row r="29" spans="11:11" x14ac:dyDescent="0.35">
      <c r="K29" s="99"/>
    </row>
    <row r="31" spans="11:11" x14ac:dyDescent="0.35">
      <c r="K31" s="200"/>
    </row>
    <row r="32" spans="11:11" ht="12.65" customHeight="1" x14ac:dyDescent="0.35"/>
    <row r="34" spans="11:13" x14ac:dyDescent="0.35">
      <c r="K34" s="200"/>
      <c r="L34" s="200"/>
      <c r="M34" s="200"/>
    </row>
    <row r="35" spans="11:13" x14ac:dyDescent="0.35">
      <c r="K35" s="200"/>
    </row>
  </sheetData>
  <mergeCells count="6">
    <mergeCell ref="A11:A12"/>
    <mergeCell ref="B1:L1"/>
    <mergeCell ref="A2:M2"/>
    <mergeCell ref="I5:I6"/>
    <mergeCell ref="A5:A6"/>
    <mergeCell ref="C5:H5"/>
  </mergeCells>
  <pageMargins left="0.511811024" right="0.511811024" top="0.78740157499999996" bottom="0.78740157499999996" header="0.31496062000000002" footer="0.31496062000000002"/>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EB380-4DB6-47C9-8B35-0359B94F4671}">
  <dimension ref="A1:H11"/>
  <sheetViews>
    <sheetView showGridLines="0" zoomScale="120" zoomScaleNormal="120" workbookViewId="0">
      <selection activeCell="G3" sqref="G3:G9"/>
    </sheetView>
  </sheetViews>
  <sheetFormatPr defaultColWidth="8.90625" defaultRowHeight="14.5" x14ac:dyDescent="0.35"/>
  <cols>
    <col min="1" max="1" width="22.36328125" style="1" customWidth="1"/>
    <col min="2" max="2" width="22" style="1" customWidth="1"/>
    <col min="3" max="3" width="14" style="1" bestFit="1" customWidth="1"/>
    <col min="4" max="4" width="24.6328125" style="1" customWidth="1"/>
    <col min="5" max="5" width="15.453125" style="1" bestFit="1" customWidth="1"/>
    <col min="6" max="6" width="13.54296875" style="1" bestFit="1" customWidth="1"/>
    <col min="7" max="7" width="15.453125" style="1" bestFit="1" customWidth="1"/>
    <col min="8" max="8" width="10.6328125" bestFit="1" customWidth="1"/>
  </cols>
  <sheetData>
    <row r="1" spans="1:8" ht="77.400000000000006" customHeight="1" x14ac:dyDescent="0.35">
      <c r="A1" s="483" t="s">
        <v>290</v>
      </c>
      <c r="B1" s="372" t="s">
        <v>499</v>
      </c>
      <c r="C1" s="372" t="str">
        <f>'Resume_Ex-ante'!$A$10</f>
        <v>Project emissions</v>
      </c>
      <c r="D1" s="371" t="s">
        <v>500</v>
      </c>
      <c r="E1" s="372" t="str">
        <f>'Resume_Ex-ante'!A13</f>
        <v xml:space="preserve">Net GHG emission reductions </v>
      </c>
      <c r="F1" s="372" t="str">
        <f>'Resume_Ex-ante'!A14</f>
        <v>Buffer pool allocation</v>
      </c>
      <c r="G1" s="372" t="s">
        <v>518</v>
      </c>
    </row>
    <row r="2" spans="1:8" ht="18.649999999999999" customHeight="1" thickBot="1" x14ac:dyDescent="0.4">
      <c r="A2" s="484"/>
      <c r="B2" s="373" t="s">
        <v>501</v>
      </c>
      <c r="C2" s="373" t="s">
        <v>501</v>
      </c>
      <c r="D2" s="373" t="s">
        <v>501</v>
      </c>
      <c r="E2" s="373" t="s">
        <v>501</v>
      </c>
      <c r="F2" s="373" t="s">
        <v>501</v>
      </c>
      <c r="G2" s="373" t="s">
        <v>501</v>
      </c>
    </row>
    <row r="3" spans="1:8" ht="15" thickBot="1" x14ac:dyDescent="0.4">
      <c r="A3" s="374" t="s">
        <v>482</v>
      </c>
      <c r="B3" s="383">
        <f>'Resume_Ex-ante'!$C$9</f>
        <v>72573.573868837717</v>
      </c>
      <c r="C3" s="383">
        <f>'Resume_Ex-ante'!$C$10</f>
        <v>0</v>
      </c>
      <c r="D3" s="383">
        <f>'Resume_Ex-ante'!$C$11</f>
        <v>9779.3889854317513</v>
      </c>
      <c r="E3" s="383">
        <f>'Resume_Ex-ante'!$C$13</f>
        <v>62794.184883405964</v>
      </c>
      <c r="F3" s="383">
        <f>'Resume_Ex-ante'!$C$14</f>
        <v>6279.4184883405969</v>
      </c>
      <c r="G3" s="388">
        <f>ROUNDDOWN(B3-C3-D3-F3,0)</f>
        <v>56514</v>
      </c>
      <c r="H3" s="157"/>
    </row>
    <row r="4" spans="1:8" ht="15" thickBot="1" x14ac:dyDescent="0.4">
      <c r="A4" s="374" t="s">
        <v>483</v>
      </c>
      <c r="B4" s="383">
        <f>'Resume_Ex-ante'!$D$9</f>
        <v>112816.76363879994</v>
      </c>
      <c r="C4" s="383">
        <f>'Resume_Ex-ante'!$D$10</f>
        <v>0</v>
      </c>
      <c r="D4" s="383">
        <f>'Resume_Ex-ante'!$D$11</f>
        <v>15185.878462136401</v>
      </c>
      <c r="E4" s="383">
        <f>'Resume_Ex-ante'!$D$13</f>
        <v>97630.885176663534</v>
      </c>
      <c r="F4" s="383">
        <f>'Resume_Ex-ante'!$D$14</f>
        <v>9763.0885176663542</v>
      </c>
      <c r="G4" s="388">
        <f t="shared" ref="G4:G8" si="0">ROUNDDOWN(B4-C4-D4-F4,0)</f>
        <v>87867</v>
      </c>
    </row>
    <row r="5" spans="1:8" ht="15" thickBot="1" x14ac:dyDescent="0.4">
      <c r="A5" s="374" t="s">
        <v>484</v>
      </c>
      <c r="B5" s="383">
        <f>'Resume_Ex-ante'!$E$9</f>
        <v>243372.62448287685</v>
      </c>
      <c r="C5" s="383">
        <f>'Resume_Ex-ante'!$E$10</f>
        <v>0</v>
      </c>
      <c r="D5" s="383">
        <f>'Resume_Ex-ante'!$E$11</f>
        <v>33646.021429055247</v>
      </c>
      <c r="E5" s="383">
        <f>'Resume_Ex-ante'!$E$13</f>
        <v>209726.6030538216</v>
      </c>
      <c r="F5" s="383">
        <f>'Resume_Ex-ante'!$E$14</f>
        <v>20972.66030538216</v>
      </c>
      <c r="G5" s="388">
        <f t="shared" si="0"/>
        <v>188753</v>
      </c>
    </row>
    <row r="6" spans="1:8" ht="15" thickBot="1" x14ac:dyDescent="0.4">
      <c r="A6" s="375" t="s">
        <v>485</v>
      </c>
      <c r="B6" s="383">
        <f>'Resume_Ex-ante'!$F$9</f>
        <v>176858.42099728965</v>
      </c>
      <c r="C6" s="383">
        <f>'Resume_Ex-ante'!$F$10</f>
        <v>108655.40424099649</v>
      </c>
      <c r="D6" s="383">
        <f>'Resume_Ex-ante'!$F$11</f>
        <v>24484.703283317976</v>
      </c>
      <c r="E6" s="383">
        <f>'Resume_Ex-ante'!$F$13</f>
        <v>43718.313472975191</v>
      </c>
      <c r="F6" s="383">
        <f>'Resume_Ex-ante'!$F$14</f>
        <v>4371.8313472975196</v>
      </c>
      <c r="G6" s="388">
        <f t="shared" si="0"/>
        <v>39346</v>
      </c>
    </row>
    <row r="7" spans="1:8" ht="15.5" thickTop="1" thickBot="1" x14ac:dyDescent="0.4">
      <c r="A7" s="375" t="s">
        <v>486</v>
      </c>
      <c r="B7" s="383">
        <f>'Resume_Ex-ante'!$G$9</f>
        <v>186698.98454977942</v>
      </c>
      <c r="C7" s="383">
        <f>'Resume_Ex-ante'!$G$10</f>
        <v>108655.40424099649</v>
      </c>
      <c r="D7" s="383">
        <f>'Resume_Ex-ante'!$G$11</f>
        <v>26543.647201843098</v>
      </c>
      <c r="E7" s="383">
        <f>'Resume_Ex-ante'!$G$13</f>
        <v>51499.933106939832</v>
      </c>
      <c r="F7" s="383">
        <f>'Resume_Ex-ante'!$G$14</f>
        <v>5149.9933106939834</v>
      </c>
      <c r="G7" s="388">
        <f t="shared" si="0"/>
        <v>46349</v>
      </c>
    </row>
    <row r="8" spans="1:8" ht="15.5" thickTop="1" thickBot="1" x14ac:dyDescent="0.4">
      <c r="A8" s="375" t="s">
        <v>487</v>
      </c>
      <c r="B8" s="383">
        <f>'Resume_Ex-ante'!$H$9</f>
        <v>141321.48067552599</v>
      </c>
      <c r="C8" s="383">
        <f>'Resume_Ex-ante'!$H$10</f>
        <v>108655.40424099649</v>
      </c>
      <c r="D8" s="383">
        <f>'Resume_Ex-ante'!$H$11</f>
        <v>21357.538511588526</v>
      </c>
      <c r="E8" s="383">
        <f>'Resume_Ex-ante'!$H$13</f>
        <v>11308.537922940974</v>
      </c>
      <c r="F8" s="383">
        <f>'Resume_Ex-ante'!$H$14</f>
        <v>1130.8537922940975</v>
      </c>
      <c r="G8" s="388">
        <f t="shared" si="0"/>
        <v>10177</v>
      </c>
    </row>
    <row r="9" spans="1:8" ht="15.5" thickTop="1" thickBot="1" x14ac:dyDescent="0.4">
      <c r="A9" s="376" t="s">
        <v>502</v>
      </c>
      <c r="B9" s="384">
        <f>SUM(B3:B8)</f>
        <v>933641.84821310965</v>
      </c>
      <c r="C9" s="384">
        <f t="shared" ref="C9:D9" si="1">SUM(C3:C8)</f>
        <v>325966.2127229895</v>
      </c>
      <c r="D9" s="384">
        <f t="shared" si="1"/>
        <v>130997.177873373</v>
      </c>
      <c r="E9" s="384">
        <f t="shared" ref="E9" si="2">SUM(E3:E8)</f>
        <v>476678.45761674712</v>
      </c>
      <c r="F9" s="384">
        <f t="shared" ref="F9" si="3">SUM(F3:F8)</f>
        <v>47667.845761674718</v>
      </c>
      <c r="G9" s="389">
        <f>SUM(G3:G8)</f>
        <v>429006</v>
      </c>
    </row>
    <row r="10" spans="1:8" x14ac:dyDescent="0.35">
      <c r="G10" s="379"/>
    </row>
    <row r="11" spans="1:8" x14ac:dyDescent="0.35">
      <c r="G11" s="378"/>
    </row>
  </sheetData>
  <mergeCells count="1">
    <mergeCell ref="A1:A2"/>
  </mergeCells>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67B43-6146-4356-A7E7-447E539C9A77}">
  <sheetPr codeName="Planilha2">
    <tabColor theme="1"/>
  </sheetPr>
  <dimension ref="A1:M76"/>
  <sheetViews>
    <sheetView showGridLines="0" zoomScale="62" zoomScaleNormal="115" workbookViewId="0">
      <selection activeCell="D7" sqref="D7"/>
    </sheetView>
  </sheetViews>
  <sheetFormatPr defaultColWidth="8.90625" defaultRowHeight="14.5" x14ac:dyDescent="0.35"/>
  <cols>
    <col min="1" max="1" width="15.54296875" bestFit="1" customWidth="1"/>
    <col min="2" max="2" width="108.08984375" bestFit="1" customWidth="1"/>
    <col min="3" max="3" width="12" bestFit="1" customWidth="1"/>
    <col min="4" max="4" width="19" style="340" bestFit="1" customWidth="1"/>
    <col min="5" max="5" width="91" bestFit="1" customWidth="1"/>
    <col min="6" max="6" width="19.54296875" customWidth="1"/>
    <col min="7" max="7" width="7.90625" bestFit="1" customWidth="1"/>
    <col min="8" max="8" width="8.6328125" bestFit="1" customWidth="1"/>
    <col min="9" max="9" width="6.6328125" bestFit="1" customWidth="1"/>
    <col min="10" max="10" width="75.6328125" bestFit="1" customWidth="1"/>
    <col min="12" max="12" width="11.36328125" bestFit="1" customWidth="1"/>
    <col min="16" max="16" width="8.90625" customWidth="1"/>
  </cols>
  <sheetData>
    <row r="1" spans="1:12" ht="25.25" customHeight="1" x14ac:dyDescent="0.35">
      <c r="A1" s="40" t="s">
        <v>0</v>
      </c>
      <c r="B1" s="407" t="str">
        <f>Projeto</f>
        <v>FLORESTAL SANTA MARIA - CARAGUA AGRONEGÓCIOS LTDA</v>
      </c>
      <c r="C1" s="407"/>
      <c r="D1" s="407"/>
      <c r="E1" s="407"/>
      <c r="F1" s="407"/>
      <c r="G1" s="407"/>
      <c r="H1" s="41"/>
      <c r="I1" s="41"/>
    </row>
    <row r="2" spans="1:12" x14ac:dyDescent="0.35">
      <c r="A2" s="391" t="s">
        <v>63</v>
      </c>
      <c r="B2" s="391"/>
      <c r="C2" s="391"/>
      <c r="D2" s="391"/>
      <c r="E2" s="391"/>
      <c r="F2" s="391"/>
      <c r="G2" s="391"/>
      <c r="H2" s="391"/>
      <c r="I2" s="391"/>
    </row>
    <row r="4" spans="1:12" x14ac:dyDescent="0.35">
      <c r="A4" s="391" t="s">
        <v>64</v>
      </c>
      <c r="B4" s="391"/>
      <c r="C4" s="391"/>
      <c r="D4" s="391"/>
      <c r="E4" s="407" t="s">
        <v>65</v>
      </c>
      <c r="G4" s="391" t="s">
        <v>66</v>
      </c>
      <c r="H4" s="410"/>
      <c r="I4" s="410"/>
    </row>
    <row r="5" spans="1:12" ht="16.5" x14ac:dyDescent="0.45">
      <c r="A5" s="3" t="s">
        <v>67</v>
      </c>
      <c r="B5" s="366" t="s">
        <v>68</v>
      </c>
      <c r="C5" s="3" t="s">
        <v>69</v>
      </c>
      <c r="D5" s="335" t="s">
        <v>70</v>
      </c>
      <c r="E5" s="407"/>
      <c r="G5" s="3" t="s">
        <v>71</v>
      </c>
      <c r="H5" s="3" t="s">
        <v>72</v>
      </c>
      <c r="I5" s="3" t="s">
        <v>73</v>
      </c>
    </row>
    <row r="6" spans="1:12" ht="22" x14ac:dyDescent="0.35">
      <c r="A6" s="1" t="s">
        <v>74</v>
      </c>
      <c r="B6" s="17" t="s">
        <v>75</v>
      </c>
      <c r="C6" s="13"/>
      <c r="D6" s="336">
        <v>1.66</v>
      </c>
      <c r="E6" s="224" t="s">
        <v>76</v>
      </c>
      <c r="G6" s="16" t="s">
        <v>77</v>
      </c>
      <c r="H6" s="1"/>
      <c r="I6" s="15">
        <v>0.91</v>
      </c>
    </row>
    <row r="7" spans="1:12" ht="13.25" customHeight="1" x14ac:dyDescent="0.35">
      <c r="A7" s="1" t="str">
        <f>B7</f>
        <v>Root-shoot ratio</v>
      </c>
      <c r="B7" s="17" t="s">
        <v>78</v>
      </c>
      <c r="C7" s="13"/>
      <c r="D7" s="387">
        <v>0.221</v>
      </c>
      <c r="E7" s="224" t="s">
        <v>516</v>
      </c>
      <c r="G7" s="2" t="s">
        <v>79</v>
      </c>
      <c r="H7" s="252">
        <f>8.7*CF*tC_to_tCO2</f>
        <v>14.992999999999997</v>
      </c>
      <c r="I7" s="216">
        <v>0.9</v>
      </c>
      <c r="J7" s="225" t="s">
        <v>80</v>
      </c>
    </row>
    <row r="8" spans="1:12" ht="17.399999999999999" customHeight="1" x14ac:dyDescent="0.35">
      <c r="A8" s="1" t="s">
        <v>81</v>
      </c>
      <c r="B8" s="17" t="s">
        <v>82</v>
      </c>
      <c r="C8" s="13" t="s">
        <v>83</v>
      </c>
      <c r="D8" s="336">
        <v>0.47</v>
      </c>
      <c r="E8" s="224" t="s">
        <v>84</v>
      </c>
      <c r="G8" s="84" t="s">
        <v>85</v>
      </c>
      <c r="H8" s="254">
        <f>22.9*tC_to_tCO2</f>
        <v>83.966666666666654</v>
      </c>
      <c r="I8" s="255">
        <v>0.1</v>
      </c>
      <c r="J8" s="225" t="s">
        <v>86</v>
      </c>
    </row>
    <row r="9" spans="1:12" ht="17.5" x14ac:dyDescent="0.45">
      <c r="A9" s="1" t="s">
        <v>87</v>
      </c>
      <c r="B9" s="17" t="s">
        <v>88</v>
      </c>
      <c r="C9" s="13" t="s">
        <v>89</v>
      </c>
      <c r="D9" s="337">
        <f>44/12</f>
        <v>3.6666666666666665</v>
      </c>
      <c r="E9" s="14"/>
      <c r="G9" s="253" t="s">
        <v>90</v>
      </c>
      <c r="H9" s="220">
        <f>SUM(H7:H8)</f>
        <v>98.959666666666649</v>
      </c>
      <c r="I9" s="220">
        <f>SUM(I7:I8)</f>
        <v>1</v>
      </c>
    </row>
    <row r="10" spans="1:12" ht="17.5" x14ac:dyDescent="0.45">
      <c r="A10" s="1" t="s">
        <v>91</v>
      </c>
      <c r="B10" s="18" t="s">
        <v>92</v>
      </c>
      <c r="C10" s="13" t="s">
        <v>93</v>
      </c>
      <c r="D10" s="337">
        <f>1/D9</f>
        <v>0.27272727272727276</v>
      </c>
      <c r="E10" s="14"/>
      <c r="G10" s="1"/>
      <c r="H10" s="1"/>
      <c r="I10" s="1"/>
    </row>
    <row r="11" spans="1:12" ht="19.25" customHeight="1" x14ac:dyDescent="0.35">
      <c r="B11" s="11"/>
      <c r="C11" s="11"/>
      <c r="D11" s="338"/>
      <c r="E11" s="12"/>
      <c r="G11" s="2" t="s">
        <v>94</v>
      </c>
      <c r="H11" s="232">
        <v>0.1</v>
      </c>
      <c r="I11" s="216">
        <v>0.13500000000000001</v>
      </c>
      <c r="J11" s="370" t="s">
        <v>95</v>
      </c>
    </row>
    <row r="12" spans="1:12" x14ac:dyDescent="0.35">
      <c r="B12" s="11"/>
      <c r="C12" s="11"/>
      <c r="D12" s="338"/>
      <c r="E12" s="12"/>
      <c r="G12" s="1"/>
      <c r="H12" s="1"/>
      <c r="I12" s="217"/>
    </row>
    <row r="13" spans="1:12" x14ac:dyDescent="0.35">
      <c r="A13" s="391" t="s">
        <v>96</v>
      </c>
      <c r="B13" s="391"/>
      <c r="C13" s="391"/>
      <c r="D13" s="391"/>
      <c r="E13" s="407" t="s">
        <v>65</v>
      </c>
      <c r="I13" s="217"/>
    </row>
    <row r="14" spans="1:12" x14ac:dyDescent="0.35">
      <c r="A14" s="3" t="s">
        <v>67</v>
      </c>
      <c r="B14" s="3" t="s">
        <v>68</v>
      </c>
      <c r="C14" s="3" t="s">
        <v>69</v>
      </c>
      <c r="D14" s="335" t="s">
        <v>70</v>
      </c>
      <c r="E14" s="407"/>
      <c r="I14" s="217"/>
    </row>
    <row r="15" spans="1:12" ht="16.25" customHeight="1" x14ac:dyDescent="0.35">
      <c r="A15" s="7" t="s">
        <v>97</v>
      </c>
      <c r="B15" s="19" t="s">
        <v>98</v>
      </c>
      <c r="C15" s="20" t="s">
        <v>99</v>
      </c>
      <c r="D15" s="337">
        <v>0.67</v>
      </c>
      <c r="E15" s="234" t="s">
        <v>100</v>
      </c>
      <c r="I15" s="193"/>
      <c r="L15" s="99"/>
    </row>
    <row r="16" spans="1:12" ht="37.25" customHeight="1" x14ac:dyDescent="0.35">
      <c r="A16" s="7" t="s">
        <v>101</v>
      </c>
      <c r="B16" s="19" t="s">
        <v>102</v>
      </c>
      <c r="C16" s="20" t="s">
        <v>99</v>
      </c>
      <c r="D16" s="339">
        <v>0.28999999999999998</v>
      </c>
      <c r="E16" s="234" t="s">
        <v>103</v>
      </c>
    </row>
    <row r="17" spans="1:13" ht="16.25" customHeight="1" x14ac:dyDescent="0.35">
      <c r="A17" s="7" t="s">
        <v>104</v>
      </c>
      <c r="B17" s="19" t="s">
        <v>105</v>
      </c>
      <c r="C17" s="20" t="s">
        <v>106</v>
      </c>
      <c r="D17" s="336">
        <v>0.59</v>
      </c>
      <c r="E17" s="224" t="s">
        <v>517</v>
      </c>
    </row>
    <row r="19" spans="1:13" x14ac:dyDescent="0.35">
      <c r="G19" s="24"/>
      <c r="H19" s="24"/>
      <c r="L19" s="193"/>
      <c r="M19" s="193"/>
    </row>
    <row r="20" spans="1:13" x14ac:dyDescent="0.35">
      <c r="G20" s="24"/>
      <c r="H20" s="24"/>
      <c r="I20" s="318"/>
      <c r="J20" s="318"/>
      <c r="L20" s="193"/>
      <c r="M20" s="221"/>
    </row>
    <row r="21" spans="1:13" x14ac:dyDescent="0.35">
      <c r="G21" s="24"/>
      <c r="H21" s="24"/>
      <c r="I21" s="318"/>
      <c r="J21" s="318"/>
    </row>
    <row r="22" spans="1:13" x14ac:dyDescent="0.35">
      <c r="A22" s="391" t="s">
        <v>96</v>
      </c>
      <c r="B22" s="391"/>
      <c r="C22" s="391"/>
      <c r="D22" s="391"/>
      <c r="E22" s="407" t="s">
        <v>65</v>
      </c>
      <c r="G22" s="157"/>
    </row>
    <row r="23" spans="1:13" x14ac:dyDescent="0.35">
      <c r="A23" s="3" t="s">
        <v>67</v>
      </c>
      <c r="B23" s="3" t="s">
        <v>68</v>
      </c>
      <c r="C23" s="3" t="s">
        <v>69</v>
      </c>
      <c r="D23" s="335" t="s">
        <v>70</v>
      </c>
      <c r="E23" s="407"/>
      <c r="G23" s="99"/>
      <c r="H23" s="99"/>
    </row>
    <row r="24" spans="1:13" x14ac:dyDescent="0.35">
      <c r="B24" s="303" t="s">
        <v>107</v>
      </c>
      <c r="C24" s="105" t="s">
        <v>108</v>
      </c>
      <c r="D24" s="341">
        <f>SUM('Biomass inventory'!C17:F17)</f>
        <v>15771732.309027323</v>
      </c>
      <c r="E24" s="369" t="s">
        <v>109</v>
      </c>
      <c r="G24" s="157"/>
    </row>
    <row r="25" spans="1:13" x14ac:dyDescent="0.35">
      <c r="B25" s="303" t="s">
        <v>110</v>
      </c>
      <c r="C25" s="105" t="s">
        <v>108</v>
      </c>
      <c r="D25" s="341">
        <f>SUM('Biomass inventory'!C28:F28)</f>
        <v>8747468.1212396361</v>
      </c>
      <c r="E25" s="369" t="s">
        <v>111</v>
      </c>
      <c r="G25" s="157"/>
      <c r="H25" s="200"/>
    </row>
    <row r="26" spans="1:13" ht="29" customHeight="1" x14ac:dyDescent="0.45">
      <c r="A26" s="1" t="s">
        <v>112</v>
      </c>
      <c r="B26" s="303" t="s">
        <v>113</v>
      </c>
      <c r="C26" s="105" t="s">
        <v>73</v>
      </c>
      <c r="D26" s="342">
        <f>D25/D24</f>
        <v>0.55462950738980121</v>
      </c>
      <c r="E26" s="305"/>
    </row>
    <row r="27" spans="1:13" ht="16.5" x14ac:dyDescent="0.35">
      <c r="B27" s="303" t="s">
        <v>114</v>
      </c>
      <c r="C27" s="105" t="s">
        <v>115</v>
      </c>
      <c r="D27" s="343">
        <f>45000000000</f>
        <v>45000000000</v>
      </c>
      <c r="E27" s="409" t="s">
        <v>116</v>
      </c>
    </row>
    <row r="28" spans="1:13" ht="16.5" x14ac:dyDescent="0.35">
      <c r="B28" s="303" t="s">
        <v>117</v>
      </c>
      <c r="C28" s="105" t="s">
        <v>115</v>
      </c>
      <c r="D28" s="343">
        <f>14000000000</f>
        <v>14000000000</v>
      </c>
      <c r="E28" s="409"/>
    </row>
    <row r="29" spans="1:13" ht="16.5" x14ac:dyDescent="0.45">
      <c r="A29" s="1" t="s">
        <v>118</v>
      </c>
      <c r="B29" s="4" t="s">
        <v>119</v>
      </c>
      <c r="C29" s="233" t="s">
        <v>73</v>
      </c>
      <c r="D29" s="342">
        <f>D28/D27</f>
        <v>0.31111111111111112</v>
      </c>
      <c r="E29" s="305"/>
    </row>
    <row r="30" spans="1:13" ht="16.5" x14ac:dyDescent="0.45">
      <c r="A30" s="1" t="s">
        <v>120</v>
      </c>
      <c r="B30" s="4"/>
      <c r="C30" s="233"/>
      <c r="D30" s="344">
        <f>D29-D26</f>
        <v>-0.2435183962786901</v>
      </c>
      <c r="E30" s="302"/>
    </row>
    <row r="31" spans="1:13" ht="27" customHeight="1" x14ac:dyDescent="0.35">
      <c r="A31" s="7" t="s">
        <v>121</v>
      </c>
      <c r="B31" s="49" t="s">
        <v>122</v>
      </c>
      <c r="C31" s="7"/>
      <c r="D31" s="345">
        <f>IF(D30&lt;-0.15,0.7,IF(D30&gt;0.15,0.2,0.4))</f>
        <v>0.7</v>
      </c>
      <c r="E31" s="304" t="s">
        <v>123</v>
      </c>
    </row>
    <row r="32" spans="1:13" x14ac:dyDescent="0.35">
      <c r="A32" s="213" t="s">
        <v>124</v>
      </c>
      <c r="B32" s="214" t="s">
        <v>125</v>
      </c>
      <c r="C32" s="7" t="s">
        <v>126</v>
      </c>
      <c r="D32" s="345">
        <v>37590.03</v>
      </c>
      <c r="E32" s="215"/>
      <c r="M32" s="200"/>
    </row>
    <row r="33" spans="1:8" ht="16.5" x14ac:dyDescent="0.35">
      <c r="A33" s="7" t="s">
        <v>127</v>
      </c>
      <c r="B33" s="49" t="s">
        <v>128</v>
      </c>
      <c r="C33" s="7" t="s">
        <v>129</v>
      </c>
      <c r="D33" s="346">
        <f>(D35-(D37-D36))/D34</f>
        <v>2.1710443792177819E-2</v>
      </c>
    </row>
    <row r="34" spans="1:8" x14ac:dyDescent="0.35">
      <c r="A34" s="7"/>
      <c r="B34" s="49" t="s">
        <v>130</v>
      </c>
      <c r="C34" s="7" t="s">
        <v>131</v>
      </c>
      <c r="D34" s="341">
        <v>39861</v>
      </c>
      <c r="E34" s="223" t="s">
        <v>132</v>
      </c>
    </row>
    <row r="35" spans="1:8" ht="16.5" x14ac:dyDescent="0.35">
      <c r="A35" s="7"/>
      <c r="B35" s="49" t="s">
        <v>133</v>
      </c>
      <c r="C35" s="7" t="s">
        <v>134</v>
      </c>
      <c r="D35" s="341">
        <v>1257.2</v>
      </c>
      <c r="E35" s="223" t="s">
        <v>132</v>
      </c>
    </row>
    <row r="36" spans="1:8" ht="16.5" x14ac:dyDescent="0.35">
      <c r="A36" s="7"/>
      <c r="B36" s="49" t="s">
        <v>135</v>
      </c>
      <c r="C36" s="7" t="s">
        <v>134</v>
      </c>
      <c r="D36" s="341">
        <f>606/(2020-2015)</f>
        <v>121.2</v>
      </c>
      <c r="E36" s="223" t="s">
        <v>136</v>
      </c>
    </row>
    <row r="37" spans="1:8" ht="16.5" x14ac:dyDescent="0.35">
      <c r="A37" s="7"/>
      <c r="B37" s="49" t="s">
        <v>137</v>
      </c>
      <c r="C37" s="7" t="s">
        <v>134</v>
      </c>
      <c r="D37" s="341">
        <f>2565/(2020-2015)</f>
        <v>513</v>
      </c>
      <c r="E37" s="223" t="s">
        <v>138</v>
      </c>
    </row>
    <row r="38" spans="1:8" x14ac:dyDescent="0.35">
      <c r="A38" s="7" t="s">
        <v>139</v>
      </c>
      <c r="B38" s="49" t="s">
        <v>140</v>
      </c>
      <c r="C38" s="7" t="s">
        <v>126</v>
      </c>
      <c r="D38" s="341">
        <f>Leakage_Outside!F7</f>
        <v>356155513.8526715</v>
      </c>
      <c r="E38" s="212"/>
    </row>
    <row r="39" spans="1:8" x14ac:dyDescent="0.35">
      <c r="A39" s="7" t="s">
        <v>141</v>
      </c>
      <c r="B39" s="49" t="s">
        <v>142</v>
      </c>
      <c r="C39" s="7" t="s">
        <v>126</v>
      </c>
      <c r="D39" s="341">
        <f>Leakage_Outside!F8</f>
        <v>486454993.8526715</v>
      </c>
      <c r="E39" s="223" t="s">
        <v>143</v>
      </c>
    </row>
    <row r="40" spans="1:8" x14ac:dyDescent="0.35">
      <c r="A40" s="7" t="s">
        <v>144</v>
      </c>
      <c r="B40" s="49" t="s">
        <v>145</v>
      </c>
      <c r="C40" s="7" t="s">
        <v>126</v>
      </c>
      <c r="D40" s="341">
        <f>Leakage_Outside!F11</f>
        <v>128899480</v>
      </c>
      <c r="E40" s="223" t="s">
        <v>146</v>
      </c>
      <c r="F40" s="209"/>
      <c r="G40" s="209"/>
      <c r="H40" s="209"/>
    </row>
    <row r="41" spans="1:8" ht="47.4" customHeight="1" x14ac:dyDescent="0.35">
      <c r="A41" s="7" t="s">
        <v>147</v>
      </c>
      <c r="B41" s="49" t="s">
        <v>148</v>
      </c>
      <c r="C41" s="7" t="s">
        <v>126</v>
      </c>
      <c r="D41" s="341">
        <f>Leakage_Outside!F12</f>
        <v>1400000</v>
      </c>
      <c r="E41" s="222" t="s">
        <v>149</v>
      </c>
      <c r="F41" s="209"/>
      <c r="G41" s="209"/>
      <c r="H41" s="209"/>
    </row>
    <row r="42" spans="1:8" ht="29" x14ac:dyDescent="0.35">
      <c r="A42" s="7" t="s">
        <v>150</v>
      </c>
      <c r="B42" s="49" t="s">
        <v>151</v>
      </c>
      <c r="C42" s="7" t="s">
        <v>129</v>
      </c>
      <c r="D42" s="347">
        <f>Leakage_Outside!F13</f>
        <v>1.0554386647948856E-4</v>
      </c>
      <c r="E42" s="191"/>
    </row>
    <row r="43" spans="1:8" ht="16.25" customHeight="1" x14ac:dyDescent="0.45">
      <c r="A43" s="7" t="s">
        <v>152</v>
      </c>
      <c r="B43" s="49" t="s">
        <v>153</v>
      </c>
      <c r="C43" t="s">
        <v>154</v>
      </c>
      <c r="D43" s="348">
        <f>157.66*tC_to_tCO2</f>
        <v>578.08666666666659</v>
      </c>
      <c r="E43" s="223" t="s">
        <v>155</v>
      </c>
      <c r="F43" s="211"/>
      <c r="G43" s="211"/>
      <c r="H43" s="211"/>
    </row>
    <row r="44" spans="1:8" ht="17.5" x14ac:dyDescent="0.45">
      <c r="A44" s="7" t="s">
        <v>156</v>
      </c>
      <c r="B44" s="49" t="s">
        <v>157</v>
      </c>
      <c r="C44" t="s">
        <v>154</v>
      </c>
      <c r="D44" s="345">
        <f>Biomass!C17</f>
        <v>380.73558598864082</v>
      </c>
      <c r="E44" s="50"/>
      <c r="F44" s="50"/>
    </row>
    <row r="45" spans="1:8" ht="29" x14ac:dyDescent="0.35">
      <c r="A45" s="7" t="s">
        <v>158</v>
      </c>
      <c r="B45" s="49" t="s">
        <v>159</v>
      </c>
      <c r="C45" s="7"/>
      <c r="D45" s="341">
        <f>Leakage_Outside!F14</f>
        <v>1.5183415681136612</v>
      </c>
      <c r="E45" s="334"/>
    </row>
    <row r="46" spans="1:8" ht="16.5" x14ac:dyDescent="0.35">
      <c r="A46" s="7" t="s">
        <v>160</v>
      </c>
      <c r="B46" s="49" t="s">
        <v>161</v>
      </c>
      <c r="C46" s="7" t="s">
        <v>129</v>
      </c>
      <c r="D46" s="349">
        <f>Leakage_Outside!F15</f>
        <v>3.2960390137641696E-2</v>
      </c>
    </row>
    <row r="49" spans="1:6" x14ac:dyDescent="0.35">
      <c r="A49" s="391" t="s">
        <v>162</v>
      </c>
      <c r="B49" s="391"/>
      <c r="C49" s="391"/>
      <c r="D49" s="391"/>
      <c r="E49" s="407" t="s">
        <v>65</v>
      </c>
    </row>
    <row r="50" spans="1:6" x14ac:dyDescent="0.35">
      <c r="A50" s="3" t="s">
        <v>67</v>
      </c>
      <c r="B50" s="3" t="s">
        <v>68</v>
      </c>
      <c r="C50" s="3" t="s">
        <v>69</v>
      </c>
      <c r="D50" s="335" t="s">
        <v>163</v>
      </c>
      <c r="E50" s="407"/>
    </row>
    <row r="51" spans="1:6" ht="72" customHeight="1" x14ac:dyDescent="0.35">
      <c r="A51" s="7" t="s">
        <v>164</v>
      </c>
      <c r="B51" s="49" t="s">
        <v>165</v>
      </c>
      <c r="C51" s="7"/>
      <c r="D51" s="350">
        <v>0.59</v>
      </c>
      <c r="E51" s="226" t="s">
        <v>166</v>
      </c>
      <c r="F51" s="1"/>
    </row>
    <row r="52" spans="1:6" ht="43.25" customHeight="1" x14ac:dyDescent="0.35">
      <c r="A52" s="7" t="s">
        <v>167</v>
      </c>
      <c r="B52" s="408" t="s">
        <v>168</v>
      </c>
      <c r="C52" s="218" t="s">
        <v>169</v>
      </c>
      <c r="D52" s="351">
        <v>4.8</v>
      </c>
      <c r="E52" s="227" t="s">
        <v>170</v>
      </c>
      <c r="F52" s="1"/>
    </row>
    <row r="53" spans="1:6" ht="44.4" customHeight="1" x14ac:dyDescent="0.35">
      <c r="A53" s="7" t="s">
        <v>171</v>
      </c>
      <c r="B53" s="408"/>
      <c r="C53" s="218" t="s">
        <v>169</v>
      </c>
      <c r="D53" s="351">
        <v>0.2</v>
      </c>
      <c r="E53" s="227" t="s">
        <v>170</v>
      </c>
      <c r="F53" s="1"/>
    </row>
    <row r="54" spans="1:6" ht="24.65" customHeight="1" x14ac:dyDescent="0.35">
      <c r="A54" s="7" t="s">
        <v>172</v>
      </c>
      <c r="B54" s="390" t="s">
        <v>173</v>
      </c>
      <c r="C54" s="7" t="s">
        <v>174</v>
      </c>
      <c r="D54" s="350">
        <v>28</v>
      </c>
      <c r="E54" s="227" t="s">
        <v>175</v>
      </c>
      <c r="F54" s="1"/>
    </row>
    <row r="55" spans="1:6" ht="23" customHeight="1" x14ac:dyDescent="0.35">
      <c r="A55" s="7" t="s">
        <v>176</v>
      </c>
      <c r="B55" s="390"/>
      <c r="C55" s="7" t="s">
        <v>174</v>
      </c>
      <c r="D55" s="350">
        <v>265</v>
      </c>
      <c r="E55" s="227" t="s">
        <v>175</v>
      </c>
      <c r="F55" s="1"/>
    </row>
    <row r="56" spans="1:6" x14ac:dyDescent="0.35">
      <c r="A56" s="7" t="s">
        <v>177</v>
      </c>
      <c r="B56" s="92" t="s">
        <v>178</v>
      </c>
      <c r="C56" s="7"/>
      <c r="D56" s="350">
        <v>1E-3</v>
      </c>
      <c r="E56" s="228"/>
      <c r="F56" s="1"/>
    </row>
    <row r="57" spans="1:6" ht="22" x14ac:dyDescent="0.35">
      <c r="A57" s="7" t="s">
        <v>179</v>
      </c>
      <c r="B57" s="111" t="s">
        <v>180</v>
      </c>
      <c r="C57" s="7"/>
      <c r="D57" s="350">
        <v>0.1</v>
      </c>
      <c r="E57" s="230" t="s">
        <v>181</v>
      </c>
      <c r="F57" s="1"/>
    </row>
    <row r="59" spans="1:6" x14ac:dyDescent="0.35">
      <c r="A59" s="391" t="s">
        <v>182</v>
      </c>
      <c r="B59" s="391"/>
      <c r="C59" s="391"/>
      <c r="D59" s="391"/>
      <c r="E59" s="407" t="s">
        <v>65</v>
      </c>
    </row>
    <row r="60" spans="1:6" x14ac:dyDescent="0.35">
      <c r="A60" s="3" t="s">
        <v>67</v>
      </c>
      <c r="B60" s="3" t="s">
        <v>68</v>
      </c>
      <c r="C60" s="3" t="s">
        <v>69</v>
      </c>
      <c r="D60" s="335" t="s">
        <v>70</v>
      </c>
      <c r="E60" s="407"/>
    </row>
    <row r="61" spans="1:6" ht="16.5" x14ac:dyDescent="0.45">
      <c r="A61" s="105" t="s">
        <v>183</v>
      </c>
      <c r="B61" s="105" t="s">
        <v>184</v>
      </c>
      <c r="C61" s="105" t="s">
        <v>185</v>
      </c>
      <c r="D61" s="352">
        <v>250</v>
      </c>
      <c r="E61" s="230" t="s">
        <v>186</v>
      </c>
    </row>
    <row r="62" spans="1:6" ht="16.5" x14ac:dyDescent="0.45">
      <c r="A62" s="105" t="s">
        <v>187</v>
      </c>
      <c r="B62" s="105" t="s">
        <v>188</v>
      </c>
      <c r="C62" s="105"/>
      <c r="D62" s="352">
        <v>3</v>
      </c>
      <c r="E62" s="230" t="s">
        <v>186</v>
      </c>
    </row>
    <row r="63" spans="1:6" ht="17.5" x14ac:dyDescent="0.45">
      <c r="A63" s="105" t="s">
        <v>189</v>
      </c>
      <c r="B63" s="105" t="s">
        <v>190</v>
      </c>
      <c r="C63" s="205" t="s">
        <v>191</v>
      </c>
      <c r="D63" s="353">
        <f>(D71+D72)*1/10000*WSKID</f>
        <v>0.1800874878595928</v>
      </c>
      <c r="E63" s="229"/>
      <c r="F63" s="125"/>
    </row>
    <row r="64" spans="1:6" ht="16.5" x14ac:dyDescent="0.35">
      <c r="A64" s="105" t="s">
        <v>192</v>
      </c>
      <c r="B64" s="105" t="s">
        <v>193</v>
      </c>
      <c r="C64" s="105" t="s">
        <v>194</v>
      </c>
      <c r="D64" s="354">
        <v>35.08</v>
      </c>
      <c r="E64" s="230" t="s">
        <v>195</v>
      </c>
      <c r="F64" s="125"/>
    </row>
    <row r="65" spans="1:7" ht="36.65" customHeight="1" x14ac:dyDescent="0.35">
      <c r="A65" s="7" t="s">
        <v>196</v>
      </c>
      <c r="B65" s="111" t="s">
        <v>197</v>
      </c>
      <c r="C65" s="1"/>
      <c r="D65" s="350">
        <v>0.24</v>
      </c>
      <c r="E65" s="230" t="s">
        <v>198</v>
      </c>
      <c r="F65" s="125"/>
    </row>
    <row r="66" spans="1:7" ht="32" customHeight="1" x14ac:dyDescent="0.45">
      <c r="A66" s="1" t="s">
        <v>199</v>
      </c>
      <c r="B66" s="124" t="s">
        <v>200</v>
      </c>
      <c r="C66" s="1"/>
      <c r="D66" s="354">
        <v>0.2</v>
      </c>
      <c r="E66" s="230" t="s">
        <v>201</v>
      </c>
      <c r="F66" s="219"/>
    </row>
    <row r="67" spans="1:7" ht="43.25" customHeight="1" x14ac:dyDescent="0.45">
      <c r="A67" s="1" t="s">
        <v>202</v>
      </c>
      <c r="B67" s="124" t="s">
        <v>203</v>
      </c>
      <c r="C67" s="1"/>
      <c r="D67" s="350">
        <v>0.8</v>
      </c>
      <c r="E67" s="234" t="s">
        <v>201</v>
      </c>
      <c r="F67" s="219"/>
    </row>
    <row r="68" spans="1:7" ht="16.5" x14ac:dyDescent="0.35">
      <c r="A68" s="7" t="s">
        <v>204</v>
      </c>
      <c r="B68" s="111" t="s">
        <v>205</v>
      </c>
      <c r="C68" s="233" t="s">
        <v>194</v>
      </c>
      <c r="D68" s="350">
        <v>35.08</v>
      </c>
      <c r="E68" s="230" t="s">
        <v>195</v>
      </c>
    </row>
    <row r="69" spans="1:7" ht="16.5" x14ac:dyDescent="0.45">
      <c r="A69" s="105" t="s">
        <v>206</v>
      </c>
      <c r="B69" s="105" t="s">
        <v>207</v>
      </c>
      <c r="C69" s="105" t="s">
        <v>185</v>
      </c>
      <c r="D69" s="354">
        <f>D70*140/100</f>
        <v>3.64</v>
      </c>
    </row>
    <row r="70" spans="1:7" x14ac:dyDescent="0.35">
      <c r="A70" s="105" t="s">
        <v>208</v>
      </c>
      <c r="B70" s="105" t="s">
        <v>209</v>
      </c>
      <c r="C70" s="105" t="s">
        <v>185</v>
      </c>
      <c r="D70" s="354">
        <v>2.6</v>
      </c>
      <c r="E70" s="230" t="s">
        <v>186</v>
      </c>
    </row>
    <row r="71" spans="1:7" ht="16.5" x14ac:dyDescent="0.35">
      <c r="A71" s="233" t="s">
        <v>210</v>
      </c>
      <c r="B71" s="274" t="s">
        <v>211</v>
      </c>
      <c r="C71" s="8" t="s">
        <v>154</v>
      </c>
      <c r="D71" s="355">
        <f>LARGE(Biomass!C11:F11,1)</f>
        <v>494.74584576811208</v>
      </c>
      <c r="E71" s="231"/>
      <c r="F71" s="331"/>
    </row>
    <row r="72" spans="1:7" ht="16.5" x14ac:dyDescent="0.45">
      <c r="A72" s="105" t="s">
        <v>212</v>
      </c>
      <c r="B72" s="105" t="s">
        <v>213</v>
      </c>
      <c r="C72" s="105"/>
      <c r="D72" s="354">
        <v>0</v>
      </c>
      <c r="E72" s="230" t="s">
        <v>214</v>
      </c>
      <c r="F72" s="333"/>
      <c r="G72" s="231"/>
    </row>
    <row r="73" spans="1:7" x14ac:dyDescent="0.35">
      <c r="E73" s="104"/>
    </row>
    <row r="75" spans="1:7" x14ac:dyDescent="0.35">
      <c r="E75" s="104"/>
    </row>
    <row r="76" spans="1:7" x14ac:dyDescent="0.35">
      <c r="E76" s="104"/>
    </row>
  </sheetData>
  <mergeCells count="16">
    <mergeCell ref="B1:G1"/>
    <mergeCell ref="G4:I4"/>
    <mergeCell ref="A4:D4"/>
    <mergeCell ref="A13:D13"/>
    <mergeCell ref="A2:I2"/>
    <mergeCell ref="E4:E5"/>
    <mergeCell ref="E13:E14"/>
    <mergeCell ref="A59:D59"/>
    <mergeCell ref="B52:B53"/>
    <mergeCell ref="B54:B55"/>
    <mergeCell ref="A22:D22"/>
    <mergeCell ref="E22:E23"/>
    <mergeCell ref="A49:D49"/>
    <mergeCell ref="E49:E50"/>
    <mergeCell ref="E59:E60"/>
    <mergeCell ref="E27:E28"/>
  </mergeCells>
  <hyperlinks>
    <hyperlink ref="E39" r:id="rId1" display="https://www.ibge.gov.br/geociencias/cartas-e-mapas/mapas-regionais/15819-amazonia-legal.html?=&amp;t=acesso-ao-produto" xr:uid="{808078C6-2171-424C-8763-A25F90136E84}"/>
  </hyperlinks>
  <pageMargins left="0.511811024" right="0.511811024" top="0.78740157499999996" bottom="0.78740157499999996" header="0.31496062000000002" footer="0.31496062000000002"/>
  <pageSetup paperSize="9" orientation="portrait" r:id="rId2"/>
  <headerFooter>
    <oddHeader>&amp;L&amp;G</oddHeader>
  </headerFooter>
  <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9210D-7AD9-4921-81A3-15EE59D223C1}">
  <sheetPr codeName="Planilha5">
    <tabColor theme="0" tint="-0.499984740745262"/>
  </sheetPr>
  <dimension ref="A1:R34"/>
  <sheetViews>
    <sheetView showGridLines="0" tabSelected="1" topLeftCell="L10" zoomScaleNormal="115" workbookViewId="0">
      <selection activeCell="M5" sqref="M5:P15"/>
    </sheetView>
  </sheetViews>
  <sheetFormatPr defaultColWidth="8.90625" defaultRowHeight="14.5" x14ac:dyDescent="0.35"/>
  <cols>
    <col min="1" max="1" width="5.36328125" customWidth="1"/>
    <col min="2" max="2" width="21.36328125" customWidth="1"/>
    <col min="3" max="3" width="4.90625" bestFit="1" customWidth="1"/>
    <col min="4" max="4" width="7.7265625" bestFit="1" customWidth="1"/>
    <col min="5" max="5" width="8.36328125" bestFit="1" customWidth="1"/>
    <col min="6" max="10" width="10.08984375" bestFit="1" customWidth="1"/>
    <col min="14" max="14" width="12.54296875" customWidth="1"/>
  </cols>
  <sheetData>
    <row r="1" spans="1:16" ht="25.25" customHeight="1" x14ac:dyDescent="0.35">
      <c r="A1" s="53" t="s">
        <v>0</v>
      </c>
      <c r="B1" s="40"/>
      <c r="C1" s="407" t="str">
        <f>Projeto</f>
        <v>FLORESTAL SANTA MARIA - CARAGUA AGRONEGÓCIOS LTDA</v>
      </c>
      <c r="D1" s="407"/>
      <c r="E1" s="407"/>
      <c r="F1" s="407"/>
      <c r="G1" s="407"/>
      <c r="H1" s="407"/>
      <c r="I1" s="407"/>
      <c r="J1" s="41"/>
    </row>
    <row r="2" spans="1:16" x14ac:dyDescent="0.35">
      <c r="A2" s="407" t="s">
        <v>215</v>
      </c>
      <c r="B2" s="407"/>
      <c r="C2" s="407"/>
      <c r="D2" s="407"/>
      <c r="E2" s="407"/>
      <c r="F2" s="407"/>
      <c r="G2" s="407"/>
      <c r="H2" s="407"/>
      <c r="I2" s="407"/>
      <c r="J2" s="407"/>
    </row>
    <row r="3" spans="1:16" x14ac:dyDescent="0.35">
      <c r="D3">
        <v>1</v>
      </c>
      <c r="E3">
        <v>2</v>
      </c>
      <c r="F3">
        <v>3</v>
      </c>
      <c r="G3">
        <v>4</v>
      </c>
      <c r="H3">
        <v>5</v>
      </c>
      <c r="I3">
        <v>6</v>
      </c>
    </row>
    <row r="4" spans="1:16" x14ac:dyDescent="0.35">
      <c r="B4" s="421" t="s">
        <v>67</v>
      </c>
      <c r="C4" s="421" t="s">
        <v>69</v>
      </c>
      <c r="D4" s="421" t="s">
        <v>216</v>
      </c>
      <c r="E4" s="421"/>
      <c r="F4" s="421"/>
      <c r="G4" s="421"/>
      <c r="H4" s="421"/>
      <c r="I4" s="421"/>
      <c r="J4" s="421" t="s">
        <v>217</v>
      </c>
      <c r="L4" s="167" t="s">
        <v>218</v>
      </c>
    </row>
    <row r="5" spans="1:16" ht="14.4" customHeight="1" x14ac:dyDescent="0.35">
      <c r="B5" s="421"/>
      <c r="C5" s="421"/>
      <c r="D5" s="380">
        <f>Overview!C9</f>
        <v>2025</v>
      </c>
      <c r="E5" s="380">
        <f>D5+1</f>
        <v>2026</v>
      </c>
      <c r="F5" s="380">
        <f t="shared" ref="F5:H5" si="0">E5+1</f>
        <v>2027</v>
      </c>
      <c r="G5" s="380">
        <f t="shared" si="0"/>
        <v>2028</v>
      </c>
      <c r="H5" s="380">
        <f t="shared" si="0"/>
        <v>2029</v>
      </c>
      <c r="I5" s="380">
        <f t="shared" ref="I5" si="1">H5+1</f>
        <v>2030</v>
      </c>
      <c r="J5" s="421"/>
      <c r="L5" s="166"/>
      <c r="M5" s="411" t="s">
        <v>219</v>
      </c>
      <c r="N5" s="411"/>
      <c r="O5" s="411"/>
      <c r="P5" s="411"/>
    </row>
    <row r="6" spans="1:16" ht="14.4" customHeight="1" x14ac:dyDescent="0.35">
      <c r="A6" s="413" t="s">
        <v>220</v>
      </c>
      <c r="B6" s="5" t="s">
        <v>221</v>
      </c>
      <c r="C6" s="2" t="s">
        <v>126</v>
      </c>
      <c r="D6" s="299">
        <v>0</v>
      </c>
      <c r="E6" s="299">
        <v>1.44</v>
      </c>
      <c r="F6" s="299">
        <v>90.08999999999989</v>
      </c>
      <c r="G6" s="159">
        <v>90.63</v>
      </c>
      <c r="H6" s="159">
        <v>79.199999999999903</v>
      </c>
      <c r="I6" s="159">
        <v>58.499999999999901</v>
      </c>
      <c r="J6" s="79">
        <f>SUM(D6:I6)</f>
        <v>319.85999999999967</v>
      </c>
      <c r="M6" s="411"/>
      <c r="N6" s="411"/>
      <c r="O6" s="411"/>
      <c r="P6" s="411"/>
    </row>
    <row r="7" spans="1:16" x14ac:dyDescent="0.35">
      <c r="A7" s="413"/>
      <c r="B7" s="5" t="s">
        <v>222</v>
      </c>
      <c r="C7" s="2" t="s">
        <v>126</v>
      </c>
      <c r="D7" s="299">
        <v>26.459999999999901</v>
      </c>
      <c r="E7" s="299">
        <v>60.39</v>
      </c>
      <c r="F7" s="299">
        <v>75.149999999999906</v>
      </c>
      <c r="G7" s="159">
        <v>30.689999999999898</v>
      </c>
      <c r="H7" s="159">
        <v>15.479999999999899</v>
      </c>
      <c r="I7" s="159">
        <v>2.16</v>
      </c>
      <c r="J7" s="79">
        <f>SUM(D7:I7)</f>
        <v>210.32999999999961</v>
      </c>
      <c r="M7" s="411"/>
      <c r="N7" s="411"/>
      <c r="O7" s="411"/>
      <c r="P7" s="411"/>
    </row>
    <row r="8" spans="1:16" x14ac:dyDescent="0.35">
      <c r="A8" s="413"/>
      <c r="B8" s="5" t="s">
        <v>223</v>
      </c>
      <c r="C8" s="2" t="s">
        <v>126</v>
      </c>
      <c r="D8" s="299">
        <v>19.529999999999902</v>
      </c>
      <c r="E8" s="299">
        <v>37.44</v>
      </c>
      <c r="F8" s="299">
        <v>37.979999999999997</v>
      </c>
      <c r="G8" s="159">
        <v>29.79</v>
      </c>
      <c r="H8" s="159">
        <v>35.82</v>
      </c>
      <c r="I8" s="159">
        <v>11.52</v>
      </c>
      <c r="J8" s="79">
        <f>SUM(D8:I8)</f>
        <v>172.0799999999999</v>
      </c>
      <c r="M8" s="411"/>
      <c r="N8" s="411"/>
      <c r="O8" s="411"/>
      <c r="P8" s="411"/>
    </row>
    <row r="9" spans="1:16" x14ac:dyDescent="0.35">
      <c r="A9" s="413"/>
      <c r="B9" s="5" t="s">
        <v>224</v>
      </c>
      <c r="C9" s="2" t="s">
        <v>126</v>
      </c>
      <c r="D9" s="299">
        <v>110.33999999999899</v>
      </c>
      <c r="E9" s="299">
        <v>142.10999999999999</v>
      </c>
      <c r="F9" s="299">
        <v>321.20999999999987</v>
      </c>
      <c r="G9" s="159">
        <v>230.22</v>
      </c>
      <c r="H9" s="159">
        <v>273.06</v>
      </c>
      <c r="I9" s="159">
        <v>235.1699999999999</v>
      </c>
      <c r="J9" s="79">
        <f>SUM(D9:I9)</f>
        <v>1312.1099999999988</v>
      </c>
      <c r="K9" s="200"/>
      <c r="M9" s="411"/>
      <c r="N9" s="411"/>
      <c r="O9" s="411"/>
      <c r="P9" s="411"/>
    </row>
    <row r="10" spans="1:16" ht="16.5" x14ac:dyDescent="0.45">
      <c r="A10" s="413"/>
      <c r="B10" s="5" t="s">
        <v>225</v>
      </c>
      <c r="C10" s="2" t="s">
        <v>126</v>
      </c>
      <c r="D10" s="75">
        <f>SUM(D6:D9)</f>
        <v>156.32999999999879</v>
      </c>
      <c r="E10" s="75">
        <f>SUM(E6:E9)</f>
        <v>241.38</v>
      </c>
      <c r="F10" s="75">
        <f t="shared" ref="F10:H10" si="2">SUM(F6:F9)</f>
        <v>524.42999999999961</v>
      </c>
      <c r="G10" s="75">
        <f t="shared" si="2"/>
        <v>381.32999999999993</v>
      </c>
      <c r="H10" s="75">
        <f t="shared" si="2"/>
        <v>403.55999999999983</v>
      </c>
      <c r="I10" s="75">
        <f t="shared" ref="I10" si="3">SUM(I6:I9)</f>
        <v>307.3499999999998</v>
      </c>
      <c r="J10" s="79">
        <f>SUM(D10:I10)</f>
        <v>2014.3799999999983</v>
      </c>
      <c r="M10" s="411"/>
      <c r="N10" s="411"/>
      <c r="O10" s="411"/>
      <c r="P10" s="411"/>
    </row>
    <row r="11" spans="1:16" ht="16.5" x14ac:dyDescent="0.45">
      <c r="A11" s="413"/>
      <c r="B11" s="5" t="s">
        <v>226</v>
      </c>
      <c r="C11" s="2" t="s">
        <v>126</v>
      </c>
      <c r="D11" s="75">
        <f>D10</f>
        <v>156.32999999999879</v>
      </c>
      <c r="E11" s="75">
        <f>D11+E10</f>
        <v>397.70999999999879</v>
      </c>
      <c r="F11" s="75">
        <f>E11+F10</f>
        <v>922.13999999999839</v>
      </c>
      <c r="G11" s="75">
        <f t="shared" ref="G11" si="4">F11+G10</f>
        <v>1303.4699999999984</v>
      </c>
      <c r="H11" s="75">
        <f t="shared" ref="H11" si="5">G11+H10</f>
        <v>1707.0299999999984</v>
      </c>
      <c r="I11" s="75">
        <f t="shared" ref="I11" si="6">H11+I10</f>
        <v>2014.3799999999983</v>
      </c>
      <c r="J11" s="80"/>
      <c r="M11" s="411"/>
      <c r="N11" s="411"/>
      <c r="O11" s="411"/>
      <c r="P11" s="411"/>
    </row>
    <row r="12" spans="1:16" ht="14.4" customHeight="1" x14ac:dyDescent="0.35">
      <c r="A12" s="414" t="s">
        <v>227</v>
      </c>
      <c r="B12" s="112" t="s">
        <v>221</v>
      </c>
      <c r="C12" s="81" t="s">
        <v>126</v>
      </c>
      <c r="D12" s="76">
        <v>0</v>
      </c>
      <c r="E12" s="76">
        <v>1.44</v>
      </c>
      <c r="F12" s="76">
        <v>7.1099999999999897</v>
      </c>
      <c r="G12" s="76">
        <v>165.95999999999992</v>
      </c>
      <c r="H12" s="113">
        <v>75.059999999999903</v>
      </c>
      <c r="I12" s="113">
        <v>36.18</v>
      </c>
      <c r="J12" s="82">
        <f>SUM(D12:I12)</f>
        <v>285.74999999999983</v>
      </c>
      <c r="M12" s="411"/>
      <c r="N12" s="411"/>
      <c r="O12" s="411"/>
      <c r="P12" s="411"/>
    </row>
    <row r="13" spans="1:16" x14ac:dyDescent="0.35">
      <c r="A13" s="415"/>
      <c r="B13" s="5" t="s">
        <v>222</v>
      </c>
      <c r="C13" s="2" t="s">
        <v>126</v>
      </c>
      <c r="D13" s="110">
        <v>0</v>
      </c>
      <c r="E13" s="110">
        <v>106.29</v>
      </c>
      <c r="F13" s="110">
        <v>37.53</v>
      </c>
      <c r="G13" s="110">
        <v>17.099999999999898</v>
      </c>
      <c r="H13" s="114">
        <v>18.809999999999999</v>
      </c>
      <c r="I13" s="114">
        <v>10.98</v>
      </c>
      <c r="J13" s="83">
        <f>SUM(D13:I13)</f>
        <v>190.70999999999989</v>
      </c>
      <c r="M13" s="411"/>
      <c r="N13" s="411"/>
      <c r="O13" s="411"/>
      <c r="P13" s="411"/>
    </row>
    <row r="14" spans="1:16" x14ac:dyDescent="0.35">
      <c r="A14" s="415"/>
      <c r="B14" s="5" t="s">
        <v>223</v>
      </c>
      <c r="C14" s="2" t="s">
        <v>126</v>
      </c>
      <c r="D14" s="110">
        <v>0</v>
      </c>
      <c r="E14" s="110">
        <v>58.23</v>
      </c>
      <c r="F14" s="110">
        <v>35.46</v>
      </c>
      <c r="G14" s="110">
        <v>23.4</v>
      </c>
      <c r="H14" s="114">
        <v>22.59</v>
      </c>
      <c r="I14" s="114">
        <v>6.39</v>
      </c>
      <c r="J14" s="83">
        <f>SUM(D14:I14)</f>
        <v>146.07</v>
      </c>
      <c r="M14" s="411"/>
      <c r="N14" s="411"/>
      <c r="O14" s="411"/>
      <c r="P14" s="411"/>
    </row>
    <row r="15" spans="1:16" x14ac:dyDescent="0.35">
      <c r="A15" s="415"/>
      <c r="B15" s="5" t="s">
        <v>228</v>
      </c>
      <c r="C15" s="2" t="s">
        <v>126</v>
      </c>
      <c r="D15" s="110">
        <v>0</v>
      </c>
      <c r="E15" s="110">
        <v>296.19</v>
      </c>
      <c r="F15" s="110">
        <v>189.89999999999998</v>
      </c>
      <c r="G15" s="110">
        <v>200.69999999999982</v>
      </c>
      <c r="H15" s="114">
        <v>284.39999999999998</v>
      </c>
      <c r="I15" s="114">
        <v>140.75999999999988</v>
      </c>
      <c r="J15" s="83">
        <f>SUM(D15:I15)</f>
        <v>1111.9499999999996</v>
      </c>
      <c r="M15" s="411"/>
      <c r="N15" s="411"/>
      <c r="O15" s="411"/>
      <c r="P15" s="411"/>
    </row>
    <row r="16" spans="1:16" ht="16.5" x14ac:dyDescent="0.45">
      <c r="A16" s="415"/>
      <c r="B16" s="5" t="s">
        <v>225</v>
      </c>
      <c r="C16" s="2" t="s">
        <v>126</v>
      </c>
      <c r="D16" s="26">
        <f>SUM(D12:D15)</f>
        <v>0</v>
      </c>
      <c r="E16" s="26">
        <f t="shared" ref="E16:H16" si="7">SUM(E12:E15)</f>
        <v>462.15</v>
      </c>
      <c r="F16" s="26">
        <f t="shared" si="7"/>
        <v>270</v>
      </c>
      <c r="G16" s="26">
        <f t="shared" si="7"/>
        <v>407.15999999999963</v>
      </c>
      <c r="H16" s="26">
        <f t="shared" si="7"/>
        <v>400.8599999999999</v>
      </c>
      <c r="I16" s="26">
        <f t="shared" ref="I16" si="8">SUM(I12:I15)</f>
        <v>194.30999999999989</v>
      </c>
      <c r="J16" s="83">
        <f>SUM(D16:I16)</f>
        <v>1734.4799999999993</v>
      </c>
    </row>
    <row r="17" spans="1:18" ht="16.5" x14ac:dyDescent="0.45">
      <c r="A17" s="415"/>
      <c r="B17" s="5" t="s">
        <v>226</v>
      </c>
      <c r="C17" s="2" t="s">
        <v>126</v>
      </c>
      <c r="D17" s="75">
        <f>D16</f>
        <v>0</v>
      </c>
      <c r="E17" s="75">
        <f>D17+E16</f>
        <v>462.15</v>
      </c>
      <c r="F17" s="75">
        <f>E17+F16</f>
        <v>732.15</v>
      </c>
      <c r="G17" s="75">
        <f t="shared" ref="G17" si="9">F17+G16</f>
        <v>1139.3099999999995</v>
      </c>
      <c r="H17" s="75">
        <f t="shared" ref="H17" si="10">G17+H16</f>
        <v>1540.1699999999994</v>
      </c>
      <c r="I17" s="75">
        <f t="shared" ref="I17" si="11">H17+I16</f>
        <v>1734.4799999999993</v>
      </c>
      <c r="J17" s="204"/>
      <c r="M17" s="300"/>
      <c r="N17" s="300"/>
      <c r="O17" s="300"/>
      <c r="P17" s="300"/>
      <c r="Q17" s="300"/>
      <c r="R17" s="300"/>
    </row>
    <row r="18" spans="1:18" ht="16.5" x14ac:dyDescent="0.45">
      <c r="A18" s="416" t="s">
        <v>229</v>
      </c>
      <c r="B18" s="202" t="s">
        <v>230</v>
      </c>
      <c r="C18" s="81" t="s">
        <v>126</v>
      </c>
      <c r="D18" s="203">
        <v>0</v>
      </c>
      <c r="E18" s="210">
        <v>0</v>
      </c>
      <c r="F18" s="210">
        <v>0</v>
      </c>
      <c r="G18" s="210">
        <v>0</v>
      </c>
      <c r="H18" s="210">
        <v>0</v>
      </c>
      <c r="I18" s="210">
        <v>0</v>
      </c>
      <c r="J18" s="82">
        <f>SUM(D18:I18)</f>
        <v>0</v>
      </c>
      <c r="M18" s="300"/>
      <c r="N18" s="300"/>
      <c r="O18" s="300"/>
      <c r="P18" s="300"/>
      <c r="Q18" s="300"/>
      <c r="R18" s="300"/>
    </row>
    <row r="19" spans="1:18" ht="16.5" x14ac:dyDescent="0.45">
      <c r="A19" s="417"/>
      <c r="B19" s="261" t="s">
        <v>231</v>
      </c>
      <c r="C19" s="84" t="s">
        <v>126</v>
      </c>
      <c r="D19" s="85">
        <f>D18</f>
        <v>0</v>
      </c>
      <c r="E19" s="85">
        <f>D19+E18</f>
        <v>0</v>
      </c>
      <c r="F19" s="85">
        <f>E19+F18</f>
        <v>0</v>
      </c>
      <c r="G19" s="85">
        <f>F19+G18</f>
        <v>0</v>
      </c>
      <c r="H19" s="85">
        <f>G19+H18</f>
        <v>0</v>
      </c>
      <c r="I19" s="85">
        <f>H19+I18</f>
        <v>0</v>
      </c>
      <c r="J19" s="86"/>
      <c r="M19" s="300"/>
      <c r="N19" s="300"/>
      <c r="O19" s="300"/>
      <c r="P19" s="300"/>
      <c r="Q19" s="300"/>
      <c r="R19" s="300"/>
    </row>
    <row r="20" spans="1:18" ht="16.5" x14ac:dyDescent="0.45">
      <c r="A20" s="417"/>
      <c r="B20" s="202" t="s">
        <v>232</v>
      </c>
      <c r="C20" s="81" t="s">
        <v>126</v>
      </c>
      <c r="D20" s="203">
        <v>0</v>
      </c>
      <c r="E20" s="210">
        <v>0</v>
      </c>
      <c r="F20" s="210">
        <v>0</v>
      </c>
      <c r="G20" s="210">
        <v>0</v>
      </c>
      <c r="H20" s="210">
        <v>0</v>
      </c>
      <c r="I20" s="210">
        <v>0</v>
      </c>
      <c r="J20" s="82">
        <f>SUM(D20:I20)</f>
        <v>0</v>
      </c>
      <c r="N20" s="301"/>
    </row>
    <row r="21" spans="1:18" ht="16.5" x14ac:dyDescent="0.45">
      <c r="A21" s="418"/>
      <c r="B21" s="261" t="s">
        <v>233</v>
      </c>
      <c r="C21" s="84" t="s">
        <v>126</v>
      </c>
      <c r="D21" s="85">
        <f>D20</f>
        <v>0</v>
      </c>
      <c r="E21" s="85">
        <f>D21+E20</f>
        <v>0</v>
      </c>
      <c r="F21" s="85">
        <f>E21+F20</f>
        <v>0</v>
      </c>
      <c r="G21" s="85">
        <f>F21+G20</f>
        <v>0</v>
      </c>
      <c r="H21" s="85">
        <f>G21+H20</f>
        <v>0</v>
      </c>
      <c r="I21" s="85">
        <f>H21+I20</f>
        <v>0</v>
      </c>
      <c r="J21" s="86"/>
    </row>
    <row r="22" spans="1:18" ht="29" hidden="1" x14ac:dyDescent="0.35">
      <c r="A22" s="412" t="s">
        <v>234</v>
      </c>
      <c r="B22" s="115" t="s">
        <v>235</v>
      </c>
      <c r="C22" s="2" t="s">
        <v>126</v>
      </c>
      <c r="D22" s="151">
        <v>0</v>
      </c>
      <c r="E22" s="151">
        <v>0</v>
      </c>
      <c r="F22" s="151">
        <v>0</v>
      </c>
      <c r="G22" s="151">
        <v>0</v>
      </c>
      <c r="H22" s="151">
        <v>0</v>
      </c>
      <c r="I22" s="151">
        <v>0</v>
      </c>
      <c r="J22" s="79">
        <f>SUM(D22:I22)</f>
        <v>0</v>
      </c>
    </row>
    <row r="23" spans="1:18" ht="27.65" hidden="1" customHeight="1" x14ac:dyDescent="0.35">
      <c r="A23" s="412"/>
      <c r="B23" s="115" t="s">
        <v>236</v>
      </c>
      <c r="C23" s="2" t="s">
        <v>126</v>
      </c>
      <c r="D23" s="109">
        <v>0</v>
      </c>
      <c r="E23" s="151">
        <v>0</v>
      </c>
      <c r="F23" s="151">
        <v>0</v>
      </c>
      <c r="G23" s="151">
        <v>0</v>
      </c>
      <c r="H23" s="151">
        <v>0</v>
      </c>
      <c r="I23" s="151">
        <v>0</v>
      </c>
      <c r="J23" s="79">
        <f>SUM(D23:I23)</f>
        <v>0</v>
      </c>
    </row>
    <row r="24" spans="1:18" hidden="1" x14ac:dyDescent="0.35">
      <c r="A24" s="412"/>
      <c r="B24" s="115" t="s">
        <v>237</v>
      </c>
      <c r="C24" s="2" t="s">
        <v>126</v>
      </c>
      <c r="D24" s="109">
        <v>0</v>
      </c>
      <c r="E24" s="151">
        <v>0</v>
      </c>
      <c r="F24" s="151">
        <v>0</v>
      </c>
      <c r="G24" s="151">
        <v>0</v>
      </c>
      <c r="H24" s="151">
        <v>0</v>
      </c>
      <c r="I24" s="151">
        <v>0</v>
      </c>
      <c r="J24" s="79">
        <f>SUM(D24:I24)</f>
        <v>0</v>
      </c>
    </row>
    <row r="25" spans="1:18" ht="35" customHeight="1" x14ac:dyDescent="0.45">
      <c r="A25" s="412"/>
      <c r="B25" s="115" t="s">
        <v>238</v>
      </c>
      <c r="C25" s="2" t="s">
        <v>126</v>
      </c>
      <c r="D25" s="75">
        <v>0</v>
      </c>
      <c r="E25" s="75">
        <v>24.93</v>
      </c>
      <c r="F25" s="75">
        <v>107.73</v>
      </c>
      <c r="G25" s="75">
        <v>80.28</v>
      </c>
      <c r="H25" s="75">
        <v>129.15</v>
      </c>
      <c r="I25" s="75">
        <v>178.38</v>
      </c>
      <c r="J25" s="79">
        <f>SUM(D25:I25)</f>
        <v>520.47</v>
      </c>
    </row>
    <row r="26" spans="1:18" ht="35" customHeight="1" x14ac:dyDescent="0.45">
      <c r="A26" s="412"/>
      <c r="B26" s="115" t="s">
        <v>239</v>
      </c>
      <c r="C26" s="2" t="s">
        <v>126</v>
      </c>
      <c r="D26" s="75">
        <f>D25</f>
        <v>0</v>
      </c>
      <c r="E26" s="75">
        <f>D26+E25</f>
        <v>24.93</v>
      </c>
      <c r="F26" s="75">
        <f>E26+F25</f>
        <v>132.66</v>
      </c>
      <c r="G26" s="75">
        <f t="shared" ref="G26:I26" si="12">F26+G25</f>
        <v>212.94</v>
      </c>
      <c r="H26" s="75">
        <f t="shared" si="12"/>
        <v>342.09000000000003</v>
      </c>
      <c r="I26" s="75">
        <f t="shared" si="12"/>
        <v>520.47</v>
      </c>
      <c r="J26" s="80"/>
    </row>
    <row r="27" spans="1:18" ht="14.4" customHeight="1" x14ac:dyDescent="0.45">
      <c r="A27" s="419" t="s">
        <v>240</v>
      </c>
      <c r="B27" s="202" t="s">
        <v>241</v>
      </c>
      <c r="C27" s="81" t="s">
        <v>126</v>
      </c>
      <c r="D27" s="203">
        <v>0</v>
      </c>
      <c r="E27" s="210">
        <v>0</v>
      </c>
      <c r="F27" s="210">
        <v>0</v>
      </c>
      <c r="G27" s="210">
        <v>0</v>
      </c>
      <c r="H27" s="210">
        <v>0</v>
      </c>
      <c r="I27" s="210">
        <v>0</v>
      </c>
      <c r="J27" s="82">
        <f>SUM(D27:I27)</f>
        <v>0</v>
      </c>
    </row>
    <row r="28" spans="1:18" ht="16.5" x14ac:dyDescent="0.45">
      <c r="A28" s="419"/>
      <c r="B28" s="261" t="s">
        <v>242</v>
      </c>
      <c r="C28" s="84" t="s">
        <v>126</v>
      </c>
      <c r="D28" s="85">
        <f>D27</f>
        <v>0</v>
      </c>
      <c r="E28" s="85">
        <f>D28+E27</f>
        <v>0</v>
      </c>
      <c r="F28" s="85">
        <f>E28+F27</f>
        <v>0</v>
      </c>
      <c r="G28" s="85">
        <f>F28+G27</f>
        <v>0</v>
      </c>
      <c r="H28" s="85">
        <f>G28+H27</f>
        <v>0</v>
      </c>
      <c r="I28" s="85">
        <f>H28+I27</f>
        <v>0</v>
      </c>
      <c r="J28" s="86"/>
    </row>
    <row r="29" spans="1:18" ht="21" customHeight="1" x14ac:dyDescent="0.45">
      <c r="A29" s="419"/>
      <c r="B29" s="202" t="s">
        <v>243</v>
      </c>
      <c r="C29" s="81" t="s">
        <v>126</v>
      </c>
      <c r="D29" s="210">
        <v>0</v>
      </c>
      <c r="E29" s="210">
        <v>0</v>
      </c>
      <c r="F29" s="210">
        <v>0</v>
      </c>
      <c r="G29" s="210">
        <v>0</v>
      </c>
      <c r="H29" s="210">
        <v>0</v>
      </c>
      <c r="I29" s="210">
        <v>0</v>
      </c>
      <c r="J29" s="82">
        <f>SUM(D29:I29)</f>
        <v>0</v>
      </c>
    </row>
    <row r="30" spans="1:18" ht="21" customHeight="1" x14ac:dyDescent="0.45">
      <c r="A30" s="420"/>
      <c r="B30" s="261" t="s">
        <v>244</v>
      </c>
      <c r="C30" s="84" t="s">
        <v>126</v>
      </c>
      <c r="D30" s="85">
        <f>D29</f>
        <v>0</v>
      </c>
      <c r="E30" s="85">
        <f>D30+E29</f>
        <v>0</v>
      </c>
      <c r="F30" s="85">
        <f>E30+F29</f>
        <v>0</v>
      </c>
      <c r="G30" s="85">
        <f t="shared" ref="G30" si="13">F30+G29</f>
        <v>0</v>
      </c>
      <c r="H30" s="85">
        <f t="shared" ref="H30" si="14">G30+H29</f>
        <v>0</v>
      </c>
      <c r="I30" s="85">
        <f t="shared" ref="I30" si="15">G30+I29</f>
        <v>0</v>
      </c>
      <c r="J30" s="86"/>
    </row>
    <row r="31" spans="1:18" x14ac:dyDescent="0.35">
      <c r="E31" s="200"/>
      <c r="F31" s="200"/>
      <c r="G31" s="200"/>
    </row>
    <row r="33" spans="5:5" x14ac:dyDescent="0.35">
      <c r="E33" s="125"/>
    </row>
    <row r="34" spans="5:5" x14ac:dyDescent="0.35">
      <c r="E34" s="125"/>
    </row>
  </sheetData>
  <mergeCells count="12">
    <mergeCell ref="A27:A30"/>
    <mergeCell ref="C1:I1"/>
    <mergeCell ref="A2:J2"/>
    <mergeCell ref="C4:C5"/>
    <mergeCell ref="D4:I4"/>
    <mergeCell ref="J4:J5"/>
    <mergeCell ref="B4:B5"/>
    <mergeCell ref="M5:P15"/>
    <mergeCell ref="A22:A26"/>
    <mergeCell ref="A6:A11"/>
    <mergeCell ref="A12:A17"/>
    <mergeCell ref="A18:A21"/>
  </mergeCells>
  <pageMargins left="0.511811024" right="0.511811024" top="0.78740157499999996" bottom="0.78740157499999996" header="0.31496062000000002" footer="0.31496062000000002"/>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F9AD6-27C9-404B-862B-CDB087CE08D0}">
  <sheetPr>
    <tabColor theme="0" tint="-0.499984740745262"/>
  </sheetPr>
  <dimension ref="A1:O28"/>
  <sheetViews>
    <sheetView showGridLines="0" workbookViewId="0">
      <selection activeCell="I12" sqref="I12"/>
    </sheetView>
  </sheetViews>
  <sheetFormatPr defaultColWidth="8.90625" defaultRowHeight="14.5" x14ac:dyDescent="0.35"/>
  <cols>
    <col min="1" max="1" width="36.6328125" bestFit="1" customWidth="1"/>
    <col min="2" max="2" width="12.6328125" bestFit="1" customWidth="1"/>
    <col min="3" max="3" width="21.453125" bestFit="1" customWidth="1"/>
    <col min="4" max="5" width="13.90625" bestFit="1" customWidth="1"/>
    <col min="6" max="6" width="15.90625" bestFit="1" customWidth="1"/>
    <col min="7" max="7" width="9.36328125" bestFit="1" customWidth="1"/>
    <col min="8" max="8" width="14.453125" customWidth="1"/>
    <col min="9" max="9" width="26.6328125" bestFit="1" customWidth="1"/>
  </cols>
  <sheetData>
    <row r="1" spans="1:15" x14ac:dyDescent="0.35">
      <c r="A1" s="53" t="s">
        <v>0</v>
      </c>
      <c r="B1" s="53"/>
      <c r="C1" s="40"/>
      <c r="D1" s="407" t="str">
        <f>Projeto</f>
        <v>FLORESTAL SANTA MARIA - CARAGUA AGRONEGÓCIOS LTDA</v>
      </c>
      <c r="E1" s="407"/>
      <c r="F1" s="407"/>
      <c r="G1" s="407"/>
      <c r="H1" s="407"/>
      <c r="I1" s="407"/>
      <c r="J1" s="407"/>
      <c r="K1" s="41"/>
    </row>
    <row r="2" spans="1:15" x14ac:dyDescent="0.35">
      <c r="A2" s="407" t="s">
        <v>245</v>
      </c>
      <c r="B2" s="407"/>
      <c r="C2" s="407"/>
      <c r="D2" s="407"/>
      <c r="E2" s="407"/>
      <c r="F2" s="407"/>
      <c r="G2" s="407"/>
      <c r="H2" s="407"/>
      <c r="I2" s="407"/>
      <c r="J2" s="407"/>
      <c r="K2" s="407"/>
    </row>
    <row r="4" spans="1:15" x14ac:dyDescent="0.35">
      <c r="A4" s="421" t="s">
        <v>67</v>
      </c>
      <c r="B4" s="421" t="s">
        <v>69</v>
      </c>
      <c r="C4" s="407" t="s">
        <v>246</v>
      </c>
      <c r="D4" s="407"/>
      <c r="E4" s="407"/>
      <c r="F4" s="407"/>
    </row>
    <row r="5" spans="1:15" ht="35.4" customHeight="1" x14ac:dyDescent="0.35">
      <c r="A5" s="421"/>
      <c r="B5" s="421"/>
      <c r="C5" s="70" t="s">
        <v>221</v>
      </c>
      <c r="D5" s="70" t="s">
        <v>222</v>
      </c>
      <c r="E5" s="30" t="s">
        <v>223</v>
      </c>
      <c r="F5" s="30" t="s">
        <v>224</v>
      </c>
    </row>
    <row r="6" spans="1:15" ht="16.5" x14ac:dyDescent="0.35">
      <c r="A6" s="46" t="s">
        <v>505</v>
      </c>
      <c r="B6" s="46" t="s">
        <v>247</v>
      </c>
      <c r="C6">
        <v>55.851869144367257</v>
      </c>
      <c r="D6">
        <v>56.882924606839651</v>
      </c>
      <c r="E6">
        <v>58.781032816441503</v>
      </c>
      <c r="F6">
        <v>54.123785971907125</v>
      </c>
      <c r="H6" s="271"/>
      <c r="I6" s="271"/>
      <c r="J6" s="271"/>
      <c r="K6" s="271"/>
      <c r="L6" s="271"/>
      <c r="M6" s="271"/>
      <c r="N6" s="271"/>
      <c r="O6" s="271"/>
    </row>
    <row r="7" spans="1:15" ht="16.5" x14ac:dyDescent="0.35">
      <c r="A7" s="46" t="s">
        <v>505</v>
      </c>
      <c r="B7" s="46" t="s">
        <v>248</v>
      </c>
      <c r="C7" s="108">
        <f>C6*4</f>
        <v>223.40747657746903</v>
      </c>
      <c r="D7" s="108">
        <f t="shared" ref="D7:E7" si="0">D6*4</f>
        <v>227.53169842735861</v>
      </c>
      <c r="E7" s="108">
        <f t="shared" si="0"/>
        <v>235.12413126576601</v>
      </c>
      <c r="F7" s="108">
        <f>F6*4</f>
        <v>216.4951438876285</v>
      </c>
      <c r="G7" s="200"/>
    </row>
    <row r="8" spans="1:15" ht="17.5" x14ac:dyDescent="0.45">
      <c r="A8" s="46" t="s">
        <v>506</v>
      </c>
      <c r="B8" s="46" t="s">
        <v>249</v>
      </c>
      <c r="C8" s="108">
        <f>C6*4*CF*tC_to_tCO2</f>
        <v>385.00555130183824</v>
      </c>
      <c r="D8" s="108">
        <f>D6*4*CF*tC_to_tCO2</f>
        <v>392.11296028981462</v>
      </c>
      <c r="E8" s="108">
        <f>E6*4*CF*tC_to_tCO2</f>
        <v>405.19725288133668</v>
      </c>
      <c r="F8" s="108">
        <f>F6*4*CF*tC_to_tCO2</f>
        <v>373.09329796634643</v>
      </c>
      <c r="H8" s="271"/>
      <c r="I8" s="271"/>
      <c r="J8" s="271"/>
      <c r="K8" s="271"/>
      <c r="L8" s="271"/>
      <c r="M8" s="271"/>
      <c r="N8" s="271"/>
      <c r="O8" s="271"/>
    </row>
    <row r="9" spans="1:15" x14ac:dyDescent="0.35">
      <c r="A9" s="46" t="s">
        <v>291</v>
      </c>
      <c r="B9" s="46" t="s">
        <v>126</v>
      </c>
      <c r="C9" s="377">
        <v>12944</v>
      </c>
      <c r="D9" s="377">
        <v>9275</v>
      </c>
      <c r="E9" s="377">
        <v>6696</v>
      </c>
      <c r="F9" s="377">
        <v>42473</v>
      </c>
    </row>
    <row r="10" spans="1:15" x14ac:dyDescent="0.35">
      <c r="A10" s="46" t="s">
        <v>507</v>
      </c>
      <c r="B10" s="46" t="s">
        <v>250</v>
      </c>
      <c r="C10" s="271">
        <v>15.342838130000001</v>
      </c>
      <c r="D10" s="271">
        <v>13.85853077</v>
      </c>
      <c r="E10" s="271">
        <v>13.544135819999999</v>
      </c>
      <c r="F10" s="271">
        <v>14.652610729999999</v>
      </c>
    </row>
    <row r="11" spans="1:15" x14ac:dyDescent="0.35">
      <c r="A11" s="46" t="s">
        <v>515</v>
      </c>
      <c r="B11" s="46"/>
      <c r="C11" s="271">
        <v>11.76558754</v>
      </c>
      <c r="D11" s="271">
        <v>32.004635729999997</v>
      </c>
      <c r="E11" s="271">
        <v>16.669843270000001</v>
      </c>
      <c r="F11" s="271">
        <v>2.3073276730000001</v>
      </c>
    </row>
    <row r="12" spans="1:15" x14ac:dyDescent="0.35">
      <c r="A12" s="46" t="s">
        <v>508</v>
      </c>
      <c r="B12" s="46" t="s">
        <v>250</v>
      </c>
      <c r="C12" s="271">
        <v>3.4301002230000002</v>
      </c>
      <c r="D12" s="271">
        <v>5.6572639789999997</v>
      </c>
      <c r="E12" s="271">
        <v>4.0828719390000003</v>
      </c>
      <c r="F12" s="271">
        <v>1.51898903</v>
      </c>
    </row>
    <row r="13" spans="1:15" x14ac:dyDescent="0.35">
      <c r="A13" s="46" t="s">
        <v>509</v>
      </c>
      <c r="B13" s="46" t="s">
        <v>250</v>
      </c>
      <c r="C13" s="271">
        <v>5.9310988419999999</v>
      </c>
      <c r="D13" s="271">
        <v>11.399660580000001</v>
      </c>
      <c r="E13" s="271">
        <v>7.4000466600000001</v>
      </c>
      <c r="F13" s="271">
        <v>2.5239299900000001</v>
      </c>
    </row>
    <row r="14" spans="1:15" x14ac:dyDescent="0.35">
      <c r="A14" s="46" t="s">
        <v>510</v>
      </c>
      <c r="B14" s="46" t="s">
        <v>73</v>
      </c>
      <c r="C14" s="271">
        <v>27.470590269999999</v>
      </c>
      <c r="D14" s="271">
        <v>24.363252880000001</v>
      </c>
      <c r="E14" s="271">
        <v>23.04167717</v>
      </c>
      <c r="F14" s="271">
        <v>27.07240535</v>
      </c>
    </row>
    <row r="15" spans="1:15" x14ac:dyDescent="0.35">
      <c r="A15" s="46" t="s">
        <v>511</v>
      </c>
      <c r="B15" s="46" t="s">
        <v>250</v>
      </c>
      <c r="C15" s="271">
        <v>61.784113849999997</v>
      </c>
      <c r="D15" s="271">
        <v>68.283507099999994</v>
      </c>
      <c r="E15" s="271">
        <v>66.182599519999997</v>
      </c>
      <c r="F15" s="271">
        <v>56.648407050000003</v>
      </c>
    </row>
    <row r="16" spans="1:15" x14ac:dyDescent="0.35">
      <c r="A16" s="46" t="s">
        <v>512</v>
      </c>
      <c r="B16" s="46" t="s">
        <v>250</v>
      </c>
      <c r="C16" s="271">
        <v>49.91962444</v>
      </c>
      <c r="D16" s="271">
        <v>45.482342109999998</v>
      </c>
      <c r="E16" s="271">
        <v>51.379466119999996</v>
      </c>
      <c r="F16" s="271">
        <v>51.599164889999997</v>
      </c>
    </row>
    <row r="17" spans="1:15" x14ac:dyDescent="0.35">
      <c r="A17" s="46" t="s">
        <v>513</v>
      </c>
      <c r="B17" s="46" t="s">
        <v>108</v>
      </c>
      <c r="C17" s="108">
        <f>C7*C9</f>
        <v>2891786.3768187589</v>
      </c>
      <c r="D17" s="108">
        <f>D7*D9</f>
        <v>2110356.5029137512</v>
      </c>
      <c r="E17" s="108">
        <f>E7*E9</f>
        <v>1574391.1829555691</v>
      </c>
      <c r="F17" s="108">
        <f>F7*F9</f>
        <v>9195198.2463392448</v>
      </c>
      <c r="I17" s="327"/>
      <c r="J17" s="328"/>
      <c r="K17" s="329"/>
      <c r="L17" s="329"/>
      <c r="M17" s="329"/>
      <c r="N17" s="329"/>
      <c r="O17" s="329"/>
    </row>
    <row r="18" spans="1:15" x14ac:dyDescent="0.35">
      <c r="A18" s="46"/>
      <c r="B18" s="46"/>
      <c r="C18" s="46"/>
      <c r="D18" s="46"/>
      <c r="E18" s="46"/>
      <c r="F18" s="46"/>
      <c r="I18" s="327"/>
      <c r="J18" s="328"/>
      <c r="K18" s="329"/>
      <c r="L18" s="329"/>
      <c r="M18" s="329"/>
      <c r="N18" s="329"/>
      <c r="O18" s="329"/>
    </row>
    <row r="19" spans="1:15" x14ac:dyDescent="0.35">
      <c r="A19" s="225" t="s">
        <v>251</v>
      </c>
      <c r="I19" s="327"/>
      <c r="J19" s="328"/>
      <c r="K19" s="329"/>
      <c r="L19" s="329"/>
      <c r="M19" s="329"/>
      <c r="N19" s="329"/>
      <c r="O19" s="329"/>
    </row>
    <row r="20" spans="1:15" x14ac:dyDescent="0.35">
      <c r="A20" s="234" t="s">
        <v>109</v>
      </c>
      <c r="I20" s="327"/>
      <c r="J20" s="328"/>
      <c r="K20" s="329"/>
      <c r="L20" s="329"/>
      <c r="M20" s="329"/>
      <c r="N20" s="329"/>
      <c r="O20" s="329"/>
    </row>
    <row r="21" spans="1:15" x14ac:dyDescent="0.35">
      <c r="A21" s="234" t="s">
        <v>111</v>
      </c>
      <c r="I21" s="327"/>
      <c r="J21" s="328"/>
      <c r="K21" s="329"/>
      <c r="L21" s="329"/>
      <c r="M21" s="329"/>
      <c r="N21" s="329"/>
      <c r="O21" s="329"/>
    </row>
    <row r="22" spans="1:15" x14ac:dyDescent="0.35">
      <c r="I22" s="327"/>
      <c r="J22" s="328"/>
      <c r="K22" s="329"/>
      <c r="L22" s="329"/>
      <c r="M22" s="329"/>
      <c r="N22" s="329"/>
      <c r="O22" s="329"/>
    </row>
    <row r="23" spans="1:15" x14ac:dyDescent="0.35">
      <c r="A23" s="421" t="s">
        <v>67</v>
      </c>
      <c r="B23" s="421" t="s">
        <v>69</v>
      </c>
      <c r="C23" s="407" t="s">
        <v>252</v>
      </c>
      <c r="D23" s="407"/>
      <c r="E23" s="407"/>
      <c r="F23" s="407"/>
      <c r="I23" s="327"/>
      <c r="J23" s="328"/>
      <c r="K23" s="330"/>
      <c r="L23" s="330"/>
      <c r="M23" s="330"/>
      <c r="N23" s="330"/>
      <c r="O23" s="330"/>
    </row>
    <row r="24" spans="1:15" ht="29" x14ac:dyDescent="0.35">
      <c r="A24" s="421"/>
      <c r="B24" s="421"/>
      <c r="C24" s="70" t="s">
        <v>221</v>
      </c>
      <c r="D24" s="70" t="s">
        <v>222</v>
      </c>
      <c r="E24" s="30" t="s">
        <v>223</v>
      </c>
      <c r="F24" s="30" t="s">
        <v>224</v>
      </c>
      <c r="I24" s="327"/>
      <c r="J24" s="328"/>
      <c r="K24" s="330"/>
      <c r="L24" s="330"/>
      <c r="M24" s="330"/>
      <c r="N24" s="330"/>
      <c r="O24" s="330"/>
    </row>
    <row r="25" spans="1:15" ht="16.5" x14ac:dyDescent="0.35">
      <c r="A25" s="46" t="s">
        <v>505</v>
      </c>
      <c r="B25" s="46" t="s">
        <v>247</v>
      </c>
      <c r="C25">
        <v>29.462916414819695</v>
      </c>
      <c r="D25">
        <v>33.827836580431324</v>
      </c>
      <c r="E25">
        <v>31.410285045663542</v>
      </c>
      <c r="F25">
        <v>30.170286706548136</v>
      </c>
    </row>
    <row r="26" spans="1:15" ht="16.5" x14ac:dyDescent="0.35">
      <c r="A26" s="46" t="s">
        <v>505</v>
      </c>
      <c r="B26" s="46" t="s">
        <v>248</v>
      </c>
      <c r="C26" s="108">
        <f>C25*4</f>
        <v>117.85166565927878</v>
      </c>
      <c r="D26" s="108">
        <f t="shared" ref="D26:E26" si="1">D25*4</f>
        <v>135.3113463217253</v>
      </c>
      <c r="E26" s="108">
        <f t="shared" si="1"/>
        <v>125.64114018265417</v>
      </c>
      <c r="F26" s="108">
        <f>F25*4</f>
        <v>120.68114682619255</v>
      </c>
    </row>
    <row r="27" spans="1:15" x14ac:dyDescent="0.35">
      <c r="A27" s="46" t="s">
        <v>291</v>
      </c>
      <c r="B27" s="46" t="s">
        <v>126</v>
      </c>
      <c r="C27" s="109">
        <v>12944</v>
      </c>
      <c r="D27" s="109">
        <v>9275</v>
      </c>
      <c r="E27" s="109">
        <v>6696</v>
      </c>
      <c r="F27" s="109">
        <v>42473</v>
      </c>
    </row>
    <row r="28" spans="1:15" x14ac:dyDescent="0.35">
      <c r="A28" s="46" t="s">
        <v>514</v>
      </c>
      <c r="B28" s="46" t="s">
        <v>108</v>
      </c>
      <c r="C28" s="108">
        <f>C27*C26</f>
        <v>1525471.9602937044</v>
      </c>
      <c r="D28" s="108">
        <f t="shared" ref="D28:F28" si="2">D27*D26</f>
        <v>1255012.7371340021</v>
      </c>
      <c r="E28" s="108">
        <f t="shared" si="2"/>
        <v>841293.07466305234</v>
      </c>
      <c r="F28" s="108">
        <f t="shared" si="2"/>
        <v>5125690.349148876</v>
      </c>
    </row>
  </sheetData>
  <mergeCells count="8">
    <mergeCell ref="A23:A24"/>
    <mergeCell ref="B23:B24"/>
    <mergeCell ref="C23:F23"/>
    <mergeCell ref="D1:J1"/>
    <mergeCell ref="A2:K2"/>
    <mergeCell ref="C4:F4"/>
    <mergeCell ref="A4:A5"/>
    <mergeCell ref="B4:B5"/>
  </mergeCells>
  <pageMargins left="0.511811024" right="0.511811024" top="0.78740157499999996" bottom="0.78740157499999996" header="0.31496062000000002" footer="0.3149606200000000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ED2A8-3B78-48CA-A182-C9A651D78E36}">
  <sheetPr codeName="Planilha3">
    <tabColor theme="0" tint="-0.499984740745262"/>
  </sheetPr>
  <dimension ref="A1:Q43"/>
  <sheetViews>
    <sheetView showGridLines="0" zoomScale="90" zoomScaleNormal="90" workbookViewId="0">
      <selection activeCell="J20" sqref="J20:P20"/>
    </sheetView>
  </sheetViews>
  <sheetFormatPr defaultColWidth="8.90625" defaultRowHeight="14.5" x14ac:dyDescent="0.35"/>
  <cols>
    <col min="1" max="1" width="23.6328125" bestFit="1" customWidth="1"/>
    <col min="2" max="2" width="11.90625" style="1" bestFit="1" customWidth="1"/>
    <col min="3" max="3" width="11.453125" customWidth="1"/>
    <col min="4" max="4" width="9.90625" bestFit="1" customWidth="1"/>
    <col min="5" max="5" width="12" bestFit="1" customWidth="1"/>
    <col min="6" max="6" width="16" bestFit="1" customWidth="1"/>
    <col min="7" max="7" width="10.6328125" bestFit="1" customWidth="1"/>
    <col min="8" max="8" width="5.6328125" customWidth="1"/>
    <col min="9" max="9" width="11.6328125" customWidth="1"/>
    <col min="10" max="10" width="35.36328125" bestFit="1" customWidth="1"/>
    <col min="11" max="11" width="10.36328125" bestFit="1" customWidth="1"/>
    <col min="12" max="14" width="13.6328125" bestFit="1" customWidth="1"/>
    <col min="15" max="15" width="16.36328125" bestFit="1" customWidth="1"/>
    <col min="16" max="16" width="14.90625" bestFit="1" customWidth="1"/>
    <col min="17" max="17" width="14.54296875" bestFit="1" customWidth="1"/>
  </cols>
  <sheetData>
    <row r="1" spans="1:17" ht="25.25" customHeight="1" x14ac:dyDescent="0.35">
      <c r="A1" s="40" t="s">
        <v>0</v>
      </c>
      <c r="B1" s="407" t="str">
        <f>Projeto</f>
        <v>FLORESTAL SANTA MARIA - CARAGUA AGRONEGÓCIOS LTDA</v>
      </c>
      <c r="C1" s="407"/>
      <c r="D1" s="407"/>
      <c r="E1" s="407"/>
      <c r="F1" s="407"/>
      <c r="G1" s="407"/>
      <c r="H1" s="407"/>
      <c r="I1" s="407"/>
      <c r="J1" s="407"/>
      <c r="K1" s="407"/>
      <c r="L1" s="407"/>
      <c r="M1" s="407"/>
      <c r="N1" s="407"/>
      <c r="O1" s="407"/>
      <c r="P1" s="41"/>
      <c r="Q1" s="41"/>
    </row>
    <row r="2" spans="1:17" ht="16.5" x14ac:dyDescent="0.35">
      <c r="A2" s="407" t="s">
        <v>253</v>
      </c>
      <c r="B2" s="407"/>
      <c r="C2" s="407"/>
      <c r="D2" s="407"/>
      <c r="E2" s="407"/>
      <c r="F2" s="407"/>
      <c r="G2" s="407"/>
      <c r="H2" s="407"/>
      <c r="I2" s="407"/>
      <c r="J2" s="407"/>
      <c r="K2" s="407"/>
      <c r="L2" s="407"/>
      <c r="M2" s="407"/>
      <c r="N2" s="407"/>
      <c r="O2" s="407"/>
      <c r="P2" s="407"/>
      <c r="Q2" s="407"/>
    </row>
    <row r="3" spans="1:17" x14ac:dyDescent="0.35">
      <c r="B3"/>
    </row>
    <row r="4" spans="1:17" x14ac:dyDescent="0.35">
      <c r="A4" s="48" t="s">
        <v>254</v>
      </c>
      <c r="Q4" s="24"/>
    </row>
    <row r="5" spans="1:17" ht="14.4" customHeight="1" x14ac:dyDescent="0.35">
      <c r="A5" s="421" t="s">
        <v>67</v>
      </c>
      <c r="B5" s="423" t="s">
        <v>69</v>
      </c>
      <c r="C5" s="407" t="s">
        <v>255</v>
      </c>
      <c r="D5" s="407"/>
      <c r="E5" s="407"/>
      <c r="F5" s="407"/>
      <c r="J5" s="421" t="s">
        <v>67</v>
      </c>
      <c r="K5" s="421" t="s">
        <v>69</v>
      </c>
      <c r="L5" s="407" t="s">
        <v>255</v>
      </c>
      <c r="M5" s="407"/>
      <c r="N5" s="407"/>
      <c r="O5" s="407"/>
      <c r="P5" s="407" t="s">
        <v>90</v>
      </c>
      <c r="Q5" s="24"/>
    </row>
    <row r="6" spans="1:17" s="4" customFormat="1" ht="36" customHeight="1" x14ac:dyDescent="0.35">
      <c r="A6" s="421"/>
      <c r="B6" s="423"/>
      <c r="C6" s="30" t="s">
        <v>221</v>
      </c>
      <c r="D6" s="30" t="s">
        <v>222</v>
      </c>
      <c r="E6" s="30" t="s">
        <v>223</v>
      </c>
      <c r="F6" s="30" t="s">
        <v>256</v>
      </c>
      <c r="G6"/>
      <c r="J6" s="421"/>
      <c r="K6" s="421"/>
      <c r="L6" s="30" t="s">
        <v>221</v>
      </c>
      <c r="M6" s="30" t="s">
        <v>222</v>
      </c>
      <c r="N6" s="30" t="s">
        <v>223</v>
      </c>
      <c r="O6" s="30" t="s">
        <v>256</v>
      </c>
      <c r="P6" s="407"/>
      <c r="Q6" s="24"/>
    </row>
    <row r="7" spans="1:17" ht="16.5" x14ac:dyDescent="0.35">
      <c r="A7" s="22" t="s">
        <v>257</v>
      </c>
      <c r="B7" s="21" t="s">
        <v>258</v>
      </c>
      <c r="C7" s="25">
        <f>'Biomass inventory'!C7</f>
        <v>223.40747657746903</v>
      </c>
      <c r="D7" s="25">
        <f>'Biomass inventory'!D7</f>
        <v>227.53169842735861</v>
      </c>
      <c r="E7" s="25">
        <f>'Biomass inventory'!E7</f>
        <v>235.12413126576601</v>
      </c>
      <c r="F7" s="25">
        <f>'Biomass inventory'!F7</f>
        <v>216.4951438876285</v>
      </c>
      <c r="H7" s="23"/>
      <c r="J7" s="126" t="s">
        <v>259</v>
      </c>
      <c r="K7" s="21" t="s">
        <v>126</v>
      </c>
      <c r="L7" s="117">
        <f>Deforestation!J6</f>
        <v>319.85999999999967</v>
      </c>
      <c r="M7" s="117">
        <f>Deforestation!J7</f>
        <v>210.32999999999961</v>
      </c>
      <c r="N7" s="117">
        <f>Deforestation!J8</f>
        <v>172.0799999999999</v>
      </c>
      <c r="O7" s="117">
        <f>Deforestation!J9</f>
        <v>1312.1099999999988</v>
      </c>
      <c r="P7" s="120">
        <f>SUM(L7:O7)</f>
        <v>2014.3799999999978</v>
      </c>
      <c r="Q7" s="24"/>
    </row>
    <row r="8" spans="1:17" ht="16.5" x14ac:dyDescent="0.35">
      <c r="A8" s="22" t="s">
        <v>260</v>
      </c>
      <c r="B8" s="21" t="s">
        <v>258</v>
      </c>
      <c r="C8" s="25">
        <f>C7*root_shoot</f>
        <v>49.373052323620655</v>
      </c>
      <c r="D8" s="25">
        <f>D7*root_shoot</f>
        <v>50.284505352446253</v>
      </c>
      <c r="E8" s="25">
        <f>E7*root_shoot</f>
        <v>51.962433009734291</v>
      </c>
      <c r="F8" s="25">
        <f>F7*root_shoot</f>
        <v>47.845426799165899</v>
      </c>
      <c r="H8" s="23"/>
      <c r="J8" s="126" t="s">
        <v>261</v>
      </c>
      <c r="K8" s="21" t="s">
        <v>73</v>
      </c>
      <c r="L8" s="116">
        <f>L7/$P$7</f>
        <v>0.15878831203645788</v>
      </c>
      <c r="M8" s="116">
        <f>M7/$P$7</f>
        <v>0.10441426146010178</v>
      </c>
      <c r="N8" s="116">
        <f>N7/$P$7</f>
        <v>8.5425788580109061E-2</v>
      </c>
      <c r="O8" s="116">
        <f>O7/$P$7</f>
        <v>0.6513716379233313</v>
      </c>
      <c r="P8" s="121">
        <f>SUM(L8:O8)</f>
        <v>1</v>
      </c>
      <c r="Q8" s="24"/>
    </row>
    <row r="9" spans="1:17" ht="17.5" x14ac:dyDescent="0.45">
      <c r="A9" s="22" t="s">
        <v>262</v>
      </c>
      <c r="B9" s="21" t="s">
        <v>263</v>
      </c>
      <c r="C9" s="25">
        <f>C7*CF*tC_to_tCO2</f>
        <v>385.00555130183824</v>
      </c>
      <c r="D9" s="25">
        <f t="shared" ref="D9:F10" si="0">D7*CF*tC_to_tCO2</f>
        <v>392.11296028981462</v>
      </c>
      <c r="E9" s="25">
        <f t="shared" si="0"/>
        <v>405.19725288133668</v>
      </c>
      <c r="F9" s="25">
        <f t="shared" si="0"/>
        <v>373.09329796634643</v>
      </c>
      <c r="G9" s="99"/>
      <c r="H9" s="23"/>
      <c r="J9" s="126" t="s">
        <v>264</v>
      </c>
      <c r="K9" s="21" t="s">
        <v>108</v>
      </c>
      <c r="L9" s="117">
        <f>C7*L7</f>
        <v>71459.115458069165</v>
      </c>
      <c r="M9" s="117">
        <f>D7*M7</f>
        <v>47856.742130226245</v>
      </c>
      <c r="N9" s="117">
        <f>E7*N7</f>
        <v>40460.16050821299</v>
      </c>
      <c r="O9" s="117">
        <f>F7*O7</f>
        <v>284065.44324639597</v>
      </c>
      <c r="P9" s="120">
        <f t="shared" ref="P9:P12" si="1">SUM(L9:O9)</f>
        <v>443841.46134290437</v>
      </c>
      <c r="Q9" s="24"/>
    </row>
    <row r="10" spans="1:17" ht="17.5" x14ac:dyDescent="0.45">
      <c r="A10" s="22" t="s">
        <v>265</v>
      </c>
      <c r="B10" s="21" t="s">
        <v>263</v>
      </c>
      <c r="C10" s="25">
        <f>C8*CF*tC_to_tCO2</f>
        <v>85.086226837706249</v>
      </c>
      <c r="D10" s="25">
        <f t="shared" si="0"/>
        <v>86.656964224049034</v>
      </c>
      <c r="E10" s="25">
        <f t="shared" si="0"/>
        <v>89.54859288677541</v>
      </c>
      <c r="F10" s="25">
        <f t="shared" si="0"/>
        <v>82.453618850562563</v>
      </c>
      <c r="J10" s="126" t="s">
        <v>266</v>
      </c>
      <c r="K10" s="21" t="s">
        <v>108</v>
      </c>
      <c r="L10" s="117">
        <f>L7*C8</f>
        <v>15792.464516233287</v>
      </c>
      <c r="M10" s="117">
        <f>M7*D8</f>
        <v>10576.340010780001</v>
      </c>
      <c r="N10" s="117">
        <f>N7*E8</f>
        <v>8941.695472315072</v>
      </c>
      <c r="O10" s="117">
        <f>O7*F8</f>
        <v>62778.462957453507</v>
      </c>
      <c r="P10" s="120">
        <f t="shared" si="1"/>
        <v>98088.962956781863</v>
      </c>
    </row>
    <row r="11" spans="1:17" ht="17.5" x14ac:dyDescent="0.45">
      <c r="A11" s="27" t="s">
        <v>267</v>
      </c>
      <c r="B11" s="28" t="s">
        <v>268</v>
      </c>
      <c r="C11" s="29">
        <f>SUM(C9:C10)</f>
        <v>470.09177813954449</v>
      </c>
      <c r="D11" s="29">
        <f t="shared" ref="D11:F11" si="2">SUM(D9:D10)</f>
        <v>478.76992451386366</v>
      </c>
      <c r="E11" s="29">
        <f t="shared" si="2"/>
        <v>494.74584576811208</v>
      </c>
      <c r="F11" s="29">
        <f t="shared" si="2"/>
        <v>455.546916816909</v>
      </c>
      <c r="J11" s="126" t="s">
        <v>269</v>
      </c>
      <c r="K11" s="21" t="s">
        <v>270</v>
      </c>
      <c r="L11" s="117">
        <f>L7*C9</f>
        <v>123147.87563940586</v>
      </c>
      <c r="M11" s="117">
        <f>M7*D9</f>
        <v>82473.118937756561</v>
      </c>
      <c r="N11" s="117">
        <f>N7*E9</f>
        <v>69726.343275820371</v>
      </c>
      <c r="O11" s="117">
        <f>O7*F9</f>
        <v>489539.44719462236</v>
      </c>
      <c r="P11" s="120">
        <f t="shared" si="1"/>
        <v>764886.78504760517</v>
      </c>
    </row>
    <row r="12" spans="1:17" ht="16.5" x14ac:dyDescent="0.45">
      <c r="B12"/>
      <c r="J12" s="126" t="s">
        <v>271</v>
      </c>
      <c r="K12" s="21" t="s">
        <v>270</v>
      </c>
      <c r="L12" s="117">
        <f>C10*L7</f>
        <v>27215.680516308694</v>
      </c>
      <c r="M12" s="117">
        <f>D10*M7</f>
        <v>18226.559285244199</v>
      </c>
      <c r="N12" s="117">
        <f>E10*N7</f>
        <v>15409.521863956303</v>
      </c>
      <c r="O12" s="117">
        <f>F10*O7</f>
        <v>108188.21783001155</v>
      </c>
      <c r="P12" s="120">
        <f t="shared" si="1"/>
        <v>169039.97949552073</v>
      </c>
    </row>
    <row r="13" spans="1:17" ht="17.5" x14ac:dyDescent="0.45">
      <c r="A13" s="421" t="s">
        <v>67</v>
      </c>
      <c r="B13" s="421" t="s">
        <v>69</v>
      </c>
      <c r="C13" s="407" t="s">
        <v>255</v>
      </c>
      <c r="D13" s="407"/>
      <c r="E13" s="407"/>
      <c r="F13" s="407"/>
      <c r="G13" s="391" t="s">
        <v>90</v>
      </c>
      <c r="I13" s="24"/>
      <c r="J13" s="126" t="s">
        <v>272</v>
      </c>
      <c r="K13" s="21" t="s">
        <v>263</v>
      </c>
      <c r="L13" s="118">
        <f>C7*CF*tC_to_tCO2</f>
        <v>385.00555130183824</v>
      </c>
      <c r="M13" s="118">
        <f t="shared" ref="M13:O14" si="3">D7*CF*tC_to_tCO2</f>
        <v>392.11296028981462</v>
      </c>
      <c r="N13" s="118">
        <f t="shared" si="3"/>
        <v>405.19725288133668</v>
      </c>
      <c r="O13" s="118">
        <f t="shared" si="3"/>
        <v>373.09329796634643</v>
      </c>
    </row>
    <row r="14" spans="1:17" ht="29" x14ac:dyDescent="0.45">
      <c r="A14" s="421"/>
      <c r="B14" s="421"/>
      <c r="C14" s="30" t="s">
        <v>221</v>
      </c>
      <c r="D14" s="30" t="s">
        <v>222</v>
      </c>
      <c r="E14" s="30" t="s">
        <v>223</v>
      </c>
      <c r="F14" s="30" t="s">
        <v>256</v>
      </c>
      <c r="G14" s="391"/>
      <c r="I14" s="24"/>
      <c r="J14" s="126" t="s">
        <v>273</v>
      </c>
      <c r="K14" s="21" t="s">
        <v>263</v>
      </c>
      <c r="L14" s="119">
        <f>C8*CF*tC_to_tCO2</f>
        <v>85.086226837706249</v>
      </c>
      <c r="M14" s="119">
        <f t="shared" si="3"/>
        <v>86.656964224049034</v>
      </c>
      <c r="N14" s="119">
        <f t="shared" si="3"/>
        <v>89.54859288677541</v>
      </c>
      <c r="O14" s="119">
        <f t="shared" si="3"/>
        <v>82.453618850562563</v>
      </c>
    </row>
    <row r="15" spans="1:17" ht="18.649999999999999" customHeight="1" x14ac:dyDescent="0.45">
      <c r="A15" s="46" t="s">
        <v>274</v>
      </c>
      <c r="B15" s="2" t="s">
        <v>126</v>
      </c>
      <c r="C15" s="90">
        <f>'Biomass inventory'!C9</f>
        <v>12944</v>
      </c>
      <c r="D15" s="90">
        <f>'Biomass inventory'!D9</f>
        <v>9275</v>
      </c>
      <c r="E15" s="90">
        <f>'Biomass inventory'!E9</f>
        <v>6696</v>
      </c>
      <c r="F15" s="90">
        <f>'Biomass inventory'!F9</f>
        <v>42473</v>
      </c>
      <c r="G15" s="206">
        <f>SUM(C15:F15)</f>
        <v>71388</v>
      </c>
      <c r="J15" s="126" t="s">
        <v>275</v>
      </c>
      <c r="K15" s="21" t="s">
        <v>263</v>
      </c>
      <c r="L15" s="119">
        <f>SUM(L13:L14)</f>
        <v>470.09177813954449</v>
      </c>
      <c r="M15" s="119">
        <f t="shared" ref="M15:O15" si="4">SUM(M13:M14)</f>
        <v>478.76992451386366</v>
      </c>
      <c r="N15" s="119">
        <f t="shared" si="4"/>
        <v>494.74584576811208</v>
      </c>
      <c r="O15" s="119">
        <f t="shared" si="4"/>
        <v>455.546916816909</v>
      </c>
    </row>
    <row r="16" spans="1:17" ht="17.5" x14ac:dyDescent="0.45">
      <c r="A16" s="46" t="s">
        <v>73</v>
      </c>
      <c r="B16" s="2" t="s">
        <v>73</v>
      </c>
      <c r="C16" s="207">
        <f>C15/$G$15</f>
        <v>0.18131898918585757</v>
      </c>
      <c r="D16" s="207">
        <f t="shared" ref="D16:F16" si="5">D15/$G$15</f>
        <v>0.12992379671653498</v>
      </c>
      <c r="E16" s="207">
        <f t="shared" si="5"/>
        <v>9.3797276853252648E-2</v>
      </c>
      <c r="F16" s="207">
        <f t="shared" si="5"/>
        <v>0.59495993724435481</v>
      </c>
      <c r="J16" s="126" t="s">
        <v>276</v>
      </c>
      <c r="K16" s="21" t="s">
        <v>263</v>
      </c>
      <c r="L16" s="119">
        <v>0</v>
      </c>
      <c r="M16" s="119">
        <v>0</v>
      </c>
      <c r="N16" s="119">
        <v>0</v>
      </c>
      <c r="O16" s="119">
        <v>0</v>
      </c>
    </row>
    <row r="17" spans="1:16" ht="30" x14ac:dyDescent="0.45">
      <c r="A17" s="308" t="s">
        <v>277</v>
      </c>
      <c r="B17" s="309" t="s">
        <v>268</v>
      </c>
      <c r="C17" s="310">
        <f>((C9*C15)+(D9*D15)+(E9*E15)+(F9*F15))/G15</f>
        <v>380.73558598864082</v>
      </c>
      <c r="J17" s="126" t="s">
        <v>278</v>
      </c>
      <c r="K17" s="22" t="s">
        <v>279</v>
      </c>
      <c r="L17" s="123">
        <f>MWE/(C7/Dmn)</f>
        <v>9.264327370361311E-2</v>
      </c>
      <c r="M17" s="123">
        <f>MWE/(D7/Dmn)</f>
        <v>9.0964028937742719E-2</v>
      </c>
      <c r="N17" s="123">
        <f>MWE/(E7/Dmn)</f>
        <v>8.8026694191611896E-2</v>
      </c>
      <c r="O17" s="123">
        <f>MWE/(F7/Dmn)</f>
        <v>9.560122055551902E-2</v>
      </c>
    </row>
    <row r="18" spans="1:16" ht="30" x14ac:dyDescent="0.45">
      <c r="A18" s="306" t="s">
        <v>280</v>
      </c>
      <c r="B18" s="307" t="s">
        <v>268</v>
      </c>
      <c r="C18" s="311">
        <f>(((C9+C10)*C15)+((D9+D10)*D15)+((E9+E10)*E15)+((F9+F10)*F15))/G15</f>
        <v>464.87815049213037</v>
      </c>
      <c r="D18" s="311">
        <f>(((C9+C10)*C16)+((D9+D10)*D16)+((E9+E10)*E16)+((F9+F10)*F16))</f>
        <v>464.87815049213032</v>
      </c>
      <c r="I18" s="24"/>
      <c r="J18" s="126" t="s">
        <v>281</v>
      </c>
      <c r="K18" s="21" t="s">
        <v>263</v>
      </c>
      <c r="L18" s="122">
        <f>L13*(1/BCEF)*L17</f>
        <v>21.486852208835337</v>
      </c>
      <c r="M18" s="122">
        <f>M13*(1/BCEF)*M17</f>
        <v>21.486852208835337</v>
      </c>
      <c r="N18" s="122">
        <f>N13*(1/BCEF)*N17</f>
        <v>21.486852208835337</v>
      </c>
      <c r="O18" s="122">
        <f>O13*(1/BCEF)*O17</f>
        <v>21.486852208835341</v>
      </c>
      <c r="P18" s="120">
        <f>SUM(L18:O18)</f>
        <v>85.947408835341363</v>
      </c>
    </row>
    <row r="19" spans="1:16" ht="17.5" x14ac:dyDescent="0.45">
      <c r="I19" s="24"/>
      <c r="J19" s="126" t="s">
        <v>282</v>
      </c>
      <c r="K19" s="21" t="s">
        <v>263</v>
      </c>
      <c r="L19" s="122">
        <f>L18*(1-WWTY)*(1-SLFTY)*(1-OFTY)</f>
        <v>2.6128012285943765</v>
      </c>
      <c r="M19" s="122">
        <f>M18*(1-WWTY)*(1-SLFTY)*(1-OFTY)</f>
        <v>2.6128012285943765</v>
      </c>
      <c r="N19" s="122">
        <f>N18*(1-WWTY)*(1-SLFTY)*(1-OFTY)</f>
        <v>2.6128012285943765</v>
      </c>
      <c r="O19" s="122">
        <f>O18*(1-WWTY)*(1-SLFTY)*(1-OFTY)</f>
        <v>2.6128012285943774</v>
      </c>
    </row>
    <row r="20" spans="1:16" ht="17.5" x14ac:dyDescent="0.45">
      <c r="J20" s="135" t="s">
        <v>283</v>
      </c>
      <c r="K20" s="136" t="s">
        <v>263</v>
      </c>
      <c r="L20" s="134">
        <f>AVERAGE(L19:O19)</f>
        <v>2.6128012285943765</v>
      </c>
    </row>
    <row r="37" spans="1:8" x14ac:dyDescent="0.35">
      <c r="B37" s="424" t="s">
        <v>284</v>
      </c>
      <c r="C37" s="424"/>
      <c r="D37" s="424"/>
      <c r="E37" s="425" t="s">
        <v>285</v>
      </c>
      <c r="F37" s="425"/>
      <c r="G37" s="425"/>
    </row>
    <row r="38" spans="1:8" x14ac:dyDescent="0.35">
      <c r="A38" s="422" t="s">
        <v>255</v>
      </c>
      <c r="B38" s="315" t="s">
        <v>286</v>
      </c>
      <c r="C38" s="315" t="s">
        <v>287</v>
      </c>
      <c r="D38" s="315" t="s">
        <v>90</v>
      </c>
      <c r="E38" s="315" t="s">
        <v>286</v>
      </c>
      <c r="F38" s="315" t="s">
        <v>287</v>
      </c>
      <c r="G38" s="315" t="s">
        <v>90</v>
      </c>
    </row>
    <row r="39" spans="1:8" x14ac:dyDescent="0.35">
      <c r="A39" s="422"/>
      <c r="B39" s="315" t="s">
        <v>288</v>
      </c>
      <c r="C39" s="315" t="s">
        <v>288</v>
      </c>
      <c r="D39" s="315" t="s">
        <v>288</v>
      </c>
      <c r="E39" s="315" t="s">
        <v>288</v>
      </c>
      <c r="F39" s="315" t="s">
        <v>288</v>
      </c>
      <c r="G39" s="315" t="s">
        <v>288</v>
      </c>
    </row>
    <row r="40" spans="1:8" x14ac:dyDescent="0.35">
      <c r="A40" s="314" t="s">
        <v>221</v>
      </c>
      <c r="B40" s="15">
        <v>224.7</v>
      </c>
      <c r="C40" s="15">
        <v>83.1</v>
      </c>
      <c r="D40" s="15">
        <f>C40+B40</f>
        <v>307.79999999999995</v>
      </c>
      <c r="E40" s="312">
        <f>C7</f>
        <v>223.40747657746903</v>
      </c>
      <c r="F40" s="313">
        <f>C8</f>
        <v>49.373052323620655</v>
      </c>
      <c r="G40" s="312">
        <f>SUM(E40:F40)</f>
        <v>272.78052890108967</v>
      </c>
      <c r="H40" s="157">
        <f>(G40-D40)/G40</f>
        <v>-0.12837965832820994</v>
      </c>
    </row>
    <row r="41" spans="1:8" x14ac:dyDescent="0.35">
      <c r="A41" s="314" t="s">
        <v>222</v>
      </c>
      <c r="B41" s="15">
        <v>268.3</v>
      </c>
      <c r="C41" s="15">
        <v>99.3</v>
      </c>
      <c r="D41" s="15">
        <f t="shared" ref="D41:D43" si="6">C41+B41</f>
        <v>367.6</v>
      </c>
      <c r="E41" s="312">
        <f>D7</f>
        <v>227.53169842735861</v>
      </c>
      <c r="F41" s="313">
        <f>D8</f>
        <v>50.284505352446253</v>
      </c>
      <c r="G41" s="312">
        <f t="shared" ref="G41:G43" si="7">SUM(E41:F41)</f>
        <v>277.81620377980488</v>
      </c>
      <c r="H41" s="157">
        <f t="shared" ref="H41:H43" si="8">(G41-D41)/G41</f>
        <v>-0.3231769601580084</v>
      </c>
    </row>
    <row r="42" spans="1:8" x14ac:dyDescent="0.35">
      <c r="A42" s="314" t="s">
        <v>223</v>
      </c>
      <c r="B42" s="15">
        <v>223.9</v>
      </c>
      <c r="C42" s="15">
        <v>82.8</v>
      </c>
      <c r="D42" s="15">
        <f t="shared" si="6"/>
        <v>306.7</v>
      </c>
      <c r="E42" s="312">
        <f>E7</f>
        <v>235.12413126576601</v>
      </c>
      <c r="F42" s="313">
        <f>E8</f>
        <v>51.962433009734291</v>
      </c>
      <c r="G42" s="312">
        <f t="shared" si="7"/>
        <v>287.08656427550028</v>
      </c>
      <c r="H42" s="157">
        <f t="shared" si="8"/>
        <v>-6.8318891112151933E-2</v>
      </c>
    </row>
    <row r="43" spans="1:8" x14ac:dyDescent="0.35">
      <c r="A43" s="314" t="s">
        <v>256</v>
      </c>
      <c r="B43" s="15">
        <v>238.7</v>
      </c>
      <c r="C43" s="15">
        <v>88.3</v>
      </c>
      <c r="D43" s="15">
        <f t="shared" si="6"/>
        <v>327</v>
      </c>
      <c r="E43" s="312">
        <f>F7</f>
        <v>216.4951438876285</v>
      </c>
      <c r="F43" s="313">
        <f>F8</f>
        <v>47.845426799165899</v>
      </c>
      <c r="G43" s="312">
        <f t="shared" si="7"/>
        <v>264.34057068679442</v>
      </c>
      <c r="H43" s="157">
        <f t="shared" si="8"/>
        <v>-0.23704053127526911</v>
      </c>
    </row>
  </sheetData>
  <mergeCells count="16">
    <mergeCell ref="A38:A39"/>
    <mergeCell ref="B1:O1"/>
    <mergeCell ref="J5:J6"/>
    <mergeCell ref="K5:K6"/>
    <mergeCell ref="L5:O5"/>
    <mergeCell ref="A2:Q2"/>
    <mergeCell ref="P5:P6"/>
    <mergeCell ref="C5:F5"/>
    <mergeCell ref="B5:B6"/>
    <mergeCell ref="A5:A6"/>
    <mergeCell ref="B37:D37"/>
    <mergeCell ref="E37:G37"/>
    <mergeCell ref="G13:G14"/>
    <mergeCell ref="A13:A14"/>
    <mergeCell ref="B13:B14"/>
    <mergeCell ref="C13:F13"/>
  </mergeCells>
  <pageMargins left="0.511811024" right="0.511811024" top="0.78740157499999996" bottom="0.78740157499999996" header="0.31496062000000002" footer="0.31496062000000002"/>
  <pageSetup paperSize="9" orientation="portrait" r:id="rId1"/>
  <headerFooter>
    <oddHeader>&amp;L&amp;G</oddHead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94691-BAB5-46D7-AAF1-563EBC8462C0}">
  <sheetPr codeName="Planilha6">
    <tabColor theme="9"/>
  </sheetPr>
  <dimension ref="A1:K43"/>
  <sheetViews>
    <sheetView showGridLines="0" zoomScaleNormal="70" workbookViewId="0">
      <selection activeCell="G18" sqref="G18"/>
    </sheetView>
  </sheetViews>
  <sheetFormatPr defaultColWidth="8.90625" defaultRowHeight="14.5" x14ac:dyDescent="0.35"/>
  <cols>
    <col min="1" max="1" width="4.36328125" customWidth="1"/>
    <col min="2" max="2" width="8.36328125" customWidth="1"/>
    <col min="3" max="3" width="17.453125" bestFit="1" customWidth="1"/>
    <col min="4" max="4" width="17.90625" customWidth="1"/>
    <col min="5" max="5" width="14" bestFit="1" customWidth="1"/>
    <col min="6" max="6" width="13.90625" bestFit="1" customWidth="1"/>
    <col min="7" max="8" width="13.6328125" bestFit="1" customWidth="1"/>
    <col min="9" max="10" width="14.54296875" bestFit="1" customWidth="1"/>
    <col min="11" max="11" width="13.90625" style="8" bestFit="1" customWidth="1"/>
  </cols>
  <sheetData>
    <row r="1" spans="1:11" ht="25.25" customHeight="1" x14ac:dyDescent="0.35">
      <c r="A1" s="53" t="s">
        <v>0</v>
      </c>
      <c r="B1" s="40"/>
      <c r="C1" s="407" t="str">
        <f>Projeto</f>
        <v>FLORESTAL SANTA MARIA - CARAGUA AGRONEGÓCIOS LTDA</v>
      </c>
      <c r="D1" s="407"/>
      <c r="E1" s="407"/>
      <c r="F1" s="407"/>
      <c r="G1" s="407"/>
      <c r="H1" s="407"/>
      <c r="I1" s="407"/>
      <c r="J1" s="407"/>
      <c r="K1" s="59"/>
    </row>
    <row r="2" spans="1:11" x14ac:dyDescent="0.35">
      <c r="A2" s="407" t="s">
        <v>289</v>
      </c>
      <c r="B2" s="407"/>
      <c r="C2" s="407"/>
      <c r="D2" s="407"/>
      <c r="E2" s="407"/>
      <c r="F2" s="407"/>
      <c r="G2" s="407"/>
      <c r="H2" s="407"/>
      <c r="I2" s="407"/>
      <c r="J2" s="407"/>
      <c r="K2" s="407"/>
    </row>
    <row r="4" spans="1:11" x14ac:dyDescent="0.35">
      <c r="E4">
        <v>1</v>
      </c>
      <c r="F4">
        <v>2</v>
      </c>
      <c r="G4">
        <v>3</v>
      </c>
      <c r="H4">
        <v>4</v>
      </c>
      <c r="I4">
        <v>5</v>
      </c>
      <c r="J4">
        <v>6</v>
      </c>
    </row>
    <row r="5" spans="1:11" x14ac:dyDescent="0.35">
      <c r="E5" s="421" t="s">
        <v>290</v>
      </c>
      <c r="F5" s="421"/>
      <c r="G5" s="421"/>
      <c r="H5" s="317"/>
      <c r="I5" s="317"/>
      <c r="J5" s="317"/>
      <c r="K5" s="429" t="s">
        <v>217</v>
      </c>
    </row>
    <row r="6" spans="1:11" ht="14.4" customHeight="1" x14ac:dyDescent="0.35">
      <c r="E6" s="381">
        <f>Overview!C9</f>
        <v>2025</v>
      </c>
      <c r="F6" s="381">
        <f>E6+1</f>
        <v>2026</v>
      </c>
      <c r="G6" s="381">
        <f>F6+1</f>
        <v>2027</v>
      </c>
      <c r="H6" s="381">
        <f>G6+1</f>
        <v>2028</v>
      </c>
      <c r="I6" s="381">
        <f>H6+1</f>
        <v>2029</v>
      </c>
      <c r="J6" s="381">
        <f t="shared" ref="J6" si="0">I6+1</f>
        <v>2030</v>
      </c>
      <c r="K6" s="429"/>
    </row>
    <row r="7" spans="1:11" ht="14.4" customHeight="1" x14ac:dyDescent="0.35">
      <c r="A7" s="436" t="s">
        <v>255</v>
      </c>
      <c r="B7" s="427" t="s">
        <v>221</v>
      </c>
      <c r="C7" s="54" t="s">
        <v>291</v>
      </c>
      <c r="D7" s="52" t="s">
        <v>126</v>
      </c>
      <c r="E7" s="95">
        <f>VLOOKUP($B$7,Deforestation!$B$6:$I$9,MATCH(E6,Deforestation!$D$5:$I$5,0)+2, 0)</f>
        <v>0</v>
      </c>
      <c r="F7" s="95">
        <f>VLOOKUP($B$7,Deforestation!$B$6:$I$9,MATCH(F6,Deforestation!$D$5:$I$5,0)+2, 0)</f>
        <v>1.44</v>
      </c>
      <c r="G7" s="95">
        <f>VLOOKUP($B$7,Deforestation!$B$6:$I$9,MATCH(G6,Deforestation!$D$5:$I$5,0)+2, 0)</f>
        <v>90.08999999999989</v>
      </c>
      <c r="H7" s="95">
        <f>VLOOKUP($B$7,Deforestation!$B$6:$I$9,MATCH(H6,Deforestation!$D$5:$I$5,0)+2, 0)</f>
        <v>90.63</v>
      </c>
      <c r="I7" s="95">
        <f>VLOOKUP($B$7,Deforestation!$B$6:$I$9,MATCH(I6,Deforestation!$D$5:$I$5,0)+2, 0)</f>
        <v>79.199999999999903</v>
      </c>
      <c r="J7" s="95">
        <f>VLOOKUP($B$7,Deforestation!$B$6:$I$9,MATCH(J6,Deforestation!$D$5:$I$5,0)+2, 0)</f>
        <v>58.499999999999901</v>
      </c>
      <c r="K7" s="60">
        <f>SUM(E7:J7)</f>
        <v>319.85999999999967</v>
      </c>
    </row>
    <row r="8" spans="1:11" ht="14.4" customHeight="1" x14ac:dyDescent="0.35">
      <c r="A8" s="436"/>
      <c r="B8" s="427"/>
      <c r="C8" s="55" t="s">
        <v>292</v>
      </c>
      <c r="D8" s="52" t="s">
        <v>126</v>
      </c>
      <c r="E8" s="95">
        <f>E7</f>
        <v>0</v>
      </c>
      <c r="F8" s="95">
        <f>F7+E8</f>
        <v>1.44</v>
      </c>
      <c r="G8" s="95">
        <f>G7+F8</f>
        <v>91.529999999999887</v>
      </c>
      <c r="H8" s="95">
        <f>H7+G8</f>
        <v>182.15999999999988</v>
      </c>
      <c r="I8" s="95">
        <f>I7+H8</f>
        <v>261.35999999999979</v>
      </c>
      <c r="J8" s="95">
        <f>J7+H8</f>
        <v>240.6599999999998</v>
      </c>
      <c r="K8" s="60">
        <f>SUM(E8:J8)</f>
        <v>777.14999999999941</v>
      </c>
    </row>
    <row r="9" spans="1:11" ht="14.4" customHeight="1" x14ac:dyDescent="0.35">
      <c r="A9" s="436"/>
      <c r="B9" s="427"/>
      <c r="C9" s="52" t="s">
        <v>293</v>
      </c>
      <c r="D9" s="52" t="s">
        <v>293</v>
      </c>
      <c r="E9" s="95">
        <f>E7*Biomass!$C$11</f>
        <v>0</v>
      </c>
      <c r="F9" s="95">
        <f>F7*Biomass!$C$11</f>
        <v>676.93216052094408</v>
      </c>
      <c r="G9" s="95">
        <f>G7*Biomass!$C$11</f>
        <v>42350.56829259151</v>
      </c>
      <c r="H9" s="95">
        <f>H7*Biomass!$C$11</f>
        <v>42604.417852786915</v>
      </c>
      <c r="I9" s="95">
        <f>I7*Biomass!$C$11</f>
        <v>37231.268828651875</v>
      </c>
      <c r="J9" s="95">
        <f>J7*Biomass!$C$11</f>
        <v>27500.369021163307</v>
      </c>
      <c r="K9" s="60">
        <f>SUM(E9:J9)</f>
        <v>150363.55615571456</v>
      </c>
    </row>
    <row r="10" spans="1:11" ht="14.4" customHeight="1" x14ac:dyDescent="0.35">
      <c r="A10" s="436"/>
      <c r="B10" s="428"/>
      <c r="C10" s="58" t="s">
        <v>294</v>
      </c>
      <c r="D10" s="58" t="s">
        <v>295</v>
      </c>
      <c r="E10" s="272">
        <f>E9</f>
        <v>0</v>
      </c>
      <c r="F10" s="272">
        <f>F9+E10</f>
        <v>676.93216052094408</v>
      </c>
      <c r="G10" s="272">
        <f t="shared" ref="G10:J10" si="1">G9+F10</f>
        <v>43027.50045311245</v>
      </c>
      <c r="H10" s="272">
        <f t="shared" si="1"/>
        <v>85631.918305899366</v>
      </c>
      <c r="I10" s="272">
        <f t="shared" si="1"/>
        <v>122863.18713455123</v>
      </c>
      <c r="J10" s="272">
        <f t="shared" si="1"/>
        <v>150363.55615571456</v>
      </c>
      <c r="K10" s="61"/>
    </row>
    <row r="11" spans="1:11" ht="14.4" customHeight="1" x14ac:dyDescent="0.35">
      <c r="A11" s="436"/>
      <c r="B11" s="435" t="s">
        <v>222</v>
      </c>
      <c r="C11" s="56" t="s">
        <v>291</v>
      </c>
      <c r="D11" s="57" t="s">
        <v>126</v>
      </c>
      <c r="E11" s="273">
        <f>VLOOKUP($B$11,Deforestation!$B$6:$I$9,MATCH(E6,Deforestation!$D$5:$I$5,0)+2, 0)</f>
        <v>26.459999999999901</v>
      </c>
      <c r="F11" s="273">
        <f>VLOOKUP($B$11,Deforestation!$B$6:$I$9,MATCH(F6,Deforestation!$D$5:$I$5,0)+2, 0)</f>
        <v>60.39</v>
      </c>
      <c r="G11" s="273">
        <f>VLOOKUP($B$11,Deforestation!$B$6:$I$9,MATCH(G6,Deforestation!$D$5:$I$5,0)+2, 0)</f>
        <v>75.149999999999906</v>
      </c>
      <c r="H11" s="273">
        <f>VLOOKUP($B$11,Deforestation!$B$6:$I$9,MATCH(H6,Deforestation!$D$5:$I$5,0)+2, 0)</f>
        <v>30.689999999999898</v>
      </c>
      <c r="I11" s="273">
        <f>VLOOKUP($B$11,Deforestation!$B$6:$I$9,MATCH(I6,Deforestation!$D$5:$I$5,0)+2, 0)</f>
        <v>15.479999999999899</v>
      </c>
      <c r="J11" s="273">
        <f>VLOOKUP($B$11,Deforestation!$B$6:$I$9,MATCH(J6,Deforestation!$D$5:$I$5,0)+2, 0)</f>
        <v>2.16</v>
      </c>
      <c r="K11" s="62">
        <f>SUM(E11:J11)</f>
        <v>210.32999999999961</v>
      </c>
    </row>
    <row r="12" spans="1:11" ht="14.4" customHeight="1" x14ac:dyDescent="0.35">
      <c r="A12" s="436"/>
      <c r="B12" s="427"/>
      <c r="C12" s="55" t="s">
        <v>292</v>
      </c>
      <c r="D12" s="52" t="s">
        <v>126</v>
      </c>
      <c r="E12" s="95">
        <f>E11</f>
        <v>26.459999999999901</v>
      </c>
      <c r="F12" s="95">
        <f>F11+E12</f>
        <v>86.849999999999909</v>
      </c>
      <c r="G12" s="95">
        <f>G11+F12</f>
        <v>161.99999999999983</v>
      </c>
      <c r="H12" s="95">
        <f>H11+G12</f>
        <v>192.68999999999971</v>
      </c>
      <c r="I12" s="95">
        <f>I11+H12</f>
        <v>208.16999999999962</v>
      </c>
      <c r="J12" s="95">
        <f>J11+H12</f>
        <v>194.84999999999971</v>
      </c>
      <c r="K12" s="60">
        <f>SUM(E12:J12)</f>
        <v>871.01999999999862</v>
      </c>
    </row>
    <row r="13" spans="1:11" ht="14.4" customHeight="1" x14ac:dyDescent="0.35">
      <c r="A13" s="436"/>
      <c r="B13" s="427"/>
      <c r="C13" s="52" t="s">
        <v>293</v>
      </c>
      <c r="D13" s="52" t="s">
        <v>293</v>
      </c>
      <c r="E13" s="95">
        <f>E11*Biomass!$D$11</f>
        <v>12668.252202636786</v>
      </c>
      <c r="F13" s="95">
        <f>F11*Biomass!$D$11</f>
        <v>28912.915741392226</v>
      </c>
      <c r="G13" s="95">
        <f>G11*Biomass!$D$11</f>
        <v>35979.559827216806</v>
      </c>
      <c r="H13" s="95">
        <f>H11*Biomass!$D$11</f>
        <v>14693.448983330427</v>
      </c>
      <c r="I13" s="95">
        <f>I11*Biomass!$D$11</f>
        <v>7411.3584314745613</v>
      </c>
      <c r="J13" s="95">
        <f>J11*Biomass!$D$11</f>
        <v>1034.1430369499456</v>
      </c>
      <c r="K13" s="60">
        <f>SUM(E13:J13)</f>
        <v>100699.67822300075</v>
      </c>
    </row>
    <row r="14" spans="1:11" ht="14.4" customHeight="1" x14ac:dyDescent="0.35">
      <c r="A14" s="436"/>
      <c r="B14" s="428"/>
      <c r="C14" s="58" t="s">
        <v>294</v>
      </c>
      <c r="D14" s="58" t="s">
        <v>295</v>
      </c>
      <c r="E14" s="272">
        <f>E13</f>
        <v>12668.252202636786</v>
      </c>
      <c r="F14" s="272">
        <f>F13+E14</f>
        <v>41581.16794402901</v>
      </c>
      <c r="G14" s="272">
        <f>G13+F14</f>
        <v>77560.727771245816</v>
      </c>
      <c r="H14" s="272">
        <f t="shared" ref="H14:J14" si="2">H13+G14</f>
        <v>92254.176754576241</v>
      </c>
      <c r="I14" s="272">
        <f t="shared" si="2"/>
        <v>99665.535186050809</v>
      </c>
      <c r="J14" s="272">
        <f t="shared" si="2"/>
        <v>100699.67822300075</v>
      </c>
      <c r="K14" s="61"/>
    </row>
    <row r="15" spans="1:11" ht="14.4" customHeight="1" x14ac:dyDescent="0.35">
      <c r="A15" s="436"/>
      <c r="B15" s="435" t="str">
        <f>Deforestation!B8</f>
        <v>FOB Densa Submontana</v>
      </c>
      <c r="C15" s="56" t="s">
        <v>291</v>
      </c>
      <c r="D15" s="57" t="s">
        <v>126</v>
      </c>
      <c r="E15" s="273">
        <f>VLOOKUP($B$15,Deforestation!$B$6:$I$9,MATCH(E6,Deforestation!$D$5:$I$5,0)+2, 0)</f>
        <v>19.529999999999902</v>
      </c>
      <c r="F15" s="273">
        <f>VLOOKUP($B$15,Deforestation!$B$6:$I$9,MATCH(F6,Deforestation!$D$5:$I$5,0)+2, 0)</f>
        <v>37.44</v>
      </c>
      <c r="G15" s="273">
        <f>VLOOKUP($B$15,Deforestation!$B$6:$I$9,MATCH(G6,Deforestation!$D$5:$I$5,0)+2, 0)</f>
        <v>37.979999999999997</v>
      </c>
      <c r="H15" s="273">
        <f>VLOOKUP($B$15,Deforestation!$B$6:$I$9,MATCH(H6,Deforestation!$D$5:$I$5,0)+2, 0)</f>
        <v>29.79</v>
      </c>
      <c r="I15" s="273">
        <f>VLOOKUP($B$15,Deforestation!$B$6:$I$9,MATCH(I6,Deforestation!$D$5:$I$5,0)+2, 0)</f>
        <v>35.82</v>
      </c>
      <c r="J15" s="273">
        <f>VLOOKUP($B$15,Deforestation!$B$6:$I$9,MATCH(J6,Deforestation!$D$5:$I$5,0)+2, 0)</f>
        <v>11.52</v>
      </c>
      <c r="K15" s="62">
        <f>SUM(E15:J15)</f>
        <v>172.0799999999999</v>
      </c>
    </row>
    <row r="16" spans="1:11" ht="14.4" customHeight="1" x14ac:dyDescent="0.35">
      <c r="A16" s="436"/>
      <c r="B16" s="427"/>
      <c r="C16" s="55" t="s">
        <v>292</v>
      </c>
      <c r="D16" s="52" t="s">
        <v>126</v>
      </c>
      <c r="E16" s="95">
        <f>E15</f>
        <v>19.529999999999902</v>
      </c>
      <c r="F16" s="95">
        <f>F15+E16</f>
        <v>56.969999999999899</v>
      </c>
      <c r="G16" s="95">
        <f>G15+F16</f>
        <v>94.949999999999903</v>
      </c>
      <c r="H16" s="95">
        <f>H15+G16</f>
        <v>124.7399999999999</v>
      </c>
      <c r="I16" s="95">
        <f>I15+H16</f>
        <v>160.55999999999989</v>
      </c>
      <c r="J16" s="95">
        <f>J15+H16</f>
        <v>136.25999999999991</v>
      </c>
      <c r="K16" s="60">
        <f>SUM(E16:J16)</f>
        <v>593.00999999999942</v>
      </c>
    </row>
    <row r="17" spans="1:11" ht="14.4" customHeight="1" x14ac:dyDescent="0.35">
      <c r="A17" s="436"/>
      <c r="B17" s="427"/>
      <c r="C17" s="52" t="s">
        <v>293</v>
      </c>
      <c r="D17" s="52" t="s">
        <v>293</v>
      </c>
      <c r="E17" s="95">
        <f>E15*Biomass!$E$11</f>
        <v>9662.3863678511807</v>
      </c>
      <c r="F17" s="95">
        <f>F15*Biomass!$E$11</f>
        <v>18523.284465558114</v>
      </c>
      <c r="G17" s="95">
        <f>G15*Biomass!$E$11</f>
        <v>18790.447222272895</v>
      </c>
      <c r="H17" s="95">
        <f>H15*Biomass!$E$11</f>
        <v>14738.478745432058</v>
      </c>
      <c r="I17" s="95">
        <f>I15*Biomass!$E$11</f>
        <v>17721.796195413775</v>
      </c>
      <c r="J17" s="95">
        <f>J15*Biomass!$E$11</f>
        <v>5699.4721432486513</v>
      </c>
      <c r="K17" s="60">
        <f>SUM(E17:J17)</f>
        <v>85135.865139776681</v>
      </c>
    </row>
    <row r="18" spans="1:11" ht="14.4" customHeight="1" x14ac:dyDescent="0.35">
      <c r="A18" s="436"/>
      <c r="B18" s="428"/>
      <c r="C18" s="58" t="s">
        <v>294</v>
      </c>
      <c r="D18" s="58" t="s">
        <v>295</v>
      </c>
      <c r="E18" s="272">
        <f>E17</f>
        <v>9662.3863678511807</v>
      </c>
      <c r="F18" s="272">
        <f>F17+E18</f>
        <v>28185.670833409295</v>
      </c>
      <c r="G18" s="272">
        <f t="shared" ref="G18:J18" si="3">G17+F18</f>
        <v>46976.118055682193</v>
      </c>
      <c r="H18" s="272">
        <f t="shared" si="3"/>
        <v>61714.596801114254</v>
      </c>
      <c r="I18" s="272">
        <f t="shared" si="3"/>
        <v>79436.392996528026</v>
      </c>
      <c r="J18" s="272">
        <f t="shared" si="3"/>
        <v>85135.865139776681</v>
      </c>
      <c r="K18" s="61"/>
    </row>
    <row r="19" spans="1:11" ht="14.4" customHeight="1" x14ac:dyDescent="0.35">
      <c r="A19" s="436"/>
      <c r="B19" s="435" t="str">
        <f>Deforestation!B9</f>
        <v>FOB Submontana</v>
      </c>
      <c r="C19" s="56" t="s">
        <v>291</v>
      </c>
      <c r="D19" s="57" t="s">
        <v>126</v>
      </c>
      <c r="E19" s="273">
        <f>VLOOKUP($B$19,Deforestation!$B$6:$I$9,MATCH(E6,Deforestation!$D$5:$I$5,0)+2, 0)</f>
        <v>110.33999999999899</v>
      </c>
      <c r="F19" s="273">
        <f>VLOOKUP($B$19,Deforestation!$B$6:$I$9,MATCH(F6,Deforestation!$D$5:$I$5,0)+2, 0)</f>
        <v>142.10999999999999</v>
      </c>
      <c r="G19" s="273">
        <f>VLOOKUP($B$19,Deforestation!$B$6:$I$9,MATCH(G6,Deforestation!$D$5:$I$5,0)+2, 0)</f>
        <v>321.20999999999987</v>
      </c>
      <c r="H19" s="273">
        <f>VLOOKUP($B$19,Deforestation!$B$6:$I$9,MATCH(H6,Deforestation!$D$5:$I$5,0)+2, 0)</f>
        <v>230.22</v>
      </c>
      <c r="I19" s="273">
        <f>VLOOKUP($B$19,Deforestation!$B$6:$I$9,MATCH(I6,Deforestation!$D$5:$I$5,0)+2, 0)</f>
        <v>273.06</v>
      </c>
      <c r="J19" s="273">
        <f>VLOOKUP($B$19,Deforestation!$B$6:$I$9,MATCH(J6,Deforestation!$D$5:$I$5,0)+2, 0)</f>
        <v>235.1699999999999</v>
      </c>
      <c r="K19" s="62">
        <f>SUM(E19:J19)</f>
        <v>1312.1099999999988</v>
      </c>
    </row>
    <row r="20" spans="1:11" ht="14.4" customHeight="1" x14ac:dyDescent="0.35">
      <c r="A20" s="436"/>
      <c r="B20" s="427"/>
      <c r="C20" s="55" t="s">
        <v>292</v>
      </c>
      <c r="D20" s="52" t="s">
        <v>126</v>
      </c>
      <c r="E20" s="95">
        <f>E19</f>
        <v>110.33999999999899</v>
      </c>
      <c r="F20" s="95">
        <f>F19+E20</f>
        <v>252.44999999999897</v>
      </c>
      <c r="G20" s="95">
        <f>G19+F20</f>
        <v>573.65999999999883</v>
      </c>
      <c r="H20" s="95">
        <f>H19+G20</f>
        <v>803.87999999999886</v>
      </c>
      <c r="I20" s="95">
        <f>I19+H20</f>
        <v>1076.9399999999989</v>
      </c>
      <c r="J20" s="95">
        <f>J19+H20</f>
        <v>1039.0499999999988</v>
      </c>
      <c r="K20" s="60">
        <f>SUM(E20:J20)</f>
        <v>3856.3199999999938</v>
      </c>
    </row>
    <row r="21" spans="1:11" ht="14.4" customHeight="1" x14ac:dyDescent="0.35">
      <c r="A21" s="436"/>
      <c r="B21" s="427"/>
      <c r="C21" s="52" t="s">
        <v>293</v>
      </c>
      <c r="D21" s="52" t="s">
        <v>293</v>
      </c>
      <c r="E21" s="95">
        <f>E19*Biomass!$F$11</f>
        <v>50265.046801577279</v>
      </c>
      <c r="F21" s="95">
        <f>F19*Biomass!$F$11</f>
        <v>64737.772348850929</v>
      </c>
      <c r="G21" s="95">
        <f>G19*Biomass!$F$11</f>
        <v>146326.22515075927</v>
      </c>
      <c r="H21" s="95">
        <f>H19*Biomass!$F$11</f>
        <v>104876.0111895888</v>
      </c>
      <c r="I21" s="95">
        <f>I19*Biomass!$F$11</f>
        <v>124391.64110602517</v>
      </c>
      <c r="J21" s="95">
        <f>J19*Biomass!$F$11</f>
        <v>107130.96842783244</v>
      </c>
      <c r="K21" s="60">
        <f>SUM(E21:J21)</f>
        <v>597727.66502463387</v>
      </c>
    </row>
    <row r="22" spans="1:11" ht="14.4" customHeight="1" x14ac:dyDescent="0.35">
      <c r="A22" s="436"/>
      <c r="B22" s="428"/>
      <c r="C22" s="58" t="s">
        <v>294</v>
      </c>
      <c r="D22" s="58" t="s">
        <v>295</v>
      </c>
      <c r="E22" s="272">
        <f>E21</f>
        <v>50265.046801577279</v>
      </c>
      <c r="F22" s="272">
        <f>F21+E22</f>
        <v>115002.8191504282</v>
      </c>
      <c r="G22" s="272">
        <f t="shared" ref="G22:J22" si="4">G21+F22</f>
        <v>261329.04430118747</v>
      </c>
      <c r="H22" s="272">
        <f t="shared" si="4"/>
        <v>366205.05549077626</v>
      </c>
      <c r="I22" s="272">
        <f t="shared" si="4"/>
        <v>490596.6965968014</v>
      </c>
      <c r="J22" s="272">
        <f t="shared" si="4"/>
        <v>597727.66502463387</v>
      </c>
      <c r="K22" s="61"/>
    </row>
    <row r="23" spans="1:11" ht="26" customHeight="1" x14ac:dyDescent="0.35">
      <c r="C23" s="52" t="s">
        <v>296</v>
      </c>
      <c r="D23" s="52" t="s">
        <v>293</v>
      </c>
      <c r="E23" s="316">
        <f>E21+E17+E13+E9</f>
        <v>72595.685372065243</v>
      </c>
      <c r="F23" s="316">
        <f t="shared" ref="F23:J23" si="5">F21+F17+F13+F9</f>
        <v>112850.9047163222</v>
      </c>
      <c r="G23" s="316">
        <f t="shared" si="5"/>
        <v>243446.8004928405</v>
      </c>
      <c r="H23" s="316">
        <f t="shared" si="5"/>
        <v>176912.35677113821</v>
      </c>
      <c r="I23" s="316">
        <f t="shared" si="5"/>
        <v>186756.06456156538</v>
      </c>
      <c r="J23" s="316">
        <f t="shared" si="5"/>
        <v>141364.95262919436</v>
      </c>
      <c r="K23"/>
    </row>
    <row r="26" spans="1:11" x14ac:dyDescent="0.35">
      <c r="B26" s="407" t="s">
        <v>290</v>
      </c>
      <c r="C26" s="430" t="s">
        <v>297</v>
      </c>
      <c r="D26" s="430"/>
      <c r="E26" s="431" t="s">
        <v>298</v>
      </c>
      <c r="F26" s="432"/>
    </row>
    <row r="27" spans="1:11" x14ac:dyDescent="0.35">
      <c r="A27" s="426"/>
      <c r="B27" s="407"/>
      <c r="C27" s="430"/>
      <c r="D27" s="430"/>
      <c r="E27" s="433"/>
      <c r="F27" s="434"/>
    </row>
    <row r="28" spans="1:11" ht="29" x14ac:dyDescent="0.35">
      <c r="A28" s="426"/>
      <c r="B28" s="407"/>
      <c r="C28" s="70" t="s">
        <v>299</v>
      </c>
      <c r="D28" s="70" t="s">
        <v>300</v>
      </c>
      <c r="E28" s="127" t="s">
        <v>90</v>
      </c>
      <c r="F28" s="128" t="s">
        <v>301</v>
      </c>
    </row>
    <row r="29" spans="1:11" x14ac:dyDescent="0.35">
      <c r="A29" s="66"/>
      <c r="B29" s="407"/>
      <c r="C29" s="70" t="s">
        <v>126</v>
      </c>
      <c r="D29" s="70" t="s">
        <v>126</v>
      </c>
      <c r="E29" s="127" t="s">
        <v>293</v>
      </c>
      <c r="F29" s="129" t="s">
        <v>295</v>
      </c>
      <c r="J29" s="5"/>
    </row>
    <row r="30" spans="1:11" x14ac:dyDescent="0.35">
      <c r="B30" s="21">
        <f>E6</f>
        <v>2025</v>
      </c>
      <c r="C30" s="89">
        <f>SUM(E$7,E$11,E$15,E$19)</f>
        <v>156.32999999999879</v>
      </c>
      <c r="D30" s="90">
        <f>C30</f>
        <v>156.32999999999879</v>
      </c>
      <c r="E30" s="130">
        <f>SUM($E$9,$E$13,$E$17,$E$21)</f>
        <v>72595.685372065243</v>
      </c>
      <c r="F30" s="131">
        <f>E30</f>
        <v>72595.685372065243</v>
      </c>
      <c r="J30" s="5"/>
    </row>
    <row r="31" spans="1:11" x14ac:dyDescent="0.35">
      <c r="B31" s="21">
        <f>B30+1</f>
        <v>2026</v>
      </c>
      <c r="C31" s="89">
        <f>SUM(F$7,F$11,F$15,F$19)</f>
        <v>241.38</v>
      </c>
      <c r="D31" s="90">
        <f>D30+C31</f>
        <v>397.70999999999879</v>
      </c>
      <c r="E31" s="130">
        <f>SUM($F$9,$F$13,$F$17,$F$21)</f>
        <v>112850.90471632221</v>
      </c>
      <c r="F31" s="131">
        <f>F30+E31</f>
        <v>185446.59008838746</v>
      </c>
      <c r="J31" s="5"/>
    </row>
    <row r="32" spans="1:11" x14ac:dyDescent="0.35">
      <c r="B32" s="21">
        <f t="shared" ref="B32:B35" si="6">B31+1</f>
        <v>2027</v>
      </c>
      <c r="C32" s="89">
        <f>SUM(G$7,G$11,G$15,G$19)</f>
        <v>524.42999999999961</v>
      </c>
      <c r="D32" s="90">
        <f t="shared" ref="D32:D34" si="7">D31+C32</f>
        <v>922.13999999999839</v>
      </c>
      <c r="E32" s="130">
        <f>SUM($G$9,$G$13,$G$17,$G$21)</f>
        <v>243446.80049284047</v>
      </c>
      <c r="F32" s="131">
        <f t="shared" ref="F32:F35" si="8">F31+E32</f>
        <v>428893.39058122796</v>
      </c>
      <c r="J32" s="5"/>
    </row>
    <row r="33" spans="2:6" x14ac:dyDescent="0.35">
      <c r="B33" s="21">
        <f t="shared" si="6"/>
        <v>2028</v>
      </c>
      <c r="C33" s="89">
        <f>SUM(H$7,H$11,H$15,H$19)</f>
        <v>381.32999999999993</v>
      </c>
      <c r="D33" s="90">
        <f t="shared" si="7"/>
        <v>1303.4699999999984</v>
      </c>
      <c r="E33" s="130">
        <f>SUM($H$9,$H$13,$H$17,$H$21)</f>
        <v>176912.35677113821</v>
      </c>
      <c r="F33" s="131">
        <f t="shared" si="8"/>
        <v>605805.7473523661</v>
      </c>
    </row>
    <row r="34" spans="2:6" x14ac:dyDescent="0.35">
      <c r="B34" s="21">
        <f t="shared" si="6"/>
        <v>2029</v>
      </c>
      <c r="C34" s="89">
        <f>SUM(I$7,I$11,I$15,I$19)</f>
        <v>403.55999999999983</v>
      </c>
      <c r="D34" s="90">
        <f t="shared" si="7"/>
        <v>1707.0299999999984</v>
      </c>
      <c r="E34" s="130">
        <f>SUM($I$9,$I$13,$I$17,$I$21)</f>
        <v>186756.06456156538</v>
      </c>
      <c r="F34" s="131">
        <f t="shared" si="8"/>
        <v>792561.81191393151</v>
      </c>
    </row>
    <row r="35" spans="2:6" x14ac:dyDescent="0.35">
      <c r="B35" s="21">
        <f t="shared" si="6"/>
        <v>2030</v>
      </c>
      <c r="C35" s="89">
        <f>SUM(J$7,J$11,J$15,J$19)</f>
        <v>307.3499999999998</v>
      </c>
      <c r="D35" s="90">
        <f>D34+C35</f>
        <v>2014.3799999999983</v>
      </c>
      <c r="E35" s="130">
        <f>SUM($J$9,$J$13,$J$17,$J$21)</f>
        <v>141364.95262919436</v>
      </c>
      <c r="F35" s="131">
        <f t="shared" si="8"/>
        <v>933926.76454312587</v>
      </c>
    </row>
    <row r="36" spans="2:6" x14ac:dyDescent="0.35">
      <c r="B36" s="67" t="s">
        <v>90</v>
      </c>
      <c r="C36" s="68">
        <f>SUM(C30:C35)</f>
        <v>2014.3799999999983</v>
      </c>
      <c r="D36" s="69"/>
      <c r="E36" s="132">
        <f>SUM(E30:E35)</f>
        <v>933926.76454312587</v>
      </c>
      <c r="F36" s="133"/>
    </row>
    <row r="43" spans="2:6" x14ac:dyDescent="0.35">
      <c r="C43" s="99"/>
      <c r="D43" s="99"/>
    </row>
  </sheetData>
  <mergeCells count="13">
    <mergeCell ref="A27:A28"/>
    <mergeCell ref="B26:B29"/>
    <mergeCell ref="B7:B10"/>
    <mergeCell ref="C1:J1"/>
    <mergeCell ref="A2:K2"/>
    <mergeCell ref="K5:K6"/>
    <mergeCell ref="C26:D27"/>
    <mergeCell ref="E26:F27"/>
    <mergeCell ref="B11:B14"/>
    <mergeCell ref="B15:B18"/>
    <mergeCell ref="B19:B22"/>
    <mergeCell ref="A7:A22"/>
    <mergeCell ref="E5:G5"/>
  </mergeCells>
  <pageMargins left="0.511811024" right="0.511811024" top="0.78740157499999996" bottom="0.78740157499999996" header="0.31496062000000002" footer="0.31496062000000002"/>
  <pageSetup paperSize="9" orientation="portrait" r:id="rId1"/>
  <ignoredErrors>
    <ignoredError sqref="F21:I21 F19:I19 F17:I17 E15:I15 E13:I13 F11:I11 G9:I9"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D3B7B-ACE9-4FA6-AC8B-6066E4DD3D55}">
  <sheetPr codeName="Planilha7">
    <tabColor theme="9"/>
  </sheetPr>
  <dimension ref="A1:O31"/>
  <sheetViews>
    <sheetView showGridLines="0" topLeftCell="A19" zoomScaleNormal="100" workbookViewId="0">
      <selection activeCell="H27" sqref="H27"/>
    </sheetView>
  </sheetViews>
  <sheetFormatPr defaultColWidth="8.90625" defaultRowHeight="14.5" x14ac:dyDescent="0.35"/>
  <cols>
    <col min="1" max="1" width="10.453125" customWidth="1"/>
    <col min="2" max="2" width="22.90625" customWidth="1"/>
    <col min="3" max="3" width="13.54296875" style="46" bestFit="1" customWidth="1"/>
    <col min="4" max="4" width="11.90625" bestFit="1" customWidth="1"/>
    <col min="5" max="6" width="12.90625" bestFit="1" customWidth="1"/>
    <col min="7" max="7" width="16" bestFit="1" customWidth="1"/>
    <col min="8" max="8" width="14.54296875" bestFit="1" customWidth="1"/>
    <col min="9" max="9" width="14.90625" bestFit="1" customWidth="1"/>
    <col min="10" max="10" width="11.36328125" bestFit="1" customWidth="1"/>
    <col min="11" max="11" width="12.08984375" bestFit="1" customWidth="1"/>
  </cols>
  <sheetData>
    <row r="1" spans="1:15" ht="25.25" customHeight="1" x14ac:dyDescent="0.35">
      <c r="A1" s="40" t="s">
        <v>0</v>
      </c>
      <c r="B1" s="40"/>
      <c r="C1" s="407" t="str">
        <f>Projeto</f>
        <v>FLORESTAL SANTA MARIA - CARAGUA AGRONEGÓCIOS LTDA</v>
      </c>
      <c r="D1" s="407"/>
      <c r="E1" s="407"/>
      <c r="F1" s="407"/>
      <c r="G1" s="407"/>
      <c r="H1" s="407"/>
      <c r="I1" s="407"/>
      <c r="J1" s="407"/>
      <c r="K1" s="41"/>
    </row>
    <row r="2" spans="1:15" x14ac:dyDescent="0.35">
      <c r="A2" s="407" t="s">
        <v>302</v>
      </c>
      <c r="B2" s="407"/>
      <c r="C2" s="407"/>
      <c r="D2" s="407"/>
      <c r="E2" s="407"/>
      <c r="F2" s="407"/>
      <c r="G2" s="407"/>
      <c r="H2" s="407"/>
      <c r="I2" s="407"/>
      <c r="J2" s="407"/>
      <c r="K2" s="407"/>
    </row>
    <row r="3" spans="1:15" x14ac:dyDescent="0.35">
      <c r="D3">
        <v>1</v>
      </c>
      <c r="E3">
        <v>2</v>
      </c>
      <c r="F3">
        <v>3</v>
      </c>
      <c r="G3">
        <v>4</v>
      </c>
      <c r="H3">
        <v>5</v>
      </c>
      <c r="I3">
        <v>6</v>
      </c>
    </row>
    <row r="4" spans="1:15" x14ac:dyDescent="0.35">
      <c r="B4" s="438" t="s">
        <v>67</v>
      </c>
      <c r="C4" s="438" t="s">
        <v>69</v>
      </c>
      <c r="D4" s="438" t="s">
        <v>216</v>
      </c>
      <c r="E4" s="438"/>
      <c r="F4" s="438"/>
      <c r="G4" s="438"/>
      <c r="H4" s="438"/>
      <c r="I4" s="438"/>
      <c r="J4" s="438" t="s">
        <v>217</v>
      </c>
      <c r="O4" s="24"/>
    </row>
    <row r="5" spans="1:15" x14ac:dyDescent="0.35">
      <c r="B5" s="438"/>
      <c r="C5" s="438"/>
      <c r="D5" s="382">
        <f>Overview!C9</f>
        <v>2025</v>
      </c>
      <c r="E5" s="382">
        <f>D5+1</f>
        <v>2026</v>
      </c>
      <c r="F5" s="382">
        <f t="shared" ref="F5:I5" si="0">E5+1</f>
        <v>2027</v>
      </c>
      <c r="G5" s="382">
        <f t="shared" si="0"/>
        <v>2028</v>
      </c>
      <c r="H5" s="382">
        <f t="shared" si="0"/>
        <v>2029</v>
      </c>
      <c r="I5" s="382">
        <f t="shared" si="0"/>
        <v>2030</v>
      </c>
      <c r="J5" s="438"/>
    </row>
    <row r="6" spans="1:15" x14ac:dyDescent="0.35">
      <c r="A6" s="449" t="s">
        <v>17</v>
      </c>
      <c r="B6" s="275" t="s">
        <v>90</v>
      </c>
      <c r="C6" s="280" t="s">
        <v>293</v>
      </c>
      <c r="D6" s="285">
        <f>'BL-ED'!E30</f>
        <v>72595.685372065243</v>
      </c>
      <c r="E6" s="285">
        <f>'BL-ED'!E31</f>
        <v>112850.90471632221</v>
      </c>
      <c r="F6" s="285">
        <f>'BL-ED'!E32</f>
        <v>243446.80049284047</v>
      </c>
      <c r="G6" s="285">
        <f>'BL-ED'!E33</f>
        <v>176912.35677113821</v>
      </c>
      <c r="H6" s="285">
        <f>'BL-ED'!E34</f>
        <v>186756.06456156538</v>
      </c>
      <c r="I6" s="285">
        <f>'BL-ED'!E35</f>
        <v>141364.95262919436</v>
      </c>
      <c r="J6" s="291">
        <f>SUM(D6:I6)</f>
        <v>933926.76454312587</v>
      </c>
    </row>
    <row r="7" spans="1:15" x14ac:dyDescent="0.35">
      <c r="A7" s="450"/>
      <c r="B7" s="276" t="s">
        <v>301</v>
      </c>
      <c r="C7" s="281" t="s">
        <v>295</v>
      </c>
      <c r="D7" s="286">
        <f>D6</f>
        <v>72595.685372065243</v>
      </c>
      <c r="E7" s="286">
        <f>E6+D7</f>
        <v>185446.59008838746</v>
      </c>
      <c r="F7" s="286">
        <f t="shared" ref="F7:I7" si="1">F6+E7</f>
        <v>428893.39058122796</v>
      </c>
      <c r="G7" s="286">
        <f t="shared" si="1"/>
        <v>605805.7473523661</v>
      </c>
      <c r="H7" s="286">
        <f t="shared" si="1"/>
        <v>792561.81191393151</v>
      </c>
      <c r="I7" s="286">
        <f t="shared" si="1"/>
        <v>933926.76454312587</v>
      </c>
      <c r="J7" s="292"/>
    </row>
    <row r="8" spans="1:15" ht="14.4" customHeight="1" x14ac:dyDescent="0.35">
      <c r="B8" s="275" t="s">
        <v>303</v>
      </c>
      <c r="C8" s="280" t="s">
        <v>126</v>
      </c>
      <c r="D8" s="287">
        <f>Deforestation!D10</f>
        <v>156.32999999999879</v>
      </c>
      <c r="E8" s="287">
        <f>Deforestation!E10</f>
        <v>241.38</v>
      </c>
      <c r="F8" s="287">
        <f>Deforestation!F10</f>
        <v>524.42999999999961</v>
      </c>
      <c r="G8" s="287">
        <f>Deforestation!G10</f>
        <v>381.32999999999993</v>
      </c>
      <c r="H8" s="287">
        <f>Deforestation!H10</f>
        <v>403.55999999999983</v>
      </c>
      <c r="I8" s="287">
        <f>Deforestation!I10</f>
        <v>307.3499999999998</v>
      </c>
      <c r="J8" s="293">
        <f>SUM(D8:I8)</f>
        <v>2014.3799999999983</v>
      </c>
    </row>
    <row r="9" spans="1:15" x14ac:dyDescent="0.35">
      <c r="B9" s="275" t="s">
        <v>304</v>
      </c>
      <c r="C9" s="280" t="s">
        <v>126</v>
      </c>
      <c r="D9" s="287">
        <f>D8</f>
        <v>156.32999999999879</v>
      </c>
      <c r="E9" s="287">
        <f>D9+E8</f>
        <v>397.70999999999879</v>
      </c>
      <c r="F9" s="287">
        <f t="shared" ref="F9:I9" si="2">E9+F8</f>
        <v>922.13999999999839</v>
      </c>
      <c r="G9" s="287">
        <f t="shared" si="2"/>
        <v>1303.4699999999984</v>
      </c>
      <c r="H9" s="287">
        <f t="shared" si="2"/>
        <v>1707.0299999999984</v>
      </c>
      <c r="I9" s="287">
        <f t="shared" si="2"/>
        <v>2014.3799999999983</v>
      </c>
      <c r="J9" s="293"/>
    </row>
    <row r="10" spans="1:15" s="8" customFormat="1" ht="17" customHeight="1" x14ac:dyDescent="0.35">
      <c r="A10" s="439" t="s">
        <v>305</v>
      </c>
      <c r="B10" s="277" t="s">
        <v>306</v>
      </c>
      <c r="C10" s="282" t="s">
        <v>295</v>
      </c>
      <c r="D10" s="288">
        <f>D8*COMFi*GgCH4*GWPgCH4*Conversion*$I$26</f>
        <v>2731.3671175448721</v>
      </c>
      <c r="E10" s="288">
        <f t="shared" ref="E10:I10" si="3">E8*COMFi*GgCH4*GWPgCH4*Conversion*$I$26</f>
        <v>4217.3440467791606</v>
      </c>
      <c r="F10" s="288">
        <f t="shared" si="3"/>
        <v>9162.7381657651604</v>
      </c>
      <c r="G10" s="288">
        <f t="shared" si="3"/>
        <v>6662.5230149900462</v>
      </c>
      <c r="H10" s="288">
        <f t="shared" si="3"/>
        <v>7050.9212176576257</v>
      </c>
      <c r="I10" s="288">
        <f t="shared" si="3"/>
        <v>5369.9589559100768</v>
      </c>
      <c r="J10" s="294">
        <f>SUM(D10:I10)</f>
        <v>35194.852518646941</v>
      </c>
    </row>
    <row r="11" spans="1:15" s="8" customFormat="1" ht="17" customHeight="1" x14ac:dyDescent="0.35">
      <c r="A11" s="440"/>
      <c r="B11" s="278" t="s">
        <v>307</v>
      </c>
      <c r="C11" s="283" t="s">
        <v>295</v>
      </c>
      <c r="D11" s="289">
        <f>D10</f>
        <v>2731.3671175448721</v>
      </c>
      <c r="E11" s="289">
        <f>D11+E10</f>
        <v>6948.7111643240332</v>
      </c>
      <c r="F11" s="289">
        <f t="shared" ref="F11:I11" si="4">E11+F10</f>
        <v>16111.449330089194</v>
      </c>
      <c r="G11" s="289">
        <f t="shared" si="4"/>
        <v>22773.972345079241</v>
      </c>
      <c r="H11" s="289">
        <f t="shared" si="4"/>
        <v>29824.893562736866</v>
      </c>
      <c r="I11" s="289">
        <f t="shared" si="4"/>
        <v>35194.852518646941</v>
      </c>
      <c r="J11" s="295"/>
    </row>
    <row r="12" spans="1:15" ht="14.4" customHeight="1" x14ac:dyDescent="0.35">
      <c r="A12" s="441" t="s">
        <v>308</v>
      </c>
      <c r="B12" s="279" t="s">
        <v>309</v>
      </c>
      <c r="C12" s="284" t="s">
        <v>295</v>
      </c>
      <c r="D12" s="290">
        <f>D8*COMFi*GgN2O*GWPgN2O*Conversion*$I$26</f>
        <v>1077.1016162937367</v>
      </c>
      <c r="E12" s="290">
        <f t="shared" ref="E12:I12" si="5">E8*COMFi*GgN2O*GWPgN2O*Conversion*$I$26</f>
        <v>1663.0895422566634</v>
      </c>
      <c r="F12" s="290">
        <f t="shared" si="5"/>
        <v>3613.2821635829878</v>
      </c>
      <c r="G12" s="290">
        <f t="shared" si="5"/>
        <v>2627.3342246612542</v>
      </c>
      <c r="H12" s="290">
        <f t="shared" si="5"/>
        <v>2780.4972063679629</v>
      </c>
      <c r="I12" s="290">
        <f t="shared" si="5"/>
        <v>2117.6177430300154</v>
      </c>
      <c r="J12" s="296">
        <f>SUM(D12:I12)</f>
        <v>13878.922496192621</v>
      </c>
    </row>
    <row r="13" spans="1:15" x14ac:dyDescent="0.35">
      <c r="A13" s="442"/>
      <c r="B13" s="276" t="s">
        <v>310</v>
      </c>
      <c r="C13" s="281" t="s">
        <v>295</v>
      </c>
      <c r="D13" s="286">
        <f>D12</f>
        <v>1077.1016162937367</v>
      </c>
      <c r="E13" s="286">
        <f>E12+D13</f>
        <v>2740.1911585504004</v>
      </c>
      <c r="F13" s="286">
        <f t="shared" ref="F13:I13" si="6">F12+E13</f>
        <v>6353.4733221333881</v>
      </c>
      <c r="G13" s="286">
        <f t="shared" si="6"/>
        <v>8980.8075467946419</v>
      </c>
      <c r="H13" s="286">
        <f t="shared" si="6"/>
        <v>11761.304753162605</v>
      </c>
      <c r="I13" s="286">
        <f t="shared" si="6"/>
        <v>13878.922496192621</v>
      </c>
      <c r="J13" s="292"/>
    </row>
    <row r="14" spans="1:15" x14ac:dyDescent="0.35">
      <c r="B14" s="275" t="s">
        <v>311</v>
      </c>
      <c r="C14" s="280" t="s">
        <v>295</v>
      </c>
      <c r="D14" s="287">
        <f>SUM(D10,D12)</f>
        <v>3808.4687338386088</v>
      </c>
      <c r="E14" s="287">
        <f t="shared" ref="E14:I14" si="7">SUM(E10,E12)</f>
        <v>5880.4335890358243</v>
      </c>
      <c r="F14" s="287">
        <f t="shared" si="7"/>
        <v>12776.020329348148</v>
      </c>
      <c r="G14" s="287">
        <f t="shared" si="7"/>
        <v>9289.8572396513009</v>
      </c>
      <c r="H14" s="287">
        <f t="shared" si="7"/>
        <v>9831.418424025589</v>
      </c>
      <c r="I14" s="287">
        <f t="shared" si="7"/>
        <v>7487.5766989400927</v>
      </c>
      <c r="J14" s="293">
        <f>SUM(D14:I14)</f>
        <v>49073.775014839564</v>
      </c>
    </row>
    <row r="15" spans="1:15" x14ac:dyDescent="0.35">
      <c r="A15" s="443" t="s">
        <v>312</v>
      </c>
      <c r="B15" s="277" t="s">
        <v>313</v>
      </c>
      <c r="C15" s="282" t="s">
        <v>295</v>
      </c>
      <c r="D15" s="290">
        <f>D8*CWP_average</f>
        <v>408.4592160661557</v>
      </c>
      <c r="E15" s="290">
        <f t="shared" ref="E15:I15" si="8">E8*CWP_average</f>
        <v>630.67796055811061</v>
      </c>
      <c r="F15" s="290">
        <f t="shared" si="8"/>
        <v>1370.2313483117478</v>
      </c>
      <c r="G15" s="290">
        <f t="shared" si="8"/>
        <v>996.33949249989337</v>
      </c>
      <c r="H15" s="290">
        <f t="shared" si="8"/>
        <v>1054.4220638115462</v>
      </c>
      <c r="I15" s="290">
        <f t="shared" si="8"/>
        <v>803.04445760848103</v>
      </c>
      <c r="J15" s="296">
        <f>SUM(D15:I15)</f>
        <v>5263.1745388559348</v>
      </c>
    </row>
    <row r="16" spans="1:15" x14ac:dyDescent="0.35">
      <c r="A16" s="444"/>
      <c r="B16" s="278" t="s">
        <v>314</v>
      </c>
      <c r="C16" s="283" t="s">
        <v>295</v>
      </c>
      <c r="D16" s="286">
        <f>D15</f>
        <v>408.4592160661557</v>
      </c>
      <c r="E16" s="286">
        <f>E15+D16</f>
        <v>1039.1371766242664</v>
      </c>
      <c r="F16" s="286">
        <f t="shared" ref="F16:I16" si="9">F15+E16</f>
        <v>2409.3685249360142</v>
      </c>
      <c r="G16" s="286">
        <f t="shared" si="9"/>
        <v>3405.7080174359075</v>
      </c>
      <c r="H16" s="286">
        <f t="shared" si="9"/>
        <v>4460.1300812474537</v>
      </c>
      <c r="I16" s="286">
        <f t="shared" si="9"/>
        <v>5263.1745388559348</v>
      </c>
      <c r="J16" s="292"/>
    </row>
    <row r="17" spans="1:14" x14ac:dyDescent="0.35">
      <c r="A17" s="445" t="s">
        <v>315</v>
      </c>
      <c r="B17" s="277" t="s">
        <v>316</v>
      </c>
      <c r="C17" s="282" t="s">
        <v>295</v>
      </c>
      <c r="D17" s="290">
        <f>D8*pasture_percentage*pasture_tco2ha</f>
        <v>2109.4701209999835</v>
      </c>
      <c r="E17" s="290">
        <f t="shared" ref="E17:I17" si="10">E8*pasture_percentage*pasture_tco2ha</f>
        <v>3257.1093059999994</v>
      </c>
      <c r="F17" s="290">
        <f t="shared" si="10"/>
        <v>7076.5010909999937</v>
      </c>
      <c r="G17" s="290">
        <f t="shared" si="10"/>
        <v>5145.552620999998</v>
      </c>
      <c r="H17" s="290">
        <f t="shared" si="10"/>
        <v>5445.5175719999961</v>
      </c>
      <c r="I17" s="290">
        <f t="shared" si="10"/>
        <v>4147.2886949999966</v>
      </c>
      <c r="J17" s="296">
        <f>SUM(D17:I17)</f>
        <v>27181.439405999969</v>
      </c>
    </row>
    <row r="18" spans="1:14" x14ac:dyDescent="0.35">
      <c r="A18" s="446"/>
      <c r="B18" s="278" t="s">
        <v>317</v>
      </c>
      <c r="C18" s="283" t="s">
        <v>295</v>
      </c>
      <c r="D18" s="286">
        <f>D17</f>
        <v>2109.4701209999835</v>
      </c>
      <c r="E18" s="286">
        <f>E17+D18</f>
        <v>5366.5794269999824</v>
      </c>
      <c r="F18" s="286">
        <f t="shared" ref="F18:I18" si="11">F17+E18</f>
        <v>12443.080517999977</v>
      </c>
      <c r="G18" s="286">
        <f t="shared" si="11"/>
        <v>17588.633138999976</v>
      </c>
      <c r="H18" s="286">
        <f t="shared" si="11"/>
        <v>23034.150710999973</v>
      </c>
      <c r="I18" s="286">
        <f t="shared" si="11"/>
        <v>27181.439405999969</v>
      </c>
      <c r="J18" s="292"/>
      <c r="K18" s="2"/>
      <c r="L18" s="2"/>
      <c r="M18" s="2"/>
      <c r="N18" s="2"/>
    </row>
    <row r="19" spans="1:14" x14ac:dyDescent="0.35">
      <c r="A19" s="447" t="s">
        <v>318</v>
      </c>
      <c r="B19" s="277" t="s">
        <v>319</v>
      </c>
      <c r="C19" s="282" t="s">
        <v>295</v>
      </c>
      <c r="D19" s="290">
        <f>D8*coffee_percentage*coffee_tcoha</f>
        <v>1312.6508999999896</v>
      </c>
      <c r="E19" s="290">
        <f>E8*coffee_percentage*coffee_tcoha</f>
        <v>2026.7873999999999</v>
      </c>
      <c r="F19" s="290">
        <f t="shared" ref="F19:I19" si="12">F8*coffee_percentage*coffee_tcoha</f>
        <v>4403.4638999999961</v>
      </c>
      <c r="G19" s="290">
        <f t="shared" si="12"/>
        <v>3201.9008999999992</v>
      </c>
      <c r="H19" s="290">
        <f t="shared" si="12"/>
        <v>3388.5587999999984</v>
      </c>
      <c r="I19" s="290">
        <f t="shared" si="12"/>
        <v>2580.715499999998</v>
      </c>
      <c r="J19" s="296">
        <f>SUM(D19:I19)</f>
        <v>16914.07739999998</v>
      </c>
      <c r="K19" s="2"/>
      <c r="L19" s="2"/>
      <c r="M19" s="2"/>
      <c r="N19" s="2"/>
    </row>
    <row r="20" spans="1:14" x14ac:dyDescent="0.35">
      <c r="A20" s="448"/>
      <c r="B20" s="278" t="s">
        <v>320</v>
      </c>
      <c r="C20" s="283" t="s">
        <v>295</v>
      </c>
      <c r="D20" s="286">
        <f>D19</f>
        <v>1312.6508999999896</v>
      </c>
      <c r="E20" s="286">
        <f>E19+D20</f>
        <v>3339.4382999999898</v>
      </c>
      <c r="F20" s="286">
        <f t="shared" ref="F20:I20" si="13">F19+E20</f>
        <v>7742.9021999999859</v>
      </c>
      <c r="G20" s="286">
        <f t="shared" si="13"/>
        <v>10944.803099999985</v>
      </c>
      <c r="H20" s="286">
        <f t="shared" si="13"/>
        <v>14333.361899999984</v>
      </c>
      <c r="I20" s="286">
        <f t="shared" si="13"/>
        <v>16914.07739999998</v>
      </c>
      <c r="J20" s="292"/>
      <c r="K20" s="2"/>
      <c r="L20" s="2"/>
      <c r="M20" s="2"/>
      <c r="N20" s="2"/>
    </row>
    <row r="21" spans="1:14" x14ac:dyDescent="0.35">
      <c r="A21" s="137"/>
      <c r="B21" s="137"/>
      <c r="C21" s="297" t="s">
        <v>321</v>
      </c>
      <c r="D21" s="298">
        <f>D6+D10+D12-(D15+D17+D19)</f>
        <v>72573.573868837717</v>
      </c>
      <c r="E21" s="298">
        <f t="shared" ref="E21:I21" si="14">E6+E10+E12-(E15+E17+E19)</f>
        <v>112816.76363879994</v>
      </c>
      <c r="F21" s="298">
        <f t="shared" si="14"/>
        <v>243372.62448287685</v>
      </c>
      <c r="G21" s="298">
        <f t="shared" si="14"/>
        <v>176858.42099728965</v>
      </c>
      <c r="H21" s="298">
        <f t="shared" si="14"/>
        <v>186698.98454977942</v>
      </c>
      <c r="I21" s="298">
        <f t="shared" si="14"/>
        <v>141321.48067552599</v>
      </c>
      <c r="J21" s="2"/>
      <c r="K21" s="2"/>
      <c r="L21" s="2"/>
      <c r="M21" s="2"/>
      <c r="N21" s="2"/>
    </row>
    <row r="22" spans="1:14" x14ac:dyDescent="0.35">
      <c r="B22" s="5"/>
    </row>
    <row r="23" spans="1:14" ht="30" customHeight="1" x14ac:dyDescent="0.35">
      <c r="B23" s="421" t="s">
        <v>67</v>
      </c>
      <c r="C23" s="421" t="s">
        <v>69</v>
      </c>
      <c r="D23" s="407" t="s">
        <v>255</v>
      </c>
      <c r="E23" s="407"/>
      <c r="F23" s="407"/>
      <c r="G23" s="407"/>
      <c r="H23" s="51" t="s">
        <v>322</v>
      </c>
      <c r="I23" s="51" t="s">
        <v>322</v>
      </c>
      <c r="J23" s="51" t="s">
        <v>90</v>
      </c>
    </row>
    <row r="24" spans="1:14" ht="29" x14ac:dyDescent="0.4">
      <c r="B24" s="421"/>
      <c r="C24" s="421"/>
      <c r="D24" s="30" t="s">
        <v>221</v>
      </c>
      <c r="E24" s="30" t="s">
        <v>222</v>
      </c>
      <c r="F24" s="30" t="s">
        <v>223</v>
      </c>
      <c r="G24" s="30" t="s">
        <v>256</v>
      </c>
      <c r="H24" s="78" t="s">
        <v>323</v>
      </c>
      <c r="I24" s="77" t="s">
        <v>324</v>
      </c>
      <c r="J24" s="78" t="s">
        <v>323</v>
      </c>
    </row>
    <row r="25" spans="1:14" ht="16.5" x14ac:dyDescent="0.45">
      <c r="B25" s="5" t="s">
        <v>275</v>
      </c>
      <c r="C25" s="16" t="s">
        <v>325</v>
      </c>
      <c r="D25" s="90">
        <f>SUM(D26:D27)</f>
        <v>470.09177813954449</v>
      </c>
      <c r="E25" s="90">
        <f t="shared" ref="E25:G25" si="15">SUM(E26:E27)</f>
        <v>478.76992451386366</v>
      </c>
      <c r="F25" s="90">
        <f t="shared" si="15"/>
        <v>494.74584576811208</v>
      </c>
      <c r="G25" s="90">
        <f t="shared" si="15"/>
        <v>455.546916816909</v>
      </c>
      <c r="H25" s="95">
        <v>463.79771329350808</v>
      </c>
      <c r="I25" s="25">
        <f>H25/CF/tC_to_tCO2</f>
        <v>269.12826690145539</v>
      </c>
      <c r="J25" s="94">
        <f>SUM(D25:G25)</f>
        <v>1899.1544652384293</v>
      </c>
      <c r="K25" s="437" t="s">
        <v>326</v>
      </c>
    </row>
    <row r="26" spans="1:14" ht="15.65" customHeight="1" x14ac:dyDescent="0.45">
      <c r="B26" s="5" t="s">
        <v>272</v>
      </c>
      <c r="C26" s="16" t="s">
        <v>325</v>
      </c>
      <c r="D26" s="90">
        <f>Biomass!L13</f>
        <v>385.00555130183824</v>
      </c>
      <c r="E26" s="90">
        <f>Biomass!M13</f>
        <v>392.11296028981462</v>
      </c>
      <c r="F26" s="90">
        <f>Biomass!N13</f>
        <v>405.19725288133668</v>
      </c>
      <c r="G26" s="90">
        <f>Biomass!O13</f>
        <v>373.09329796634643</v>
      </c>
      <c r="H26" s="95">
        <f>SUMPRODUCT(D26:G26,$D$29:$G$29)/SUM($D$29:$G$29)</f>
        <v>379.7132542259186</v>
      </c>
      <c r="I26" s="25">
        <f>H26/CF/tC_to_tCO2</f>
        <v>220.33651115623906</v>
      </c>
      <c r="J26" s="94">
        <f>SUM(D26:G26)</f>
        <v>1555.4090624393359</v>
      </c>
      <c r="K26" s="437"/>
    </row>
    <row r="27" spans="1:14" ht="16.5" x14ac:dyDescent="0.45">
      <c r="B27" s="5" t="s">
        <v>273</v>
      </c>
      <c r="C27" s="16" t="s">
        <v>325</v>
      </c>
      <c r="D27" s="90">
        <f>Biomass!L14</f>
        <v>85.086226837706249</v>
      </c>
      <c r="E27" s="90">
        <f>Biomass!M14</f>
        <v>86.656964224049034</v>
      </c>
      <c r="F27" s="90">
        <f>Biomass!N14</f>
        <v>89.54859288677541</v>
      </c>
      <c r="G27" s="90">
        <f>Biomass!O14</f>
        <v>82.453618850562563</v>
      </c>
      <c r="H27" s="95">
        <v>83.947006255417918</v>
      </c>
      <c r="I27" s="25">
        <f>H27/CF/tC_to_tCO2</f>
        <v>48.711995892892418</v>
      </c>
      <c r="J27" s="94">
        <f>SUM(D27:G27)</f>
        <v>343.74540279909326</v>
      </c>
      <c r="K27" s="437"/>
    </row>
    <row r="28" spans="1:14" ht="16.5" x14ac:dyDescent="0.45">
      <c r="B28" s="5" t="s">
        <v>276</v>
      </c>
      <c r="C28" s="16" t="s">
        <v>325</v>
      </c>
      <c r="D28" s="160">
        <v>0</v>
      </c>
      <c r="E28" s="160">
        <v>0</v>
      </c>
      <c r="F28" s="160">
        <v>0</v>
      </c>
      <c r="G28" s="160">
        <v>0</v>
      </c>
      <c r="H28" s="161">
        <v>0</v>
      </c>
      <c r="I28" s="161">
        <v>0</v>
      </c>
      <c r="J28" s="94">
        <f>SUM(D28:G28)</f>
        <v>0</v>
      </c>
      <c r="K28" s="437"/>
    </row>
    <row r="29" spans="1:14" x14ac:dyDescent="0.35">
      <c r="B29" s="64" t="s">
        <v>327</v>
      </c>
      <c r="C29" s="65" t="s">
        <v>73</v>
      </c>
      <c r="D29" s="96">
        <f>Biomass!L8</f>
        <v>0.15878831203645788</v>
      </c>
      <c r="E29" s="96">
        <f>Biomass!M8</f>
        <v>0.10441426146010178</v>
      </c>
      <c r="F29" s="96">
        <f>Biomass!N8</f>
        <v>8.5425788580109061E-2</v>
      </c>
      <c r="G29" s="96">
        <f>Biomass!O8</f>
        <v>0.6513716379233313</v>
      </c>
      <c r="H29" s="10"/>
      <c r="I29" s="10"/>
      <c r="J29" s="10"/>
      <c r="K29" s="437"/>
    </row>
    <row r="30" spans="1:14" x14ac:dyDescent="0.35">
      <c r="B30" s="72"/>
      <c r="C30" s="73"/>
      <c r="D30" s="76"/>
      <c r="E30" s="76"/>
      <c r="F30" s="76"/>
      <c r="G30" s="74"/>
    </row>
    <row r="31" spans="1:14" x14ac:dyDescent="0.35">
      <c r="B31" s="71"/>
      <c r="C31" s="2"/>
      <c r="D31" s="23"/>
      <c r="E31" s="23"/>
      <c r="F31" s="23"/>
      <c r="G31" s="23"/>
    </row>
  </sheetData>
  <mergeCells count="16">
    <mergeCell ref="K25:K29"/>
    <mergeCell ref="C1:J1"/>
    <mergeCell ref="A2:K2"/>
    <mergeCell ref="B4:B5"/>
    <mergeCell ref="C4:C5"/>
    <mergeCell ref="B23:B24"/>
    <mergeCell ref="C23:C24"/>
    <mergeCell ref="D23:G23"/>
    <mergeCell ref="D4:I4"/>
    <mergeCell ref="J4:J5"/>
    <mergeCell ref="A10:A11"/>
    <mergeCell ref="A12:A13"/>
    <mergeCell ref="A15:A16"/>
    <mergeCell ref="A17:A18"/>
    <mergeCell ref="A19:A20"/>
    <mergeCell ref="A6:A7"/>
  </mergeCells>
  <pageMargins left="0.511811024" right="0.511811024" top="0.78740157499999996" bottom="0.78740157499999996" header="0.31496062000000002" footer="0.31496062000000002"/>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D6F96-9A14-4984-A017-F102416F0DD4}">
  <sheetPr>
    <tabColor theme="4"/>
  </sheetPr>
  <dimension ref="A1:S31"/>
  <sheetViews>
    <sheetView showGridLines="0" topLeftCell="A17" zoomScaleNormal="100" workbookViewId="0">
      <selection activeCell="G23" sqref="G23:I31"/>
    </sheetView>
  </sheetViews>
  <sheetFormatPr defaultColWidth="8.90625" defaultRowHeight="14.5" x14ac:dyDescent="0.35"/>
  <cols>
    <col min="1" max="1" width="7.08984375" customWidth="1"/>
    <col min="2" max="2" width="30.6328125" bestFit="1" customWidth="1"/>
    <col min="3" max="3" width="19.36328125" bestFit="1" customWidth="1"/>
    <col min="4" max="4" width="13.08984375" bestFit="1" customWidth="1"/>
    <col min="5" max="6" width="12.6328125" bestFit="1" customWidth="1"/>
    <col min="7" max="7" width="14.36328125" customWidth="1"/>
    <col min="8" max="9" width="13.54296875" bestFit="1" customWidth="1"/>
    <col min="10" max="10" width="12" bestFit="1" customWidth="1"/>
    <col min="11" max="11" width="12" customWidth="1"/>
    <col min="12" max="12" width="19.90625" customWidth="1"/>
    <col min="13" max="13" width="22.36328125" bestFit="1" customWidth="1"/>
    <col min="14" max="14" width="12" customWidth="1"/>
    <col min="15" max="15" width="11.90625" customWidth="1"/>
    <col min="16" max="16" width="13" bestFit="1" customWidth="1"/>
    <col min="17" max="17" width="11.90625" bestFit="1" customWidth="1"/>
    <col min="18" max="18" width="11.08984375" bestFit="1" customWidth="1"/>
    <col min="19" max="19" width="17.6328125" customWidth="1"/>
  </cols>
  <sheetData>
    <row r="1" spans="1:19" x14ac:dyDescent="0.35">
      <c r="A1" s="40" t="s">
        <v>0</v>
      </c>
      <c r="B1" s="407" t="str">
        <f>Projeto</f>
        <v>FLORESTAL SANTA MARIA - CARAGUA AGRONEGÓCIOS LTDA</v>
      </c>
      <c r="C1" s="407"/>
      <c r="D1" s="407"/>
      <c r="E1" s="407"/>
      <c r="F1" s="407"/>
      <c r="G1" s="407"/>
      <c r="H1" s="407"/>
      <c r="I1" s="407"/>
      <c r="J1" s="407"/>
      <c r="K1" s="40"/>
      <c r="L1" s="40"/>
      <c r="M1" s="40"/>
      <c r="N1" s="40"/>
      <c r="O1" s="40"/>
      <c r="P1" s="40"/>
      <c r="Q1" s="40"/>
      <c r="R1" s="40"/>
    </row>
    <row r="2" spans="1:19" x14ac:dyDescent="0.35">
      <c r="A2" s="407" t="s">
        <v>328</v>
      </c>
      <c r="B2" s="407"/>
      <c r="C2" s="407"/>
      <c r="D2" s="407"/>
      <c r="E2" s="407"/>
      <c r="F2" s="407"/>
      <c r="G2" s="407"/>
      <c r="H2" s="407"/>
      <c r="I2" s="407"/>
      <c r="J2" s="407"/>
      <c r="K2" s="40"/>
      <c r="L2" s="40"/>
      <c r="M2" s="40"/>
      <c r="N2" s="40"/>
      <c r="O2" s="40"/>
      <c r="P2" s="40"/>
      <c r="Q2" s="40"/>
      <c r="R2" s="40"/>
    </row>
    <row r="3" spans="1:19" s="193" customFormat="1" ht="22.25" customHeight="1" x14ac:dyDescent="0.35">
      <c r="A3" s="325"/>
      <c r="B3" s="326"/>
      <c r="C3" s="326"/>
      <c r="D3" s="326"/>
      <c r="E3" s="325"/>
      <c r="F3" s="325"/>
      <c r="G3" s="325"/>
      <c r="H3" s="325"/>
      <c r="I3" s="325"/>
      <c r="J3" s="325"/>
      <c r="K3" s="325"/>
      <c r="L3" s="325"/>
      <c r="M3" s="325"/>
      <c r="N3" s="325"/>
      <c r="O3" s="325"/>
      <c r="P3" s="325"/>
      <c r="Q3" s="325"/>
      <c r="R3" s="325"/>
    </row>
    <row r="4" spans="1:19" x14ac:dyDescent="0.35">
      <c r="B4" s="326" t="s">
        <v>329</v>
      </c>
      <c r="C4" s="326" t="s">
        <v>330</v>
      </c>
      <c r="D4">
        <v>1</v>
      </c>
      <c r="E4">
        <v>2</v>
      </c>
      <c r="F4">
        <v>3</v>
      </c>
      <c r="G4">
        <v>4</v>
      </c>
      <c r="H4">
        <v>5</v>
      </c>
      <c r="I4">
        <v>6</v>
      </c>
    </row>
    <row r="5" spans="1:19" x14ac:dyDescent="0.35">
      <c r="B5" s="421" t="s">
        <v>67</v>
      </c>
      <c r="C5" s="421" t="s">
        <v>69</v>
      </c>
      <c r="D5" s="421" t="s">
        <v>290</v>
      </c>
      <c r="E5" s="421"/>
      <c r="F5" s="421"/>
      <c r="G5" s="421"/>
      <c r="H5" s="421"/>
      <c r="I5" s="421"/>
      <c r="J5" s="421" t="s">
        <v>90</v>
      </c>
      <c r="K5" s="24"/>
      <c r="M5" s="421" t="s">
        <v>67</v>
      </c>
      <c r="N5" s="421" t="s">
        <v>69</v>
      </c>
      <c r="O5" s="454" t="s">
        <v>331</v>
      </c>
      <c r="P5" s="454"/>
      <c r="Q5" s="454"/>
      <c r="R5" s="421" t="s">
        <v>332</v>
      </c>
      <c r="S5" s="421" t="s">
        <v>65</v>
      </c>
    </row>
    <row r="6" spans="1:19" x14ac:dyDescent="0.35">
      <c r="B6" s="421"/>
      <c r="C6" s="421"/>
      <c r="D6" s="380">
        <v>2019</v>
      </c>
      <c r="E6" s="380">
        <v>2020</v>
      </c>
      <c r="F6" s="380">
        <v>2021</v>
      </c>
      <c r="G6" s="380">
        <v>2022</v>
      </c>
      <c r="H6" s="380">
        <v>2023</v>
      </c>
      <c r="I6" s="380">
        <v>2024</v>
      </c>
      <c r="J6" s="421"/>
      <c r="M6" s="421"/>
      <c r="N6" s="421"/>
      <c r="O6" s="454"/>
      <c r="P6" s="454"/>
      <c r="Q6" s="454"/>
      <c r="R6" s="421"/>
      <c r="S6" s="421"/>
    </row>
    <row r="7" spans="1:19" ht="14.4" customHeight="1" x14ac:dyDescent="0.35">
      <c r="A7" s="457" t="s">
        <v>333</v>
      </c>
      <c r="B7" s="46" t="s">
        <v>334</v>
      </c>
      <c r="C7" s="46" t="s">
        <v>335</v>
      </c>
      <c r="D7" s="151">
        <f>'Resume_Ex-ante'!C7</f>
        <v>0</v>
      </c>
      <c r="E7" s="151">
        <f>'Resume_Ex-ante'!D7</f>
        <v>0</v>
      </c>
      <c r="F7" s="151">
        <f>'Resume_Ex-ante'!E7</f>
        <v>0</v>
      </c>
      <c r="G7" s="151">
        <f>AVERAGE($O$7:$Q$7)</f>
        <v>1342.3929777777778</v>
      </c>
      <c r="H7" s="151">
        <f t="shared" ref="H7:I7" si="0">AVERAGE($O$7:$Q$7)</f>
        <v>1342.3929777777778</v>
      </c>
      <c r="I7" s="151">
        <f t="shared" si="0"/>
        <v>1342.3929777777778</v>
      </c>
      <c r="L7" s="455" t="s">
        <v>333</v>
      </c>
      <c r="M7" s="46" t="s">
        <v>334</v>
      </c>
      <c r="N7" s="46" t="s">
        <v>335</v>
      </c>
      <c r="O7" s="23">
        <v>1188.9136100000001</v>
      </c>
      <c r="P7" s="23">
        <v>1399.2025333333333</v>
      </c>
      <c r="Q7" s="23">
        <v>1439.0627899999999</v>
      </c>
      <c r="R7" s="321">
        <f>AVERAGE(O7:Q7)</f>
        <v>1342.3929777777778</v>
      </c>
      <c r="S7" s="332" t="s">
        <v>336</v>
      </c>
    </row>
    <row r="8" spans="1:19" ht="17.5" x14ac:dyDescent="0.45">
      <c r="A8" s="457"/>
      <c r="B8" s="46" t="s">
        <v>337</v>
      </c>
      <c r="C8" s="46" t="s">
        <v>338</v>
      </c>
      <c r="D8" s="23">
        <f>'Resume_Ex-ante'!C8</f>
        <v>0</v>
      </c>
      <c r="E8" s="23">
        <f>'Resume_Ex-ante'!D8</f>
        <v>0</v>
      </c>
      <c r="F8" s="23">
        <f>'Resume_Ex-ante'!E8</f>
        <v>0</v>
      </c>
      <c r="G8" s="23">
        <v>19</v>
      </c>
      <c r="H8" s="23">
        <v>19</v>
      </c>
      <c r="I8" s="23">
        <v>19</v>
      </c>
      <c r="L8" s="455"/>
      <c r="M8" s="46" t="s">
        <v>337</v>
      </c>
      <c r="N8" s="46" t="s">
        <v>338</v>
      </c>
      <c r="O8" s="23">
        <v>19.25087598174288</v>
      </c>
      <c r="P8" s="23">
        <v>18.184311732246503</v>
      </c>
      <c r="Q8" s="319">
        <v>25.048756835114009</v>
      </c>
      <c r="R8" s="386">
        <f>ROUNDUP(AVERAGE(O8:Q8,11.35),0)</f>
        <v>19</v>
      </c>
      <c r="S8" s="332" t="s">
        <v>339</v>
      </c>
    </row>
    <row r="9" spans="1:19" ht="16.25" customHeight="1" x14ac:dyDescent="0.45">
      <c r="A9" s="457"/>
      <c r="B9" s="46" t="s">
        <v>340</v>
      </c>
      <c r="C9" s="43" t="s">
        <v>341</v>
      </c>
      <c r="D9" s="26">
        <f>D8*D7</f>
        <v>0</v>
      </c>
      <c r="E9" s="26">
        <f t="shared" ref="E9:F9" si="1">E8*E7</f>
        <v>0</v>
      </c>
      <c r="F9" s="26">
        <f t="shared" si="1"/>
        <v>0</v>
      </c>
      <c r="G9" s="26">
        <f>G8*G7</f>
        <v>25505.466577777777</v>
      </c>
      <c r="H9" s="26">
        <f>H8*H7</f>
        <v>25505.466577777777</v>
      </c>
      <c r="I9" s="26">
        <f t="shared" ref="I9" si="2">I8*I7</f>
        <v>25505.466577777777</v>
      </c>
      <c r="L9" s="451" t="s">
        <v>342</v>
      </c>
      <c r="M9" s="102" t="s">
        <v>343</v>
      </c>
      <c r="N9" s="103"/>
      <c r="O9" s="74">
        <v>123</v>
      </c>
      <c r="P9" s="74">
        <v>107</v>
      </c>
      <c r="Q9" s="74">
        <v>141</v>
      </c>
      <c r="R9" s="324">
        <f t="shared" ref="R9:R13" si="3">AVERAGE(O9:Q9)</f>
        <v>123.66666666666667</v>
      </c>
      <c r="S9" s="332" t="s">
        <v>344</v>
      </c>
    </row>
    <row r="10" spans="1:19" ht="16.5" x14ac:dyDescent="0.45">
      <c r="A10" s="457"/>
      <c r="B10" s="46" t="s">
        <v>340</v>
      </c>
      <c r="C10" s="43" t="s">
        <v>345</v>
      </c>
      <c r="D10" s="26">
        <f t="shared" ref="D10:I10" si="4">D9*Dmn</f>
        <v>0</v>
      </c>
      <c r="E10" s="26">
        <f t="shared" si="4"/>
        <v>0</v>
      </c>
      <c r="F10" s="26">
        <f t="shared" si="4"/>
        <v>0</v>
      </c>
      <c r="G10" s="26">
        <f>G9*Dmn</f>
        <v>15048.225280888888</v>
      </c>
      <c r="H10" s="26">
        <f t="shared" si="4"/>
        <v>15048.225280888888</v>
      </c>
      <c r="I10" s="26">
        <f t="shared" si="4"/>
        <v>15048.225280888888</v>
      </c>
      <c r="L10" s="452"/>
      <c r="M10" s="46" t="s">
        <v>346</v>
      </c>
      <c r="N10" s="46" t="s">
        <v>185</v>
      </c>
      <c r="O10" s="152">
        <f>9257.87+12488.72+41960.12</f>
        <v>63706.710000000006</v>
      </c>
      <c r="P10" s="152">
        <f>(42725+3283+20900)</f>
        <v>66908</v>
      </c>
      <c r="Q10" s="152">
        <f>24833+20600</f>
        <v>45433</v>
      </c>
      <c r="R10" s="321">
        <f t="shared" si="3"/>
        <v>58682.570000000007</v>
      </c>
      <c r="S10" s="332" t="s">
        <v>344</v>
      </c>
    </row>
    <row r="11" spans="1:19" ht="20.399999999999999" customHeight="1" x14ac:dyDescent="0.45">
      <c r="A11" s="457"/>
      <c r="B11" s="46" t="s">
        <v>347</v>
      </c>
      <c r="C11" s="43" t="s">
        <v>348</v>
      </c>
      <c r="D11" s="26">
        <f t="shared" ref="D11:I11" si="5">D7*D8*Dmn*tC_to_tCO2*CF</f>
        <v>0</v>
      </c>
      <c r="E11" s="26">
        <f t="shared" si="5"/>
        <v>0</v>
      </c>
      <c r="F11" s="26">
        <f t="shared" si="5"/>
        <v>0</v>
      </c>
      <c r="G11" s="26">
        <f t="shared" si="5"/>
        <v>25933.108234065181</v>
      </c>
      <c r="H11" s="26">
        <f t="shared" si="5"/>
        <v>25933.108234065181</v>
      </c>
      <c r="I11" s="26">
        <f t="shared" si="5"/>
        <v>25933.108234065181</v>
      </c>
      <c r="J11" s="23"/>
      <c r="L11" s="452"/>
      <c r="M11" s="46" t="s">
        <v>349</v>
      </c>
      <c r="N11" s="46" t="s">
        <v>185</v>
      </c>
      <c r="O11" s="23">
        <v>6</v>
      </c>
      <c r="P11" s="23">
        <v>6</v>
      </c>
      <c r="Q11" s="23">
        <v>6</v>
      </c>
      <c r="R11" s="321">
        <f t="shared" si="3"/>
        <v>6</v>
      </c>
      <c r="S11" s="332" t="s">
        <v>344</v>
      </c>
    </row>
    <row r="12" spans="1:19" ht="15.65" customHeight="1" x14ac:dyDescent="0.45">
      <c r="A12" s="457"/>
      <c r="B12" s="46" t="s">
        <v>350</v>
      </c>
      <c r="C12" s="43" t="s">
        <v>351</v>
      </c>
      <c r="D12" s="26">
        <f t="shared" ref="D12:I12" si="6">D11+(D8*D7*LDF*tC_to_tCO2)</f>
        <v>0</v>
      </c>
      <c r="E12" s="26">
        <f t="shared" si="6"/>
        <v>0</v>
      </c>
      <c r="F12" s="26">
        <f t="shared" si="6"/>
        <v>0</v>
      </c>
      <c r="G12" s="26">
        <f t="shared" si="6"/>
        <v>88591.537793472598</v>
      </c>
      <c r="H12" s="26">
        <f t="shared" si="6"/>
        <v>88591.537793472598</v>
      </c>
      <c r="I12" s="26">
        <f t="shared" si="6"/>
        <v>88591.537793472598</v>
      </c>
      <c r="L12" s="453"/>
      <c r="M12" s="46" t="s">
        <v>352</v>
      </c>
      <c r="N12" s="46" t="s">
        <v>126</v>
      </c>
      <c r="O12" s="320">
        <f>O9*25*20/10000</f>
        <v>6.15</v>
      </c>
      <c r="P12" s="320">
        <f t="shared" ref="P12" si="7">P9*25*20/10000</f>
        <v>5.35</v>
      </c>
      <c r="Q12" s="320">
        <f>Q9*25*20/10000</f>
        <v>7.05</v>
      </c>
      <c r="R12" s="323">
        <f t="shared" si="3"/>
        <v>6.1833333333333336</v>
      </c>
      <c r="S12" s="332" t="s">
        <v>344</v>
      </c>
    </row>
    <row r="13" spans="1:19" ht="14.4" customHeight="1" x14ac:dyDescent="0.35">
      <c r="A13" s="458" t="s">
        <v>342</v>
      </c>
      <c r="B13" s="102" t="s">
        <v>343</v>
      </c>
      <c r="C13" s="103"/>
      <c r="D13" s="76"/>
      <c r="E13" s="76"/>
      <c r="F13" s="76"/>
      <c r="G13" s="74">
        <f t="shared" ref="G13:H13" si="8">AVERAGE($O$9:$Q$9)</f>
        <v>123.66666666666667</v>
      </c>
      <c r="H13" s="74">
        <f t="shared" si="8"/>
        <v>123.66666666666667</v>
      </c>
      <c r="I13" s="74">
        <f>AVERAGE($O$9:$Q$9)</f>
        <v>123.66666666666667</v>
      </c>
      <c r="J13" s="103"/>
      <c r="L13" s="322" t="s">
        <v>353</v>
      </c>
      <c r="M13" s="102" t="s">
        <v>74</v>
      </c>
      <c r="N13" s="103"/>
      <c r="O13" s="23">
        <f>BCEF</f>
        <v>1.66</v>
      </c>
      <c r="P13" s="23">
        <f>BCEF</f>
        <v>1.66</v>
      </c>
      <c r="Q13" s="23">
        <f>BCEF</f>
        <v>1.66</v>
      </c>
      <c r="R13" s="321">
        <f t="shared" si="3"/>
        <v>1.66</v>
      </c>
      <c r="S13" s="332" t="s">
        <v>76</v>
      </c>
    </row>
    <row r="14" spans="1:19" x14ac:dyDescent="0.35">
      <c r="A14" s="459"/>
      <c r="B14" s="46" t="s">
        <v>354</v>
      </c>
      <c r="D14" s="153">
        <f t="shared" ref="D14:I14" si="9">D13*ATL*NTL</f>
        <v>0</v>
      </c>
      <c r="E14" s="153">
        <f t="shared" si="9"/>
        <v>0</v>
      </c>
      <c r="F14" s="153">
        <f t="shared" si="9"/>
        <v>0</v>
      </c>
      <c r="G14" s="26">
        <f>G13*ATL*NTL</f>
        <v>92750</v>
      </c>
      <c r="H14" s="26">
        <f t="shared" si="9"/>
        <v>92750</v>
      </c>
      <c r="I14" s="26">
        <f t="shared" si="9"/>
        <v>92750</v>
      </c>
      <c r="L14" s="46"/>
      <c r="M14" s="46"/>
    </row>
    <row r="15" spans="1:19" ht="16.5" x14ac:dyDescent="0.45">
      <c r="A15" s="459"/>
      <c r="B15" s="46" t="s">
        <v>355</v>
      </c>
      <c r="C15" s="43" t="s">
        <v>351</v>
      </c>
      <c r="D15" s="153">
        <f t="shared" ref="D15:I15" si="10">D14*SK</f>
        <v>0</v>
      </c>
      <c r="E15" s="153">
        <f t="shared" si="10"/>
        <v>0</v>
      </c>
      <c r="F15" s="153">
        <f t="shared" si="10"/>
        <v>0</v>
      </c>
      <c r="G15" s="26">
        <f>G14*SK</f>
        <v>16703.114498977233</v>
      </c>
      <c r="H15" s="26">
        <f t="shared" si="10"/>
        <v>16703.114498977233</v>
      </c>
      <c r="I15" s="26">
        <f t="shared" si="10"/>
        <v>16703.114498977233</v>
      </c>
      <c r="L15" s="46"/>
      <c r="M15" s="46"/>
    </row>
    <row r="16" spans="1:19" x14ac:dyDescent="0.35">
      <c r="A16" s="459"/>
      <c r="B16" s="46" t="s">
        <v>346</v>
      </c>
      <c r="C16" s="46" t="s">
        <v>185</v>
      </c>
      <c r="D16" s="151"/>
      <c r="E16" s="151"/>
      <c r="F16" s="151"/>
      <c r="G16" s="152">
        <f>AVERAGE($O$10:$Q$10)</f>
        <v>58682.570000000007</v>
      </c>
      <c r="H16" s="152">
        <f t="shared" ref="H16:I16" si="11">AVERAGE($O$10:$Q$10)</f>
        <v>58682.570000000007</v>
      </c>
      <c r="I16" s="152">
        <f t="shared" si="11"/>
        <v>58682.570000000007</v>
      </c>
      <c r="J16" s="98">
        <f>SUM(D16:I16)</f>
        <v>176047.71000000002</v>
      </c>
      <c r="L16" s="46"/>
      <c r="M16" s="46"/>
    </row>
    <row r="17" spans="1:16" x14ac:dyDescent="0.35">
      <c r="A17" s="459"/>
      <c r="B17" s="46" t="s">
        <v>349</v>
      </c>
      <c r="C17" s="46" t="s">
        <v>185</v>
      </c>
      <c r="D17" s="110"/>
      <c r="E17" s="110"/>
      <c r="F17" s="110"/>
      <c r="G17" s="152">
        <f>AVERAGE($O$11:$Q$11)</f>
        <v>6</v>
      </c>
      <c r="H17" s="152">
        <f t="shared" ref="H17:I17" si="12">AVERAGE($O$11:$Q$11)</f>
        <v>6</v>
      </c>
      <c r="I17" s="152">
        <f t="shared" si="12"/>
        <v>6</v>
      </c>
      <c r="J17" s="99"/>
      <c r="L17" s="46"/>
      <c r="M17" s="46"/>
      <c r="P17" s="200"/>
    </row>
    <row r="18" spans="1:16" x14ac:dyDescent="0.35">
      <c r="A18" s="459"/>
      <c r="B18" s="46" t="s">
        <v>356</v>
      </c>
      <c r="C18" s="46" t="s">
        <v>126</v>
      </c>
      <c r="D18" s="153">
        <f>D17*D16/10000</f>
        <v>0</v>
      </c>
      <c r="E18" s="153">
        <f t="shared" ref="E18:F18" si="13">E17*E16/10000</f>
        <v>0</v>
      </c>
      <c r="F18" s="153">
        <f t="shared" si="13"/>
        <v>0</v>
      </c>
      <c r="G18" s="26">
        <f>G17*G16/10000</f>
        <v>35.209542000000006</v>
      </c>
      <c r="H18" s="26">
        <f t="shared" ref="H18:I18" si="14">H17*H16/10000</f>
        <v>35.209542000000006</v>
      </c>
      <c r="I18" s="26">
        <f t="shared" si="14"/>
        <v>35.209542000000006</v>
      </c>
      <c r="J18" s="99"/>
      <c r="L18" s="46"/>
    </row>
    <row r="19" spans="1:16" ht="16.5" x14ac:dyDescent="0.45">
      <c r="A19" s="459"/>
      <c r="B19" s="46" t="s">
        <v>357</v>
      </c>
      <c r="C19" s="43" t="s">
        <v>351</v>
      </c>
      <c r="D19" s="153">
        <f>D18*Biomass!$D$11</f>
        <v>0</v>
      </c>
      <c r="E19" s="153">
        <f>E18*Biomass!$D$11</f>
        <v>0</v>
      </c>
      <c r="F19" s="153">
        <f>F18*Biomass!$D$11</f>
        <v>0</v>
      </c>
      <c r="G19" s="26">
        <f>G18*Biomass!$D$11</f>
        <v>16857.269765507714</v>
      </c>
      <c r="H19" s="26">
        <f>H18*Biomass!$D$11</f>
        <v>16857.269765507714</v>
      </c>
      <c r="I19" s="26">
        <f>I18*Biomass!$D$11</f>
        <v>16857.269765507714</v>
      </c>
      <c r="J19" s="99"/>
      <c r="K19" s="99"/>
      <c r="L19" s="46"/>
    </row>
    <row r="20" spans="1:16" x14ac:dyDescent="0.35">
      <c r="A20" s="459"/>
      <c r="B20" s="46" t="s">
        <v>352</v>
      </c>
      <c r="C20" s="46" t="s">
        <v>126</v>
      </c>
      <c r="D20" s="151"/>
      <c r="E20" s="151"/>
      <c r="F20" s="151"/>
      <c r="G20" s="152">
        <f>AVERAGE($O$12:$Q$12)</f>
        <v>6.1833333333333336</v>
      </c>
      <c r="H20" s="152">
        <f t="shared" ref="H20:I20" si="15">AVERAGE($O$12:$Q$12)</f>
        <v>6.1833333333333336</v>
      </c>
      <c r="I20" s="152">
        <f t="shared" si="15"/>
        <v>6.1833333333333336</v>
      </c>
      <c r="L20" s="46"/>
    </row>
    <row r="21" spans="1:16" ht="16.5" x14ac:dyDescent="0.45">
      <c r="A21" s="459"/>
      <c r="B21" s="46" t="s">
        <v>358</v>
      </c>
      <c r="C21" s="43" t="s">
        <v>351</v>
      </c>
      <c r="D21" s="153">
        <f>D20*Biomass!$D$11</f>
        <v>0</v>
      </c>
      <c r="E21" s="153">
        <f>E20*Biomass!$D$11</f>
        <v>0</v>
      </c>
      <c r="F21" s="153">
        <f>F20*Biomass!$D$11</f>
        <v>0</v>
      </c>
      <c r="G21" s="26">
        <f>G20*Biomass!$E$11</f>
        <v>3059.17847966616</v>
      </c>
      <c r="H21" s="26">
        <f>H20*Biomass!$E$11</f>
        <v>3059.17847966616</v>
      </c>
      <c r="I21" s="26">
        <f>I20*Biomass!$E$11</f>
        <v>3059.17847966616</v>
      </c>
    </row>
    <row r="22" spans="1:16" ht="16.5" x14ac:dyDescent="0.45">
      <c r="A22" s="460"/>
      <c r="B22" s="97" t="s">
        <v>359</v>
      </c>
      <c r="C22" s="100" t="s">
        <v>351</v>
      </c>
      <c r="D22" s="201">
        <f>D21+D19+D15</f>
        <v>0</v>
      </c>
      <c r="E22" s="201">
        <f t="shared" ref="E22:F22" si="16">E21+E19+E15</f>
        <v>0</v>
      </c>
      <c r="F22" s="201">
        <f t="shared" si="16"/>
        <v>0</v>
      </c>
      <c r="G22" s="85">
        <f>G21+G19+G15</f>
        <v>36619.562744151102</v>
      </c>
      <c r="H22" s="85">
        <f>H21+H19+H15</f>
        <v>36619.562744151102</v>
      </c>
      <c r="I22" s="85">
        <f t="shared" ref="I22" si="17">I21+I19+I15</f>
        <v>36619.562744151102</v>
      </c>
      <c r="J22" s="101"/>
    </row>
    <row r="23" spans="1:16" ht="16.5" x14ac:dyDescent="0.35">
      <c r="A23" s="461" t="s">
        <v>353</v>
      </c>
      <c r="B23" s="46" t="s">
        <v>334</v>
      </c>
      <c r="C23" s="46" t="s">
        <v>335</v>
      </c>
      <c r="D23" s="75"/>
      <c r="E23" s="75"/>
      <c r="F23" s="75"/>
      <c r="G23" s="75">
        <f>G$7</f>
        <v>1342.3929777777778</v>
      </c>
      <c r="H23" s="75">
        <f t="shared" ref="H23:I23" si="18">H$7</f>
        <v>1342.3929777777778</v>
      </c>
      <c r="I23" s="75">
        <f t="shared" si="18"/>
        <v>1342.3929777777778</v>
      </c>
    </row>
    <row r="24" spans="1:16" ht="17.5" x14ac:dyDescent="0.45">
      <c r="A24" s="461"/>
      <c r="B24" s="46" t="s">
        <v>337</v>
      </c>
      <c r="C24" s="46" t="s">
        <v>338</v>
      </c>
      <c r="D24" s="75"/>
      <c r="E24" s="75"/>
      <c r="F24" s="75"/>
      <c r="G24" s="75">
        <f>G$8</f>
        <v>19</v>
      </c>
      <c r="H24" s="75">
        <f t="shared" ref="H24:I24" si="19">H$8</f>
        <v>19</v>
      </c>
      <c r="I24" s="75">
        <f t="shared" si="19"/>
        <v>19</v>
      </c>
    </row>
    <row r="25" spans="1:16" ht="16.5" x14ac:dyDescent="0.45">
      <c r="A25" s="461"/>
      <c r="B25" s="46" t="s">
        <v>340</v>
      </c>
      <c r="C25" s="43" t="s">
        <v>341</v>
      </c>
      <c r="D25" s="75"/>
      <c r="E25" s="75"/>
      <c r="F25" s="75"/>
      <c r="G25" s="75">
        <f>G$23*G$24</f>
        <v>25505.466577777777</v>
      </c>
      <c r="H25" s="75">
        <f t="shared" ref="H25:I25" si="20">H$23*H$24</f>
        <v>25505.466577777777</v>
      </c>
      <c r="I25" s="75">
        <f t="shared" si="20"/>
        <v>25505.466577777777</v>
      </c>
    </row>
    <row r="26" spans="1:16" ht="17.5" x14ac:dyDescent="0.45">
      <c r="A26" s="461"/>
      <c r="B26" s="46" t="s">
        <v>523</v>
      </c>
      <c r="C26" s="46" t="s">
        <v>522</v>
      </c>
      <c r="D26" s="75"/>
      <c r="E26" s="75"/>
      <c r="F26" s="75"/>
      <c r="G26" s="75">
        <f>Dmn</f>
        <v>0.59</v>
      </c>
      <c r="H26" s="75">
        <f>Dmn</f>
        <v>0.59</v>
      </c>
      <c r="I26" s="75">
        <f>Dmn</f>
        <v>0.59</v>
      </c>
    </row>
    <row r="27" spans="1:16" ht="17.5" x14ac:dyDescent="0.45">
      <c r="A27" s="461"/>
      <c r="B27" s="46" t="s">
        <v>524</v>
      </c>
      <c r="C27" s="43" t="s">
        <v>360</v>
      </c>
      <c r="D27" s="75"/>
      <c r="E27" s="75"/>
      <c r="F27" s="75"/>
      <c r="G27" s="75">
        <f>(G$25*G$26*CF*44/12)/G$7</f>
        <v>19.318566666666662</v>
      </c>
      <c r="H27" s="75">
        <f>(H$25*H$26*CF*44/12)/H$7</f>
        <v>19.318566666666662</v>
      </c>
      <c r="I27" s="75">
        <f>(I$25*I$26*CF*44/12)/I$7</f>
        <v>19.318566666666662</v>
      </c>
    </row>
    <row r="28" spans="1:16" ht="17.5" x14ac:dyDescent="0.45">
      <c r="A28" s="461"/>
      <c r="B28" s="46" t="s">
        <v>525</v>
      </c>
      <c r="C28" s="43" t="s">
        <v>360</v>
      </c>
      <c r="D28" s="75"/>
      <c r="E28" s="75"/>
      <c r="F28" s="75"/>
      <c r="G28" s="75">
        <f>G$27*(1-WWTY)</f>
        <v>14.682110666666663</v>
      </c>
      <c r="H28" s="75">
        <f>H$27*(1-WWTY)</f>
        <v>14.682110666666663</v>
      </c>
      <c r="I28" s="75">
        <f>I$27*(1-WWTY)</f>
        <v>14.682110666666663</v>
      </c>
    </row>
    <row r="29" spans="1:16" ht="17.5" x14ac:dyDescent="0.45">
      <c r="A29" s="461"/>
      <c r="B29" s="46" t="s">
        <v>526</v>
      </c>
      <c r="C29" s="43" t="s">
        <v>360</v>
      </c>
      <c r="D29" s="75"/>
      <c r="E29" s="75"/>
      <c r="F29" s="75"/>
      <c r="G29" s="75">
        <f>G$28-G$28*(1-SLFTY)*(1-OFTY)</f>
        <v>12.332972959999998</v>
      </c>
      <c r="H29" s="75">
        <f>H$28-H$28*(1-SLFTY)*(1-OFTY)</f>
        <v>12.332972959999998</v>
      </c>
      <c r="I29" s="75">
        <f>I$28-I$28*(1-SLFTY)*(1-OFTY)</f>
        <v>12.332972959999998</v>
      </c>
    </row>
    <row r="30" spans="1:16" ht="16.5" x14ac:dyDescent="0.45">
      <c r="A30" s="385"/>
      <c r="B30" s="46" t="s">
        <v>527</v>
      </c>
      <c r="C30" s="43" t="s">
        <v>351</v>
      </c>
      <c r="D30" s="75"/>
      <c r="E30" s="75"/>
      <c r="F30" s="75"/>
      <c r="G30" s="75">
        <f>G$29*G$23</f>
        <v>16555.696296627211</v>
      </c>
      <c r="H30" s="75">
        <f t="shared" ref="H30:I30" si="21">H$29*H$23</f>
        <v>16555.696296627211</v>
      </c>
      <c r="I30" s="75">
        <f t="shared" si="21"/>
        <v>16555.696296627211</v>
      </c>
    </row>
    <row r="31" spans="1:16" ht="28.25" customHeight="1" x14ac:dyDescent="0.35">
      <c r="A31" s="456" t="s">
        <v>328</v>
      </c>
      <c r="B31" s="456"/>
      <c r="C31" s="107" t="s">
        <v>351</v>
      </c>
      <c r="D31" s="106">
        <f>IF(D8=0,0,D12+D22-#REF!)</f>
        <v>0</v>
      </c>
      <c r="E31" s="106">
        <f>IF(E8=0,0,E12+E22-#REF!)</f>
        <v>0</v>
      </c>
      <c r="F31" s="106">
        <f>IF(F8=0,0,F12+F22-#REF!)</f>
        <v>0</v>
      </c>
      <c r="G31" s="106">
        <f>IF(G$8=0,0,G$12+G$22-G$30)</f>
        <v>108655.40424099649</v>
      </c>
      <c r="H31" s="106">
        <f>IF(H$8=0,0,H$12+H$22-H$30)</f>
        <v>108655.40424099649</v>
      </c>
      <c r="I31" s="106">
        <f>IF(I$8=0,0,I$12+I$22-I$30)</f>
        <v>108655.40424099649</v>
      </c>
      <c r="J31" s="103"/>
    </row>
  </sheetData>
  <mergeCells count="17">
    <mergeCell ref="S5:S6"/>
    <mergeCell ref="C5:C6"/>
    <mergeCell ref="B1:J1"/>
    <mergeCell ref="A2:J2"/>
    <mergeCell ref="B5:B6"/>
    <mergeCell ref="A31:B31"/>
    <mergeCell ref="J5:J6"/>
    <mergeCell ref="A7:A12"/>
    <mergeCell ref="A13:A22"/>
    <mergeCell ref="D5:I5"/>
    <mergeCell ref="A23:A29"/>
    <mergeCell ref="L9:L12"/>
    <mergeCell ref="O5:Q6"/>
    <mergeCell ref="M5:M6"/>
    <mergeCell ref="N5:N6"/>
    <mergeCell ref="R5:R6"/>
    <mergeCell ref="L7:L8"/>
  </mergeCells>
  <pageMargins left="0.511811024" right="0.511811024" top="0.78740157499999996" bottom="0.78740157499999996" header="0.31496062000000002" footer="0.31496062000000002"/>
  <pageSetup paperSize="9" orientation="portrait" r:id="rId1"/>
  <ignoredErrors>
    <ignoredError sqref="R8"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78024-3D1F-4D69-B55B-32385D1203B9}">
  <sheetPr>
    <tabColor theme="5"/>
  </sheetPr>
  <dimension ref="A1:N40"/>
  <sheetViews>
    <sheetView showGridLines="0" zoomScaleNormal="100" workbookViewId="0">
      <selection activeCell="M9" sqref="M9"/>
    </sheetView>
  </sheetViews>
  <sheetFormatPr defaultColWidth="8.90625" defaultRowHeight="14.5" x14ac:dyDescent="0.35"/>
  <cols>
    <col min="1" max="1" width="5.08984375" customWidth="1"/>
    <col min="2" max="2" width="15.54296875" style="1" customWidth="1"/>
    <col min="3" max="3" width="24.453125" style="183" customWidth="1"/>
    <col min="4" max="4" width="9.54296875" bestFit="1" customWidth="1"/>
    <col min="5" max="5" width="9.7265625" bestFit="1" customWidth="1"/>
    <col min="6" max="11" width="10.90625" bestFit="1" customWidth="1"/>
    <col min="12" max="12" width="13.90625" bestFit="1" customWidth="1"/>
    <col min="13" max="13" width="10.36328125" bestFit="1" customWidth="1"/>
  </cols>
  <sheetData>
    <row r="1" spans="1:14" ht="25.25" customHeight="1" x14ac:dyDescent="0.35">
      <c r="A1" s="40" t="s">
        <v>0</v>
      </c>
      <c r="B1" s="407" t="str">
        <f>Projeto</f>
        <v>FLORESTAL SANTA MARIA - CARAGUA AGRONEGÓCIOS LTDA</v>
      </c>
      <c r="C1" s="407"/>
      <c r="D1" s="407"/>
      <c r="E1" s="407"/>
      <c r="F1" s="407"/>
      <c r="G1" s="407"/>
      <c r="H1" s="407"/>
      <c r="I1" s="407"/>
      <c r="J1" s="407"/>
      <c r="K1" s="407"/>
      <c r="L1" s="41"/>
      <c r="M1" s="41"/>
    </row>
    <row r="2" spans="1:14" x14ac:dyDescent="0.35">
      <c r="A2" s="407" t="s">
        <v>361</v>
      </c>
      <c r="B2" s="407"/>
      <c r="C2" s="407"/>
      <c r="D2" s="407"/>
      <c r="E2" s="407"/>
      <c r="F2" s="407"/>
      <c r="G2" s="407"/>
      <c r="H2" s="407"/>
      <c r="I2" s="407"/>
      <c r="J2" s="407"/>
      <c r="K2" s="407"/>
      <c r="L2" s="407"/>
      <c r="M2" s="407"/>
    </row>
    <row r="3" spans="1:14" x14ac:dyDescent="0.35">
      <c r="M3" s="24"/>
    </row>
    <row r="4" spans="1:14" ht="14.4" customHeight="1" x14ac:dyDescent="0.35">
      <c r="B4" s="48" t="s">
        <v>362</v>
      </c>
      <c r="C4" s="48"/>
      <c r="D4" s="43"/>
      <c r="E4" s="43">
        <v>1</v>
      </c>
      <c r="F4" s="43">
        <v>2</v>
      </c>
      <c r="G4" s="43">
        <v>3</v>
      </c>
      <c r="H4" s="43">
        <v>4</v>
      </c>
      <c r="I4" s="43">
        <v>5</v>
      </c>
      <c r="J4" s="43">
        <v>6</v>
      </c>
      <c r="K4" s="43"/>
      <c r="L4" s="43"/>
      <c r="M4" s="42"/>
      <c r="N4" s="42"/>
    </row>
    <row r="5" spans="1:14" s="4" customFormat="1" x14ac:dyDescent="0.35">
      <c r="B5" s="421" t="s">
        <v>67</v>
      </c>
      <c r="C5" s="438" t="s">
        <v>68</v>
      </c>
      <c r="D5" s="421" t="s">
        <v>69</v>
      </c>
      <c r="E5" s="421" t="s">
        <v>290</v>
      </c>
      <c r="F5" s="421"/>
      <c r="G5" s="421"/>
      <c r="H5" s="421"/>
      <c r="I5" s="421"/>
      <c r="J5" s="421"/>
      <c r="K5" s="421" t="s">
        <v>90</v>
      </c>
      <c r="L5" s="43"/>
      <c r="M5" s="42"/>
      <c r="N5" s="42"/>
    </row>
    <row r="6" spans="1:14" ht="14.4" customHeight="1" x14ac:dyDescent="0.35">
      <c r="B6" s="421"/>
      <c r="C6" s="438"/>
      <c r="D6" s="421"/>
      <c r="E6" s="380">
        <v>2019</v>
      </c>
      <c r="F6" s="380">
        <v>2020</v>
      </c>
      <c r="G6" s="380">
        <v>2021</v>
      </c>
      <c r="H6" s="380">
        <v>2022</v>
      </c>
      <c r="I6" s="380">
        <v>2023</v>
      </c>
      <c r="J6" s="380">
        <v>2024</v>
      </c>
      <c r="K6" s="421"/>
      <c r="L6" s="43"/>
      <c r="M6" s="42"/>
      <c r="N6" s="42"/>
    </row>
    <row r="7" spans="1:14" ht="16.5" x14ac:dyDescent="0.35">
      <c r="A7" s="462" t="s">
        <v>363</v>
      </c>
      <c r="B7" s="172" t="s">
        <v>364</v>
      </c>
      <c r="C7" s="178"/>
      <c r="D7" s="43" t="s">
        <v>365</v>
      </c>
      <c r="E7" s="163">
        <f>Deforestation!D10</f>
        <v>156.32999999999879</v>
      </c>
      <c r="F7" s="163">
        <f>Deforestation!E10</f>
        <v>241.38</v>
      </c>
      <c r="G7" s="163">
        <f>Deforestation!F10</f>
        <v>524.42999999999961</v>
      </c>
      <c r="H7" s="163">
        <f>Deforestation!G10</f>
        <v>381.32999999999993</v>
      </c>
      <c r="I7" s="163">
        <f>Deforestation!H10</f>
        <v>403.55999999999983</v>
      </c>
      <c r="J7" s="163">
        <f>Deforestation!I10</f>
        <v>307.3499999999998</v>
      </c>
      <c r="K7" s="47"/>
      <c r="L7" s="43"/>
      <c r="M7" s="42"/>
      <c r="N7" s="42"/>
    </row>
    <row r="8" spans="1:14" ht="31.5" x14ac:dyDescent="0.35">
      <c r="A8" s="462"/>
      <c r="B8" s="172" t="s">
        <v>366</v>
      </c>
      <c r="C8" s="178" t="s">
        <v>367</v>
      </c>
      <c r="D8" s="43" t="s">
        <v>360</v>
      </c>
      <c r="E8" s="163">
        <f>((VBSL*Dmn*CF)+(VBSL*LDF)+(VBSL*LIF))*44/12</f>
        <v>159.14977466666664</v>
      </c>
      <c r="F8" s="163">
        <f t="shared" ref="F8:J8" si="0">((VBSL*Dmn*CF)+(VBSL*LDF)+(VBSL*LIF))*44/12</f>
        <v>159.14977466666664</v>
      </c>
      <c r="G8" s="163">
        <f t="shared" si="0"/>
        <v>159.14977466666664</v>
      </c>
      <c r="H8" s="163">
        <f t="shared" si="0"/>
        <v>159.14977466666664</v>
      </c>
      <c r="I8" s="163">
        <f t="shared" si="0"/>
        <v>159.14977466666664</v>
      </c>
      <c r="J8" s="163">
        <f t="shared" si="0"/>
        <v>159.14977466666664</v>
      </c>
      <c r="K8" s="47"/>
      <c r="L8" s="43"/>
      <c r="M8" s="42"/>
      <c r="N8" s="42"/>
    </row>
    <row r="9" spans="1:14" ht="42" x14ac:dyDescent="0.35">
      <c r="A9" s="462"/>
      <c r="B9" s="172" t="s">
        <v>368</v>
      </c>
      <c r="C9" s="178" t="s">
        <v>369</v>
      </c>
      <c r="D9" s="43" t="s">
        <v>351</v>
      </c>
      <c r="E9" s="163">
        <f>E8*E7</f>
        <v>24879.884273639804</v>
      </c>
      <c r="F9" s="163">
        <f t="shared" ref="F9:J9" si="1">F8*F7</f>
        <v>38415.572609039991</v>
      </c>
      <c r="G9" s="163">
        <f t="shared" si="1"/>
        <v>83462.916328439926</v>
      </c>
      <c r="H9" s="163">
        <f t="shared" si="1"/>
        <v>60688.583573639982</v>
      </c>
      <c r="I9" s="163">
        <f t="shared" si="1"/>
        <v>64226.483064479966</v>
      </c>
      <c r="J9" s="163">
        <f t="shared" si="1"/>
        <v>48914.683243799962</v>
      </c>
      <c r="K9" s="164">
        <f>SUM(E9:J9)</f>
        <v>320588.12309303961</v>
      </c>
      <c r="L9" s="43"/>
      <c r="M9" s="42"/>
      <c r="N9" s="42"/>
    </row>
    <row r="10" spans="1:14" ht="46.25" customHeight="1" x14ac:dyDescent="0.35">
      <c r="A10" s="462"/>
      <c r="B10" s="172" t="s">
        <v>503</v>
      </c>
      <c r="C10" s="178" t="s">
        <v>371</v>
      </c>
      <c r="D10" s="172" t="s">
        <v>345</v>
      </c>
      <c r="E10" s="190">
        <v>30</v>
      </c>
      <c r="F10" s="190">
        <v>30</v>
      </c>
      <c r="G10" s="190">
        <v>30</v>
      </c>
      <c r="H10" s="190">
        <v>30</v>
      </c>
      <c r="I10" s="190">
        <v>30</v>
      </c>
      <c r="J10" s="190">
        <v>30</v>
      </c>
      <c r="K10" s="47"/>
      <c r="L10" s="43"/>
      <c r="M10" s="42"/>
      <c r="N10" s="42"/>
    </row>
    <row r="11" spans="1:14" ht="31.5" x14ac:dyDescent="0.35">
      <c r="A11" s="462"/>
      <c r="B11" s="172" t="s">
        <v>504</v>
      </c>
      <c r="C11" s="178" t="s">
        <v>373</v>
      </c>
      <c r="D11" s="172" t="s">
        <v>345</v>
      </c>
      <c r="E11" s="190">
        <f t="shared" ref="E11:J11" si="2">VBSL</f>
        <v>35.08</v>
      </c>
      <c r="F11" s="190">
        <f t="shared" si="2"/>
        <v>35.08</v>
      </c>
      <c r="G11" s="190">
        <f t="shared" si="2"/>
        <v>35.08</v>
      </c>
      <c r="H11" s="190">
        <f t="shared" si="2"/>
        <v>35.08</v>
      </c>
      <c r="I11" s="190">
        <f t="shared" si="2"/>
        <v>35.08</v>
      </c>
      <c r="J11" s="190">
        <f t="shared" si="2"/>
        <v>35.08</v>
      </c>
      <c r="K11" s="47"/>
      <c r="L11" s="43"/>
      <c r="M11" s="42"/>
      <c r="N11" s="42"/>
    </row>
    <row r="12" spans="1:14" ht="21" x14ac:dyDescent="0.35">
      <c r="A12" s="462"/>
      <c r="B12" s="172" t="s">
        <v>374</v>
      </c>
      <c r="C12" s="178" t="s">
        <v>375</v>
      </c>
      <c r="D12" s="173"/>
      <c r="E12" s="163">
        <f>IF(E11=0, 1,1-(E10/E11))</f>
        <v>0.1448118586088939</v>
      </c>
      <c r="F12" s="163">
        <f t="shared" ref="F12:J12" si="3">IF(F11=0, 1,1-(F10/F11))</f>
        <v>0.1448118586088939</v>
      </c>
      <c r="G12" s="163">
        <f t="shared" si="3"/>
        <v>0.1448118586088939</v>
      </c>
      <c r="H12" s="163">
        <f t="shared" si="3"/>
        <v>0.1448118586088939</v>
      </c>
      <c r="I12" s="163">
        <f t="shared" si="3"/>
        <v>0.1448118586088939</v>
      </c>
      <c r="J12" s="163">
        <f t="shared" si="3"/>
        <v>0.1448118586088939</v>
      </c>
      <c r="K12" s="47"/>
      <c r="L12" s="43"/>
      <c r="M12" s="42"/>
      <c r="N12" s="42"/>
    </row>
    <row r="13" spans="1:14" ht="31.5" x14ac:dyDescent="0.35">
      <c r="A13" s="462"/>
      <c r="B13" s="168" t="s">
        <v>376</v>
      </c>
      <c r="C13" s="184" t="s">
        <v>377</v>
      </c>
      <c r="D13" s="168" t="s">
        <v>351</v>
      </c>
      <c r="E13" s="263">
        <f>E9*LFME*E12</f>
        <v>2522.0315985479788</v>
      </c>
      <c r="F13" s="263">
        <f t="shared" ref="F13:J13" si="4">F9*LFME*F12</f>
        <v>3894.1213283279976</v>
      </c>
      <c r="G13" s="263">
        <f t="shared" si="4"/>
        <v>8460.4940269079889</v>
      </c>
      <c r="H13" s="263">
        <f>H9*LFME*H12</f>
        <v>6151.8986085479955</v>
      </c>
      <c r="I13" s="263">
        <f t="shared" si="4"/>
        <v>6510.5294691359932</v>
      </c>
      <c r="J13" s="263">
        <f t="shared" si="4"/>
        <v>4958.3983356599929</v>
      </c>
      <c r="K13" s="169">
        <f>SUM(E13:J13)</f>
        <v>32497.473367127946</v>
      </c>
      <c r="L13" s="43"/>
      <c r="M13" s="42"/>
      <c r="N13" s="42"/>
    </row>
    <row r="14" spans="1:14" ht="52.5" hidden="1" x14ac:dyDescent="0.35">
      <c r="A14" s="463" t="s">
        <v>378</v>
      </c>
      <c r="B14" s="172" t="s">
        <v>379</v>
      </c>
      <c r="C14" s="178" t="s">
        <v>380</v>
      </c>
      <c r="D14" s="43" t="s">
        <v>348</v>
      </c>
      <c r="E14" s="162"/>
      <c r="F14" s="162"/>
      <c r="G14" s="162"/>
      <c r="H14" s="162"/>
      <c r="I14" s="162"/>
      <c r="J14" s="162"/>
      <c r="K14" s="47"/>
      <c r="L14" s="43"/>
      <c r="M14" s="42"/>
      <c r="N14" s="42"/>
    </row>
    <row r="15" spans="1:14" ht="42" hidden="1" x14ac:dyDescent="0.35">
      <c r="A15" s="463"/>
      <c r="B15" s="172" t="s">
        <v>381</v>
      </c>
      <c r="C15" s="178" t="s">
        <v>382</v>
      </c>
      <c r="D15" s="172" t="s">
        <v>383</v>
      </c>
      <c r="E15" s="190">
        <v>0</v>
      </c>
      <c r="F15" s="190">
        <v>0</v>
      </c>
      <c r="G15" s="190">
        <v>0</v>
      </c>
      <c r="H15" s="190">
        <v>0</v>
      </c>
      <c r="I15" s="190">
        <v>0</v>
      </c>
      <c r="J15" s="190">
        <v>0</v>
      </c>
      <c r="K15" s="189">
        <v>0</v>
      </c>
      <c r="L15" s="43"/>
      <c r="M15" s="42"/>
      <c r="N15" s="42"/>
    </row>
    <row r="16" spans="1:14" ht="63" hidden="1" x14ac:dyDescent="0.35">
      <c r="A16" s="463"/>
      <c r="B16" s="172" t="s">
        <v>384</v>
      </c>
      <c r="C16" s="178" t="s">
        <v>385</v>
      </c>
      <c r="D16" s="172" t="s">
        <v>383</v>
      </c>
      <c r="E16" s="190">
        <v>0</v>
      </c>
      <c r="F16" s="190">
        <v>0</v>
      </c>
      <c r="G16" s="190">
        <v>0</v>
      </c>
      <c r="H16" s="190">
        <v>0</v>
      </c>
      <c r="I16" s="190">
        <v>0</v>
      </c>
      <c r="J16" s="190">
        <v>0</v>
      </c>
      <c r="K16" s="47"/>
      <c r="L16" s="43"/>
      <c r="M16" s="42"/>
      <c r="N16" s="42"/>
    </row>
    <row r="17" spans="1:14" ht="42" hidden="1" x14ac:dyDescent="0.35">
      <c r="A17" s="463"/>
      <c r="B17" s="172" t="s">
        <v>386</v>
      </c>
      <c r="C17" s="178" t="s">
        <v>387</v>
      </c>
      <c r="D17" s="172" t="s">
        <v>348</v>
      </c>
      <c r="E17" s="163">
        <f t="shared" ref="E17:J17" si="5">((E16*Dmn*CF)-(E15*Dmn*CF))*44/12</f>
        <v>0</v>
      </c>
      <c r="F17" s="163">
        <f t="shared" si="5"/>
        <v>0</v>
      </c>
      <c r="G17" s="163">
        <f t="shared" si="5"/>
        <v>0</v>
      </c>
      <c r="H17" s="163">
        <f t="shared" si="5"/>
        <v>0</v>
      </c>
      <c r="I17" s="163">
        <f t="shared" si="5"/>
        <v>0</v>
      </c>
      <c r="J17" s="163">
        <f t="shared" si="5"/>
        <v>0</v>
      </c>
      <c r="K17" s="47"/>
      <c r="L17" s="43"/>
      <c r="M17" s="42"/>
      <c r="N17" s="42"/>
    </row>
    <row r="18" spans="1:14" ht="52.5" hidden="1" x14ac:dyDescent="0.35">
      <c r="A18" s="463"/>
      <c r="B18" s="172" t="s">
        <v>388</v>
      </c>
      <c r="C18" s="178" t="s">
        <v>380</v>
      </c>
      <c r="D18" s="172" t="s">
        <v>351</v>
      </c>
      <c r="E18" s="163">
        <f t="shared" ref="E18:J18" si="6">E17*E14</f>
        <v>0</v>
      </c>
      <c r="F18" s="163">
        <f t="shared" si="6"/>
        <v>0</v>
      </c>
      <c r="G18" s="163">
        <f t="shared" si="6"/>
        <v>0</v>
      </c>
      <c r="H18" s="163">
        <f t="shared" si="6"/>
        <v>0</v>
      </c>
      <c r="I18" s="163">
        <f t="shared" si="6"/>
        <v>0</v>
      </c>
      <c r="J18" s="163">
        <f t="shared" si="6"/>
        <v>0</v>
      </c>
      <c r="K18" s="164">
        <f>SUM(E18:J18)</f>
        <v>0</v>
      </c>
      <c r="L18" s="43"/>
      <c r="M18" s="42"/>
      <c r="N18" s="42"/>
    </row>
    <row r="19" spans="1:14" ht="21" hidden="1" x14ac:dyDescent="0.35">
      <c r="A19" s="463"/>
      <c r="B19" s="172" t="s">
        <v>370</v>
      </c>
      <c r="C19" s="178" t="s">
        <v>389</v>
      </c>
      <c r="D19" s="172" t="s">
        <v>345</v>
      </c>
      <c r="E19" s="264"/>
      <c r="F19" s="190"/>
      <c r="G19" s="190"/>
      <c r="H19" s="190"/>
      <c r="I19" s="190"/>
      <c r="J19" s="190"/>
      <c r="K19" s="47"/>
      <c r="L19" s="43"/>
      <c r="M19" s="42"/>
      <c r="N19" s="42"/>
    </row>
    <row r="20" spans="1:14" ht="21" hidden="1" x14ac:dyDescent="0.35">
      <c r="A20" s="463"/>
      <c r="B20" s="172" t="s">
        <v>372</v>
      </c>
      <c r="C20" s="178" t="s">
        <v>390</v>
      </c>
      <c r="D20" s="172" t="s">
        <v>345</v>
      </c>
      <c r="E20" s="264"/>
      <c r="F20" s="190"/>
      <c r="G20" s="190"/>
      <c r="H20" s="190"/>
      <c r="I20" s="190"/>
      <c r="J20" s="190"/>
      <c r="K20" s="47"/>
      <c r="L20" s="43"/>
      <c r="M20" s="42"/>
      <c r="N20" s="42"/>
    </row>
    <row r="21" spans="1:14" ht="21" hidden="1" x14ac:dyDescent="0.35">
      <c r="A21" s="463"/>
      <c r="B21" s="172" t="s">
        <v>374</v>
      </c>
      <c r="C21" s="178" t="s">
        <v>391</v>
      </c>
      <c r="D21" s="172"/>
      <c r="E21" s="163" t="e">
        <f>1-(E19/E20)</f>
        <v>#DIV/0!</v>
      </c>
      <c r="F21" s="163" t="e">
        <f>1-(F19/F20)</f>
        <v>#DIV/0!</v>
      </c>
      <c r="G21" s="163" t="e">
        <f t="shared" ref="G21:J21" si="7">1-(G19/G20)</f>
        <v>#DIV/0!</v>
      </c>
      <c r="H21" s="163" t="e">
        <f t="shared" si="7"/>
        <v>#DIV/0!</v>
      </c>
      <c r="I21" s="163" t="e">
        <f t="shared" si="7"/>
        <v>#DIV/0!</v>
      </c>
      <c r="J21" s="163" t="e">
        <f t="shared" si="7"/>
        <v>#DIV/0!</v>
      </c>
      <c r="K21" s="47"/>
      <c r="L21" s="43"/>
      <c r="M21" s="42"/>
      <c r="N21" s="42"/>
    </row>
    <row r="22" spans="1:14" ht="52.5" hidden="1" x14ac:dyDescent="0.35">
      <c r="A22" s="463"/>
      <c r="B22" s="170" t="s">
        <v>392</v>
      </c>
      <c r="C22" s="185" t="s">
        <v>393</v>
      </c>
      <c r="D22" s="170" t="s">
        <v>351</v>
      </c>
      <c r="E22" s="265">
        <f t="shared" ref="E22:J22" si="8">IF(E18=0,0,E18*LFME*E21)</f>
        <v>0</v>
      </c>
      <c r="F22" s="265">
        <f t="shared" si="8"/>
        <v>0</v>
      </c>
      <c r="G22" s="265">
        <f t="shared" si="8"/>
        <v>0</v>
      </c>
      <c r="H22" s="265">
        <f t="shared" si="8"/>
        <v>0</v>
      </c>
      <c r="I22" s="265">
        <f t="shared" si="8"/>
        <v>0</v>
      </c>
      <c r="J22" s="265">
        <f t="shared" si="8"/>
        <v>0</v>
      </c>
      <c r="K22" s="171">
        <f>SUM(E22:J22)</f>
        <v>0</v>
      </c>
      <c r="L22" s="43"/>
      <c r="M22" s="42"/>
      <c r="N22" s="42"/>
    </row>
    <row r="23" spans="1:14" ht="20.399999999999999" hidden="1" customHeight="1" x14ac:dyDescent="0.35">
      <c r="A23" s="464" t="s">
        <v>394</v>
      </c>
      <c r="B23" s="172" t="s">
        <v>395</v>
      </c>
      <c r="C23" s="178" t="s">
        <v>396</v>
      </c>
      <c r="D23" s="172"/>
      <c r="E23" s="190">
        <v>0</v>
      </c>
      <c r="F23" s="190">
        <v>0</v>
      </c>
      <c r="G23" s="190">
        <v>0</v>
      </c>
      <c r="H23" s="190">
        <v>0</v>
      </c>
      <c r="I23" s="190">
        <v>0</v>
      </c>
      <c r="J23" s="190">
        <v>0</v>
      </c>
      <c r="K23" s="177"/>
      <c r="L23" s="43"/>
      <c r="M23" s="42"/>
      <c r="N23" s="42"/>
    </row>
    <row r="24" spans="1:14" ht="31.5" hidden="1" x14ac:dyDescent="0.35">
      <c r="A24" s="464"/>
      <c r="B24" s="172" t="s">
        <v>397</v>
      </c>
      <c r="C24" s="178" t="s">
        <v>398</v>
      </c>
      <c r="D24" s="43" t="s">
        <v>348</v>
      </c>
      <c r="E24" s="163" t="e">
        <f>E25/E26</f>
        <v>#DIV/0!</v>
      </c>
      <c r="F24" s="163" t="e">
        <f t="shared" ref="F24:J24" si="9">F25/F26</f>
        <v>#DIV/0!</v>
      </c>
      <c r="G24" s="163" t="e">
        <f t="shared" si="9"/>
        <v>#DIV/0!</v>
      </c>
      <c r="H24" s="163" t="e">
        <f t="shared" si="9"/>
        <v>#DIV/0!</v>
      </c>
      <c r="I24" s="163" t="e">
        <f t="shared" si="9"/>
        <v>#DIV/0!</v>
      </c>
      <c r="J24" s="163" t="e">
        <f t="shared" si="9"/>
        <v>#DIV/0!</v>
      </c>
      <c r="K24" s="177"/>
      <c r="L24" s="43"/>
      <c r="M24" s="42"/>
      <c r="N24" s="42"/>
    </row>
    <row r="25" spans="1:14" ht="16.5" hidden="1" x14ac:dyDescent="0.35">
      <c r="A25" s="464"/>
      <c r="B25" s="172" t="s">
        <v>399</v>
      </c>
      <c r="C25" s="178" t="s">
        <v>400</v>
      </c>
      <c r="D25" s="43" t="s">
        <v>348</v>
      </c>
      <c r="E25" s="163">
        <f>E27*E28*10</f>
        <v>0</v>
      </c>
      <c r="F25" s="163">
        <f t="shared" ref="F25:J25" si="10">F27*F28*10</f>
        <v>0</v>
      </c>
      <c r="G25" s="163">
        <f t="shared" si="10"/>
        <v>0</v>
      </c>
      <c r="H25" s="163">
        <f t="shared" si="10"/>
        <v>0</v>
      </c>
      <c r="I25" s="163">
        <f t="shared" si="10"/>
        <v>0</v>
      </c>
      <c r="J25" s="163">
        <f t="shared" si="10"/>
        <v>0</v>
      </c>
      <c r="K25" s="177">
        <f>SUM(E25:J25)</f>
        <v>0</v>
      </c>
      <c r="L25" s="43"/>
      <c r="M25" s="42"/>
      <c r="N25" s="42"/>
    </row>
    <row r="26" spans="1:14" ht="21" hidden="1" x14ac:dyDescent="0.35">
      <c r="A26" s="464"/>
      <c r="B26" s="172" t="s">
        <v>401</v>
      </c>
      <c r="C26" s="178" t="s">
        <v>402</v>
      </c>
      <c r="D26" s="43" t="s">
        <v>348</v>
      </c>
      <c r="E26" s="163">
        <f>E29</f>
        <v>0</v>
      </c>
      <c r="F26" s="163">
        <f t="shared" ref="F26:J26" si="11">F29</f>
        <v>0</v>
      </c>
      <c r="G26" s="163">
        <f t="shared" si="11"/>
        <v>0</v>
      </c>
      <c r="H26" s="163">
        <f t="shared" si="11"/>
        <v>0</v>
      </c>
      <c r="I26" s="163">
        <f t="shared" si="11"/>
        <v>0</v>
      </c>
      <c r="J26" s="163">
        <f t="shared" si="11"/>
        <v>0</v>
      </c>
      <c r="K26" s="177"/>
      <c r="L26" s="43"/>
      <c r="M26" s="42"/>
      <c r="N26" s="42"/>
    </row>
    <row r="27" spans="1:14" ht="16.5" hidden="1" x14ac:dyDescent="0.35">
      <c r="A27" s="464"/>
      <c r="B27" s="172" t="s">
        <v>403</v>
      </c>
      <c r="C27" s="178" t="s">
        <v>404</v>
      </c>
      <c r="D27" s="172" t="s">
        <v>185</v>
      </c>
      <c r="E27" s="190">
        <v>0</v>
      </c>
      <c r="F27" s="190">
        <v>0</v>
      </c>
      <c r="G27" s="190">
        <v>0</v>
      </c>
      <c r="H27" s="190">
        <v>0</v>
      </c>
      <c r="I27" s="190">
        <v>0</v>
      </c>
      <c r="J27" s="190">
        <v>0</v>
      </c>
      <c r="K27" s="177"/>
      <c r="L27" s="43"/>
      <c r="M27" s="42"/>
      <c r="N27" s="42"/>
    </row>
    <row r="28" spans="1:14" ht="21" hidden="1" x14ac:dyDescent="0.35">
      <c r="A28" s="464"/>
      <c r="B28" s="172" t="s">
        <v>405</v>
      </c>
      <c r="C28" s="178" t="s">
        <v>406</v>
      </c>
      <c r="D28" s="172" t="s">
        <v>407</v>
      </c>
      <c r="E28" s="190">
        <v>0</v>
      </c>
      <c r="F28" s="190">
        <v>0</v>
      </c>
      <c r="G28" s="190">
        <v>0</v>
      </c>
      <c r="H28" s="190">
        <v>0</v>
      </c>
      <c r="I28" s="190">
        <v>0</v>
      </c>
      <c r="J28" s="190">
        <v>0</v>
      </c>
      <c r="K28" s="177"/>
      <c r="L28" s="43"/>
      <c r="M28" s="42"/>
      <c r="N28" s="42"/>
    </row>
    <row r="29" spans="1:14" ht="21" hidden="1" x14ac:dyDescent="0.35">
      <c r="A29" s="464"/>
      <c r="B29" s="172" t="s">
        <v>408</v>
      </c>
      <c r="C29" s="178" t="s">
        <v>409</v>
      </c>
      <c r="D29" s="43" t="s">
        <v>348</v>
      </c>
      <c r="E29" s="163">
        <f t="shared" ref="E29:J29" si="12">(E30*Dmn*CF)*44/12</f>
        <v>0</v>
      </c>
      <c r="F29" s="163">
        <f t="shared" si="12"/>
        <v>0</v>
      </c>
      <c r="G29" s="163">
        <f t="shared" si="12"/>
        <v>0</v>
      </c>
      <c r="H29" s="163">
        <f t="shared" si="12"/>
        <v>0</v>
      </c>
      <c r="I29" s="163">
        <f t="shared" si="12"/>
        <v>0</v>
      </c>
      <c r="J29" s="163">
        <f t="shared" si="12"/>
        <v>0</v>
      </c>
      <c r="K29" s="177"/>
      <c r="L29" s="43"/>
      <c r="M29" s="42"/>
      <c r="N29" s="42"/>
    </row>
    <row r="30" spans="1:14" ht="21" hidden="1" x14ac:dyDescent="0.35">
      <c r="A30" s="464"/>
      <c r="B30" s="172" t="s">
        <v>410</v>
      </c>
      <c r="C30" s="178" t="s">
        <v>411</v>
      </c>
      <c r="D30" s="172"/>
      <c r="E30" s="190">
        <v>0</v>
      </c>
      <c r="F30" s="190">
        <v>0</v>
      </c>
      <c r="G30" s="190">
        <v>0</v>
      </c>
      <c r="H30" s="190">
        <v>0</v>
      </c>
      <c r="I30" s="190">
        <v>0</v>
      </c>
      <c r="J30" s="190">
        <v>0</v>
      </c>
      <c r="K30" s="177"/>
      <c r="L30" s="43"/>
      <c r="M30" s="42"/>
      <c r="N30" s="42"/>
    </row>
    <row r="31" spans="1:14" ht="52.5" hidden="1" x14ac:dyDescent="0.35">
      <c r="A31" s="465"/>
      <c r="B31" s="181" t="s">
        <v>412</v>
      </c>
      <c r="C31" s="186" t="s">
        <v>413</v>
      </c>
      <c r="D31" s="181" t="s">
        <v>351</v>
      </c>
      <c r="E31" s="266">
        <f>IF(E23=0,0,(E22+E13)*E23*E24)</f>
        <v>0</v>
      </c>
      <c r="F31" s="266">
        <f t="shared" ref="F31:J31" si="13">IF(F23=0,0,(F22+F13)*F23*F24)</f>
        <v>0</v>
      </c>
      <c r="G31" s="266">
        <f t="shared" si="13"/>
        <v>0</v>
      </c>
      <c r="H31" s="266">
        <f t="shared" si="13"/>
        <v>0</v>
      </c>
      <c r="I31" s="266">
        <f t="shared" si="13"/>
        <v>0</v>
      </c>
      <c r="J31" s="266">
        <f t="shared" si="13"/>
        <v>0</v>
      </c>
      <c r="K31" s="182">
        <f>SUM(E31:J31)</f>
        <v>0</v>
      </c>
      <c r="L31" s="43"/>
      <c r="M31" s="42"/>
      <c r="N31" s="42"/>
    </row>
    <row r="32" spans="1:14" ht="47" customHeight="1" x14ac:dyDescent="0.35">
      <c r="A32" s="268" t="s">
        <v>414</v>
      </c>
      <c r="B32" s="179" t="s">
        <v>415</v>
      </c>
      <c r="C32" s="187" t="s">
        <v>416</v>
      </c>
      <c r="D32" s="179" t="s">
        <v>351</v>
      </c>
      <c r="E32" s="267">
        <f>E13+E22+E31</f>
        <v>2522.0315985479788</v>
      </c>
      <c r="F32" s="267">
        <f t="shared" ref="F32:J32" si="14">F13+F22+F31</f>
        <v>3894.1213283279976</v>
      </c>
      <c r="G32" s="267">
        <f t="shared" si="14"/>
        <v>8460.4940269079889</v>
      </c>
      <c r="H32" s="267">
        <f t="shared" si="14"/>
        <v>6151.8986085479955</v>
      </c>
      <c r="I32" s="267">
        <f t="shared" si="14"/>
        <v>6510.5294691359932</v>
      </c>
      <c r="J32" s="267">
        <f t="shared" si="14"/>
        <v>4958.3983356599929</v>
      </c>
      <c r="K32" s="180">
        <f>SUM(E32:J32)</f>
        <v>32497.473367127946</v>
      </c>
      <c r="L32" s="43"/>
      <c r="M32" s="42"/>
      <c r="N32" s="42"/>
    </row>
    <row r="33" spans="1:14" x14ac:dyDescent="0.35">
      <c r="A33" s="175"/>
      <c r="B33" s="172"/>
      <c r="C33" s="178"/>
      <c r="D33" s="172"/>
      <c r="E33" s="176"/>
      <c r="F33" s="174"/>
      <c r="G33" s="174"/>
      <c r="H33" s="174"/>
      <c r="I33" s="174"/>
      <c r="J33" s="174"/>
      <c r="K33" s="177"/>
      <c r="L33" s="43"/>
      <c r="M33" s="42"/>
      <c r="N33" s="42"/>
    </row>
    <row r="34" spans="1:14" x14ac:dyDescent="0.35">
      <c r="A34" s="175"/>
      <c r="B34" s="172"/>
      <c r="C34" s="178"/>
      <c r="D34" s="172"/>
      <c r="E34" s="176"/>
      <c r="F34" s="174"/>
      <c r="G34" s="174"/>
      <c r="H34" s="174"/>
      <c r="I34" s="174"/>
      <c r="J34" s="174"/>
      <c r="K34" s="177"/>
      <c r="L34" s="43"/>
      <c r="M34" s="42"/>
      <c r="N34" s="42"/>
    </row>
    <row r="35" spans="1:14" x14ac:dyDescent="0.35">
      <c r="A35" s="175"/>
      <c r="B35" s="172"/>
      <c r="C35" s="178"/>
      <c r="D35" s="172"/>
      <c r="E35" s="176"/>
      <c r="F35" s="174"/>
      <c r="G35" s="174"/>
      <c r="H35" s="174"/>
      <c r="I35" s="174"/>
      <c r="J35" s="174"/>
      <c r="K35" s="177"/>
      <c r="L35" s="43"/>
      <c r="M35" s="42"/>
      <c r="N35" s="42"/>
    </row>
    <row r="36" spans="1:14" x14ac:dyDescent="0.35">
      <c r="A36" s="175"/>
      <c r="B36" s="172"/>
      <c r="C36" s="178"/>
      <c r="D36" s="172"/>
      <c r="E36" s="176"/>
      <c r="F36" s="174"/>
      <c r="G36" s="174"/>
      <c r="H36" s="174"/>
      <c r="I36" s="174"/>
      <c r="J36" s="174"/>
      <c r="K36" s="177"/>
      <c r="L36" s="43"/>
      <c r="M36" s="42"/>
      <c r="N36" s="42"/>
    </row>
    <row r="37" spans="1:14" x14ac:dyDescent="0.35">
      <c r="A37" s="175"/>
      <c r="B37" s="172"/>
      <c r="C37" s="178"/>
      <c r="D37" s="172"/>
      <c r="E37" s="176"/>
      <c r="F37" s="174"/>
      <c r="G37" s="174"/>
      <c r="H37" s="174"/>
      <c r="I37" s="174"/>
      <c r="J37" s="174"/>
      <c r="K37" s="177"/>
      <c r="L37" s="43"/>
      <c r="M37" s="42"/>
      <c r="N37" s="42"/>
    </row>
    <row r="38" spans="1:14" x14ac:dyDescent="0.35">
      <c r="A38" s="175"/>
      <c r="B38" s="172"/>
      <c r="C38" s="178"/>
      <c r="D38" s="172"/>
      <c r="E38" s="176"/>
      <c r="F38" s="174"/>
      <c r="G38" s="174"/>
      <c r="H38" s="174"/>
      <c r="I38" s="174"/>
      <c r="J38" s="174"/>
      <c r="K38" s="177"/>
      <c r="L38" s="43"/>
      <c r="M38" s="42"/>
      <c r="N38" s="42"/>
    </row>
    <row r="39" spans="1:14" x14ac:dyDescent="0.35">
      <c r="A39" s="175"/>
      <c r="B39" s="172"/>
      <c r="C39" s="178"/>
      <c r="D39" s="172"/>
      <c r="E39" s="176"/>
      <c r="F39" s="174"/>
      <c r="G39" s="174"/>
      <c r="H39" s="174"/>
      <c r="I39" s="174"/>
      <c r="J39" s="174"/>
      <c r="K39" s="177"/>
      <c r="L39" s="43"/>
      <c r="M39" s="42"/>
      <c r="N39" s="42"/>
    </row>
    <row r="40" spans="1:14" x14ac:dyDescent="0.35">
      <c r="A40" s="44"/>
      <c r="K40" s="44"/>
    </row>
  </sheetData>
  <mergeCells count="10">
    <mergeCell ref="A7:A13"/>
    <mergeCell ref="A14:A22"/>
    <mergeCell ref="A23:A31"/>
    <mergeCell ref="B1:K1"/>
    <mergeCell ref="A2:M2"/>
    <mergeCell ref="B5:B6"/>
    <mergeCell ref="D5:D6"/>
    <mergeCell ref="E5:J5"/>
    <mergeCell ref="K5:K6"/>
    <mergeCell ref="C5:C6"/>
  </mergeCells>
  <pageMargins left="0.511811024" right="0.511811024" top="0.78740157499999996" bottom="0.78740157499999996" header="0.31496062000000002" footer="0.31496062000000002"/>
  <pageSetup paperSize="9" orientation="portrait" r:id="rId1"/>
  <headerFooter>
    <oddHeader>&amp;L&amp;G</oddHead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944c9fc-9421-4c39-b608-61ce31788618">
      <Terms xmlns="http://schemas.microsoft.com/office/infopath/2007/PartnerControls"/>
    </lcf76f155ced4ddcb4097134ff3c332f>
    <TaxCatchAll xmlns="3ba820af-9c36-47fb-8383-9944acc4573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DDC1F0F2D97C04690DF7AC407C65BA5" ma:contentTypeVersion="19" ma:contentTypeDescription="Create a new document." ma:contentTypeScope="" ma:versionID="138ac169aaadc9c430b97b25b46ecc4e">
  <xsd:schema xmlns:xsd="http://www.w3.org/2001/XMLSchema" xmlns:xs="http://www.w3.org/2001/XMLSchema" xmlns:p="http://schemas.microsoft.com/office/2006/metadata/properties" xmlns:ns2="5944c9fc-9421-4c39-b608-61ce31788618" xmlns:ns3="3ba820af-9c36-47fb-8383-9944acc4573c" targetNamespace="http://schemas.microsoft.com/office/2006/metadata/properties" ma:root="true" ma:fieldsID="4cce58cbed9668fc3dbbcfb9a7470718" ns2:_="" ns3:_="">
    <xsd:import namespace="5944c9fc-9421-4c39-b608-61ce31788618"/>
    <xsd:import namespace="3ba820af-9c36-47fb-8383-9944acc4573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44c9fc-9421-4c39-b608-61ce317886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b97863a-9c53-4d79-aa62-b4edf9878b66"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a820af-9c36-47fb-8383-9944acc4573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4e236bb-6ba1-491a-998c-53c379aa7070}" ma:internalName="TaxCatchAll" ma:showField="CatchAllData" ma:web="3ba820af-9c36-47fb-8383-9944acc457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358DBA-FAF1-471B-9536-8452AFA6C4D9}">
  <ds:schemaRefs>
    <ds:schemaRef ds:uri="http://purl.org/dc/elements/1.1/"/>
    <ds:schemaRef ds:uri="http://purl.org/dc/dcmitype/"/>
    <ds:schemaRef ds:uri="http://schemas.microsoft.com/office/2006/documentManagement/types"/>
    <ds:schemaRef ds:uri="5944c9fc-9421-4c39-b608-61ce31788618"/>
    <ds:schemaRef ds:uri="http://schemas.microsoft.com/office/infopath/2007/PartnerControls"/>
    <ds:schemaRef ds:uri="http://schemas.microsoft.com/office/2006/metadata/properties"/>
    <ds:schemaRef ds:uri="http://schemas.openxmlformats.org/package/2006/metadata/core-properties"/>
    <ds:schemaRef ds:uri="3ba820af-9c36-47fb-8383-9944acc4573c"/>
    <ds:schemaRef ds:uri="http://www.w3.org/XML/1998/namespace"/>
    <ds:schemaRef ds:uri="http://purl.org/dc/terms/"/>
  </ds:schemaRefs>
</ds:datastoreItem>
</file>

<file path=customXml/itemProps2.xml><?xml version="1.0" encoding="utf-8"?>
<ds:datastoreItem xmlns:ds="http://schemas.openxmlformats.org/officeDocument/2006/customXml" ds:itemID="{EF11DDB7-DD85-4E62-A271-6A56BECB1D08}">
  <ds:schemaRefs>
    <ds:schemaRef ds:uri="http://schemas.microsoft.com/sharepoint/v3/contenttype/forms"/>
  </ds:schemaRefs>
</ds:datastoreItem>
</file>

<file path=customXml/itemProps3.xml><?xml version="1.0" encoding="utf-8"?>
<ds:datastoreItem xmlns:ds="http://schemas.openxmlformats.org/officeDocument/2006/customXml" ds:itemID="{31F96BF4-E2E2-4469-83CF-63B415F3F3C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41</vt:i4>
      </vt:variant>
    </vt:vector>
  </HeadingPairs>
  <TitlesOfParts>
    <vt:vector size="56" baseType="lpstr">
      <vt:lpstr>Overview</vt:lpstr>
      <vt:lpstr>Default factors</vt:lpstr>
      <vt:lpstr>Deforestation</vt:lpstr>
      <vt:lpstr>Biomass inventory</vt:lpstr>
      <vt:lpstr>Biomass</vt:lpstr>
      <vt:lpstr>BL-ED</vt:lpstr>
      <vt:lpstr>BL-GHG</vt:lpstr>
      <vt:lpstr>PER</vt:lpstr>
      <vt:lpstr>Leakage_ME</vt:lpstr>
      <vt:lpstr>LK-GHG_ex_ante</vt:lpstr>
      <vt:lpstr>Leakage_AS</vt:lpstr>
      <vt:lpstr>Leakage_Outside</vt:lpstr>
      <vt:lpstr>Total Leakage_Ex-ante</vt:lpstr>
      <vt:lpstr>Resume_Ex-ante</vt:lpstr>
      <vt:lpstr>Net GHG</vt:lpstr>
      <vt:lpstr>ATL</vt:lpstr>
      <vt:lpstr>BCEF</vt:lpstr>
      <vt:lpstr>Buffer</vt:lpstr>
      <vt:lpstr>'LK-GHG_ex_ante'!CBSLi</vt:lpstr>
      <vt:lpstr>CBSLi</vt:lpstr>
      <vt:lpstr>CF</vt:lpstr>
      <vt:lpstr>CLB</vt:lpstr>
      <vt:lpstr>coffee_percentage</vt:lpstr>
      <vt:lpstr>coffee_tcoha</vt:lpstr>
      <vt:lpstr>COLB</vt:lpstr>
      <vt:lpstr>COMFi</vt:lpstr>
      <vt:lpstr>Conversion</vt:lpstr>
      <vt:lpstr>CWP_average</vt:lpstr>
      <vt:lpstr>Dmn</vt:lpstr>
      <vt:lpstr>Dolar</vt:lpstr>
      <vt:lpstr>GgCH4</vt:lpstr>
      <vt:lpstr>GgN2O</vt:lpstr>
      <vt:lpstr>GWPgCH4</vt:lpstr>
      <vt:lpstr>GWPgN2O</vt:lpstr>
      <vt:lpstr>LBFOR</vt:lpstr>
      <vt:lpstr>LDF</vt:lpstr>
      <vt:lpstr>LFME</vt:lpstr>
      <vt:lpstr>LIF</vt:lpstr>
      <vt:lpstr>LK_percentage</vt:lpstr>
      <vt:lpstr>LKPROP</vt:lpstr>
      <vt:lpstr>MWE</vt:lpstr>
      <vt:lpstr>NTL</vt:lpstr>
      <vt:lpstr>OFTY</vt:lpstr>
      <vt:lpstr>pasture_percentage</vt:lpstr>
      <vt:lpstr>pasture_tco2ha</vt:lpstr>
      <vt:lpstr>Projeto</vt:lpstr>
      <vt:lpstr>PROPIMM</vt:lpstr>
      <vt:lpstr>root_shoot</vt:lpstr>
      <vt:lpstr>SK</vt:lpstr>
      <vt:lpstr>SLFTY</vt:lpstr>
      <vt:lpstr>tC_to_tCO2</vt:lpstr>
      <vt:lpstr>tCO2_to_tC</vt:lpstr>
      <vt:lpstr>VBSL</vt:lpstr>
      <vt:lpstr>VCU</vt:lpstr>
      <vt:lpstr>WSKID</vt:lpstr>
      <vt:lpstr>WWTY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Larissa Paulista</dc:creator>
  <cp:keywords/>
  <dc:description/>
  <cp:lastModifiedBy>Alberto Girotto</cp:lastModifiedBy>
  <cp:revision/>
  <dcterms:created xsi:type="dcterms:W3CDTF">2022-05-25T13:03:37Z</dcterms:created>
  <dcterms:modified xsi:type="dcterms:W3CDTF">2025-03-18T06:50:41Z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0x010100CDDC1F0F2D97C04690DF7AC407C65BA5</vt:lpwstr>
  </property>
  <property fmtid="{D5CDD505-2E9C-101B-9397-08002B2CF9AE}" pid="3" name="MediaServiceImageTags">
    <vt:lpwstr/>
  </property>
  <property fmtid="{D5CDD505-2E9C-101B-9397-08002B2CF9AE}" pid="4" name="Order">
    <vt:r8>1235400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