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1.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updateLinks="never" codeName="EstaPastaDeTrabalho" defaultThemeVersion="166925"/>
  <mc:AlternateContent xmlns:mc="http://schemas.openxmlformats.org/markup-compatibility/2006">
    <mc:Choice Requires="x15">
      <x15ac:absPath xmlns:x15ac="http://schemas.microsoft.com/office/spreadsheetml/2010/11/ac" url="https://systemicadigital.sharepoint.com/sites/Project-FlorestalSantaMaria/Shared Documents/General/PRR/2024/Round 3/Compartilhado com VVB/Annexes/Additional annexes/"/>
    </mc:Choice>
  </mc:AlternateContent>
  <xr:revisionPtr revIDLastSave="111" documentId="13_ncr:1_{CBB8F139-2B4F-4890-8543-CA6559A3D1E4}" xr6:coauthVersionLast="47" xr6:coauthVersionMax="47" xr10:uidLastSave="{5A212460-85B7-4396-A1EB-6457FBE46F73}"/>
  <bookViews>
    <workbookView xWindow="-110" yWindow="-110" windowWidth="19420" windowHeight="10420" tabRatio="813" firstSheet="4" activeTab="15" xr2:uid="{B0C501E9-F87B-4581-9F48-5BB37478A819}"/>
  </bookViews>
  <sheets>
    <sheet name="Overview" sheetId="1" r:id="rId1"/>
    <sheet name="Default factors" sheetId="2" r:id="rId2"/>
    <sheet name="Deforestation" sheetId="8" r:id="rId3"/>
    <sheet name="Biomass inventory" sheetId="22" r:id="rId4"/>
    <sheet name="Biomass" sheetId="3" r:id="rId5"/>
    <sheet name="BL-ED" sheetId="10" r:id="rId6"/>
    <sheet name="BL-GHG" sheetId="9" r:id="rId7"/>
    <sheet name="PER" sheetId="12" state="hidden" r:id="rId8"/>
    <sheet name="Leakage_ME" sheetId="14" r:id="rId9"/>
    <sheet name="LK-GHG_ex_ante" sheetId="17" state="hidden" r:id="rId10"/>
    <sheet name="LK-GHG_ex_post" sheetId="27" state="hidden" r:id="rId11"/>
    <sheet name="Leakage_AS" sheetId="20" state="hidden" r:id="rId12"/>
    <sheet name="Leakage_Outside" sheetId="16" r:id="rId13"/>
    <sheet name="Total Leakage_Ex-post" sheetId="25" r:id="rId14"/>
    <sheet name="Resume_Ex-post" sheetId="13" r:id="rId15"/>
    <sheet name="Net GHG" sheetId="28" r:id="rId16"/>
  </sheets>
  <externalReferences>
    <externalReference r:id="rId17"/>
  </externalReferences>
  <definedNames>
    <definedName name="ATL" localSheetId="10">'[1]Default factors'!$D$61</definedName>
    <definedName name="ATL">'Default factors'!$D$62</definedName>
    <definedName name="BCEF" localSheetId="10">'[1]Default factors'!$D$6</definedName>
    <definedName name="BCEF">'Default factors'!$D$6</definedName>
    <definedName name="bit" localSheetId="10">'[1]Default factors'!#REF!</definedName>
    <definedName name="bit">'Default factors'!#REF!</definedName>
    <definedName name="Buffer" localSheetId="10">'[1]Default factors'!$H$11</definedName>
    <definedName name="Buffer">'Default factors'!$H$11</definedName>
    <definedName name="CBSLi" localSheetId="9">'LK-GHG_ex_ante'!#REF!</definedName>
    <definedName name="CBSLi" localSheetId="10">'LK-GHG_ex_post'!#REF!</definedName>
    <definedName name="CBSLi">'BL-GHG'!$H$25</definedName>
    <definedName name="CF" localSheetId="10">'[1]Default factors'!$D$8</definedName>
    <definedName name="CF">'Default factors'!$D$8</definedName>
    <definedName name="CLB" localSheetId="10">'[1]Default factors'!$D$44</definedName>
    <definedName name="CLB">'Default factors'!$D$44</definedName>
    <definedName name="CLB_total" localSheetId="10">'[1]Default factors'!#REF!</definedName>
    <definedName name="CLB_total">'Default factors'!#REF!</definedName>
    <definedName name="coffee_percentage" localSheetId="10">'[1]Default factors'!$I$8</definedName>
    <definedName name="coffee_percentage">'Default factors'!$I$8</definedName>
    <definedName name="coffee_tcoha" localSheetId="10">'[1]Default factors'!$H$8</definedName>
    <definedName name="coffee_tcoha">'Default factors'!$H$8</definedName>
    <definedName name="COLB" localSheetId="10">'[1]Default factors'!$D$43</definedName>
    <definedName name="COLB">'Default factors'!$D$43</definedName>
    <definedName name="COMFi" localSheetId="10">'[1]Default factors'!$D$51</definedName>
    <definedName name="COMFi">'Default factors'!$D$51</definedName>
    <definedName name="Conversion" localSheetId="10">'[1]Default factors'!$D$56</definedName>
    <definedName name="Conversion">'Default factors'!$D$56</definedName>
    <definedName name="CWP_average" localSheetId="10">#REF!</definedName>
    <definedName name="CWP_average">Biomass!$L$20</definedName>
    <definedName name="Dmn" localSheetId="10">'[1]Default factors'!$D$17</definedName>
    <definedName name="Dmn">'Default factors'!$D$17</definedName>
    <definedName name="Dolar" localSheetId="10">'[1]Default factors'!$H$14</definedName>
    <definedName name="Dolar">'Default factors'!$H$14</definedName>
    <definedName name="GgCH4" localSheetId="10">'[1]Default factors'!$D$52</definedName>
    <definedName name="GgCH4">'Default factors'!$D$52</definedName>
    <definedName name="GgN2O" localSheetId="10">'[1]Default factors'!$D$53</definedName>
    <definedName name="GgN2O">'Default factors'!$D$53</definedName>
    <definedName name="GWPgCH4" localSheetId="10">'[1]Default factors'!$D$54</definedName>
    <definedName name="GWPgCH4">'Default factors'!$D$54</definedName>
    <definedName name="GWPgN2O" localSheetId="10">'[1]Default factors'!$D$55</definedName>
    <definedName name="GWPgN2O">'Default factors'!$D$55</definedName>
    <definedName name="LBFOR" localSheetId="10">'[1]Default factors'!$D$32</definedName>
    <definedName name="LBFOR">'Default factors'!$D$32</definedName>
    <definedName name="LDF" localSheetId="10">'[1]Default factors'!$D$15</definedName>
    <definedName name="LDF">'Default factors'!$D$15</definedName>
    <definedName name="Leakage_factor" localSheetId="10">'[1]Default factors'!#REF!</definedName>
    <definedName name="Leakage_factor">'Default factors'!#REF!</definedName>
    <definedName name="LEAS" localSheetId="10">'[1]Default factors'!#REF!</definedName>
    <definedName name="LEAS">'Default factors'!#REF!</definedName>
    <definedName name="LFME" localSheetId="10">'[1]Default factors'!$D$31</definedName>
    <definedName name="LFME">'Default factors'!$D$31</definedName>
    <definedName name="LIF" localSheetId="10">'[1]Default factors'!$D$16</definedName>
    <definedName name="LIF">'Default factors'!$D$16</definedName>
    <definedName name="LK_percentage" localSheetId="10">'[1]Default factors'!$D$57</definedName>
    <definedName name="LK_percentage">'Default factors'!$D$57</definedName>
    <definedName name="LKPROP" localSheetId="10">'[1]Default factors'!$D$46</definedName>
    <definedName name="LKPROP">'Default factors'!$D$46</definedName>
    <definedName name="MWE" localSheetId="10">'[1]Default factors'!$D$64</definedName>
    <definedName name="MWE">'Default factors'!$D$58</definedName>
    <definedName name="NTL" localSheetId="10">'[1]Default factors'!$D$62</definedName>
    <definedName name="NTL">'Default factors'!$D$63</definedName>
    <definedName name="OFTY" localSheetId="10">'[1]Default factors'!$D$67</definedName>
    <definedName name="OFTY">'Default factors'!$D$67</definedName>
    <definedName name="pasture_percentage" localSheetId="10">'[1]Default factors'!$I$7</definedName>
    <definedName name="pasture_percentage">'Default factors'!$I$7</definedName>
    <definedName name="pasture_tco2ha" localSheetId="10">'[1]Default factors'!$H$7</definedName>
    <definedName name="pasture_tco2ha">'Default factors'!$H$7</definedName>
    <definedName name="percentage" localSheetId="10">'[1]Default factors'!#REF!</definedName>
    <definedName name="percentage">'Default factors'!#REF!</definedName>
    <definedName name="Projeto" localSheetId="10">#REF!</definedName>
    <definedName name="Projeto">Overview!$B$5</definedName>
    <definedName name="PROPIMM" localSheetId="10">#REF!</definedName>
    <definedName name="PROPIMM">'Default factors'!$D$33</definedName>
    <definedName name="root_shoot" localSheetId="10">'[1]Default factors'!$D$7</definedName>
    <definedName name="root_shoot">'Default factors'!$D$7</definedName>
    <definedName name="SK" localSheetId="10">'[1]Default factors'!$D$63</definedName>
    <definedName name="SK">'Default factors'!$D$64</definedName>
    <definedName name="SLFTY" localSheetId="10">#REF!</definedName>
    <definedName name="SLFTY">'Default factors'!$D$66</definedName>
    <definedName name="tC_to_tCO2" localSheetId="10">'[1]Default factors'!$D$9</definedName>
    <definedName name="tC_to_tCO2">'Default factors'!$D$9</definedName>
    <definedName name="tCO2_to_tC">'Default factors'!$D$10</definedName>
    <definedName name="VBSL" localSheetId="10">#REF!</definedName>
    <definedName name="VBSL">'Default factors'!$D$68</definedName>
    <definedName name="VCU" localSheetId="10">'[1]Default factors'!$H$13</definedName>
    <definedName name="VCU">'Default factors'!$H$13</definedName>
    <definedName name="WSKID" localSheetId="10">#REF!</definedName>
    <definedName name="WSKID">'Default factors'!$D$69</definedName>
    <definedName name="WWTY" localSheetId="10">#REF!</definedName>
    <definedName name="WWTY">'Default factors'!$D$65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28" l="1"/>
  <c r="C15" i="28" s="1"/>
  <c r="G6" i="28"/>
  <c r="G5" i="28"/>
  <c r="F5" i="28"/>
  <c r="E5" i="28"/>
  <c r="D5" i="28"/>
  <c r="C5" i="28"/>
  <c r="B5" i="28"/>
  <c r="G4" i="28"/>
  <c r="F4" i="28"/>
  <c r="E4" i="28"/>
  <c r="E6" i="28" s="1"/>
  <c r="D4" i="28"/>
  <c r="C4" i="28"/>
  <c r="B4" i="28"/>
  <c r="G3" i="28"/>
  <c r="F3" i="28"/>
  <c r="F6" i="28" s="1"/>
  <c r="E3" i="28"/>
  <c r="D3" i="28"/>
  <c r="D6" i="28" s="1"/>
  <c r="C3" i="28"/>
  <c r="C6" i="28" s="1"/>
  <c r="B3" i="28"/>
  <c r="B6" i="28" s="1"/>
  <c r="F1" i="28"/>
  <c r="E1" i="28"/>
  <c r="D15" i="13" l="1"/>
  <c r="E15" i="13"/>
  <c r="C15" i="13"/>
  <c r="F27" i="16"/>
  <c r="F13" i="8"/>
  <c r="F14" i="8"/>
  <c r="F15" i="8"/>
  <c r="F12" i="8"/>
  <c r="E13" i="8"/>
  <c r="E14" i="8"/>
  <c r="E15" i="8"/>
  <c r="E12" i="8"/>
  <c r="D13" i="8"/>
  <c r="D14" i="8"/>
  <c r="D15" i="8"/>
  <c r="D12" i="8"/>
  <c r="D5" i="9"/>
  <c r="E6" i="10"/>
  <c r="D5" i="8"/>
  <c r="D33" i="2"/>
  <c r="E11" i="14"/>
  <c r="D44" i="2"/>
  <c r="F26" i="22"/>
  <c r="F28" i="22" s="1"/>
  <c r="E26" i="22"/>
  <c r="E28" i="22" s="1"/>
  <c r="D26" i="22"/>
  <c r="D28" i="22" s="1"/>
  <c r="C26" i="22"/>
  <c r="C28" i="22" s="1"/>
  <c r="F7" i="22"/>
  <c r="F17" i="22" s="1"/>
  <c r="E7" i="22"/>
  <c r="E17" i="22" s="1"/>
  <c r="D7" i="22"/>
  <c r="D17" i="22" s="1"/>
  <c r="C8" i="22"/>
  <c r="E8" i="22" l="1"/>
  <c r="C7" i="22"/>
  <c r="C17" i="22" s="1"/>
  <c r="F8" i="22"/>
  <c r="D8" i="22"/>
  <c r="D25" i="2"/>
  <c r="D24" i="2"/>
  <c r="E8" i="27"/>
  <c r="F8" i="27"/>
  <c r="E9" i="27"/>
  <c r="F9" i="27" s="1"/>
  <c r="D8" i="27"/>
  <c r="I13" i="20" l="1"/>
  <c r="J13" i="20"/>
  <c r="H13" i="20"/>
  <c r="F12" i="27"/>
  <c r="E12" i="27"/>
  <c r="D12" i="27"/>
  <c r="E5" i="27"/>
  <c r="F5" i="27" s="1"/>
  <c r="D10" i="27" l="1"/>
  <c r="D13" i="27"/>
  <c r="E13" i="27" s="1"/>
  <c r="F13" i="27" s="1"/>
  <c r="G8" i="27"/>
  <c r="E10" i="27"/>
  <c r="D9" i="27"/>
  <c r="F10" i="27"/>
  <c r="D11" i="27" l="1"/>
  <c r="G10" i="27"/>
  <c r="E11" i="27"/>
  <c r="F11" i="27" s="1"/>
  <c r="G12" i="27"/>
  <c r="L12" i="12" l="1"/>
  <c r="D69" i="2"/>
  <c r="M12" i="12" l="1"/>
  <c r="N12" i="12"/>
  <c r="D40" i="3" l="1"/>
  <c r="D28" i="8"/>
  <c r="E28" i="8" s="1"/>
  <c r="F28" i="8" s="1"/>
  <c r="G27" i="8"/>
  <c r="D19" i="8"/>
  <c r="E19" i="8" s="1"/>
  <c r="F19" i="8" s="1"/>
  <c r="G18" i="8"/>
  <c r="D21" i="8"/>
  <c r="E21" i="8" s="1"/>
  <c r="F21" i="8" s="1"/>
  <c r="D26" i="8"/>
  <c r="G22" i="8"/>
  <c r="E8" i="14"/>
  <c r="D26" i="2"/>
  <c r="M13" i="12"/>
  <c r="N13" i="12"/>
  <c r="L13" i="12"/>
  <c r="L10" i="12"/>
  <c r="O8" i="12"/>
  <c r="O9" i="12"/>
  <c r="O11" i="12"/>
  <c r="O7" i="12"/>
  <c r="N10" i="12"/>
  <c r="M10" i="12"/>
  <c r="D28" i="2"/>
  <c r="D27" i="2"/>
  <c r="O13" i="12" l="1"/>
  <c r="O12" i="12"/>
  <c r="O10" i="12"/>
  <c r="F11" i="16"/>
  <c r="G16" i="12" l="1"/>
  <c r="D10" i="8"/>
  <c r="D11" i="8" s="1"/>
  <c r="D41" i="3"/>
  <c r="D42" i="3"/>
  <c r="D43" i="3"/>
  <c r="C15" i="3"/>
  <c r="C7" i="3"/>
  <c r="L17" i="3" l="1"/>
  <c r="L13" i="3"/>
  <c r="L18" i="3" s="1"/>
  <c r="E40" i="3"/>
  <c r="C8" i="3"/>
  <c r="F40" i="3" s="1"/>
  <c r="C9" i="3"/>
  <c r="G40" i="3" l="1"/>
  <c r="D29" i="2"/>
  <c r="D30" i="2" s="1"/>
  <c r="D31" i="2" s="1"/>
  <c r="F7" i="3" l="1"/>
  <c r="D15" i="3"/>
  <c r="E15" i="3"/>
  <c r="F15" i="3"/>
  <c r="D7" i="3"/>
  <c r="E7" i="3"/>
  <c r="D1" i="22"/>
  <c r="E42" i="3" l="1"/>
  <c r="N17" i="3"/>
  <c r="E41" i="3"/>
  <c r="M17" i="3"/>
  <c r="E43" i="3"/>
  <c r="O17" i="3"/>
  <c r="G15" i="3"/>
  <c r="B19" i="10" l="1"/>
  <c r="F11" i="14" l="1"/>
  <c r="G11" i="14"/>
  <c r="G26" i="16"/>
  <c r="H26" i="16"/>
  <c r="G27" i="16"/>
  <c r="H27" i="16"/>
  <c r="F26" i="16"/>
  <c r="E1" i="20" l="1"/>
  <c r="D9" i="2"/>
  <c r="L14" i="3" l="1"/>
  <c r="D27" i="9" s="1"/>
  <c r="D43" i="2"/>
  <c r="O13" i="3"/>
  <c r="M13" i="3"/>
  <c r="N13" i="3"/>
  <c r="D10" i="2"/>
  <c r="H8" i="2"/>
  <c r="H7" i="2"/>
  <c r="D37" i="2"/>
  <c r="D36" i="2"/>
  <c r="F9" i="16"/>
  <c r="F8" i="16" s="1"/>
  <c r="F7" i="16" s="1"/>
  <c r="F13" i="16" s="1"/>
  <c r="H9" i="2" l="1"/>
  <c r="D26" i="9"/>
  <c r="D25" i="9" s="1"/>
  <c r="L19" i="3"/>
  <c r="F28" i="16"/>
  <c r="D40" i="2"/>
  <c r="H28" i="16" l="1"/>
  <c r="G28" i="16"/>
  <c r="I9" i="2"/>
  <c r="D5" i="17" l="1"/>
  <c r="E5" i="17" s="1"/>
  <c r="F5" i="17" s="1"/>
  <c r="C1" i="17"/>
  <c r="C16" i="3" l="1"/>
  <c r="G20" i="8"/>
  <c r="D30" i="8"/>
  <c r="G29" i="8"/>
  <c r="E31" i="14"/>
  <c r="F16" i="3" l="1"/>
  <c r="E16" i="3"/>
  <c r="D16" i="3"/>
  <c r="E30" i="8"/>
  <c r="F30" i="8" s="1"/>
  <c r="D41" i="2"/>
  <c r="C1" i="16"/>
  <c r="F8" i="14"/>
  <c r="G8" i="14"/>
  <c r="D42" i="2" l="1"/>
  <c r="D39" i="2"/>
  <c r="D38" i="2"/>
  <c r="F12" i="14" l="1"/>
  <c r="G12" i="14"/>
  <c r="E12" i="14"/>
  <c r="E21" i="14"/>
  <c r="F31" i="14"/>
  <c r="G31" i="14"/>
  <c r="B10" i="1" l="1"/>
  <c r="F29" i="14" l="1"/>
  <c r="F26" i="14" s="1"/>
  <c r="G29" i="14"/>
  <c r="G26" i="14" s="1"/>
  <c r="E29" i="14"/>
  <c r="E26" i="14" s="1"/>
  <c r="E25" i="14"/>
  <c r="F25" i="14"/>
  <c r="G25" i="14"/>
  <c r="F17" i="14"/>
  <c r="G17" i="14"/>
  <c r="E17" i="14"/>
  <c r="E18" i="14" s="1"/>
  <c r="E22" i="14" s="1"/>
  <c r="F21" i="14"/>
  <c r="G21" i="14"/>
  <c r="B1" i="14"/>
  <c r="E27" i="12"/>
  <c r="E28" i="12" s="1"/>
  <c r="E29" i="12" s="1"/>
  <c r="F27" i="12"/>
  <c r="F28" i="12" s="1"/>
  <c r="F29" i="12" s="1"/>
  <c r="D27" i="12"/>
  <c r="D28" i="12" s="1"/>
  <c r="D29" i="12" s="1"/>
  <c r="E24" i="14" l="1"/>
  <c r="H25" i="14"/>
  <c r="F24" i="14"/>
  <c r="G24" i="14"/>
  <c r="F18" i="14"/>
  <c r="F22" i="14" s="1"/>
  <c r="G18" i="14"/>
  <c r="G22" i="14" s="1"/>
  <c r="E8" i="12"/>
  <c r="F8" i="12"/>
  <c r="D8" i="12"/>
  <c r="E7" i="12"/>
  <c r="F7" i="12"/>
  <c r="D7" i="12"/>
  <c r="B1" i="13"/>
  <c r="D18" i="12"/>
  <c r="D14" i="12"/>
  <c r="D23" i="12" l="1"/>
  <c r="D24" i="12" s="1"/>
  <c r="D26" i="12" s="1"/>
  <c r="D30" i="12"/>
  <c r="C10" i="13" s="1"/>
  <c r="D11" i="12"/>
  <c r="D12" i="12" s="1"/>
  <c r="E23" i="12"/>
  <c r="E24" i="12" s="1"/>
  <c r="E26" i="12" s="1"/>
  <c r="E30" i="12"/>
  <c r="D10" i="13" s="1"/>
  <c r="E11" i="12"/>
  <c r="E12" i="12" s="1"/>
  <c r="F23" i="12"/>
  <c r="F24" i="12" s="1"/>
  <c r="F26" i="12" s="1"/>
  <c r="F30" i="12"/>
  <c r="E10" i="13" s="1"/>
  <c r="F11" i="12"/>
  <c r="F12" i="12" s="1"/>
  <c r="E26" i="8"/>
  <c r="E8" i="17"/>
  <c r="E19" i="17" s="1"/>
  <c r="H22" i="14"/>
  <c r="H18" i="14"/>
  <c r="D9" i="12"/>
  <c r="D10" i="12" s="1"/>
  <c r="E17" i="17" l="1"/>
  <c r="H31" i="14"/>
  <c r="E9" i="12"/>
  <c r="E10" i="12" s="1"/>
  <c r="F9" i="12"/>
  <c r="F10" i="12" s="1"/>
  <c r="B15" i="10" l="1"/>
  <c r="F14" i="12" l="1"/>
  <c r="E14" i="12"/>
  <c r="B1" i="12"/>
  <c r="G6" i="8"/>
  <c r="L7" i="3" s="1"/>
  <c r="L9" i="3" l="1"/>
  <c r="L10" i="3"/>
  <c r="E18" i="12"/>
  <c r="F18" i="12"/>
  <c r="E10" i="8" l="1"/>
  <c r="F25" i="16"/>
  <c r="G13" i="8"/>
  <c r="G12" i="8"/>
  <c r="G24" i="8"/>
  <c r="G23" i="8"/>
  <c r="F16" i="8"/>
  <c r="E16" i="8"/>
  <c r="D16" i="8"/>
  <c r="D17" i="8" s="1"/>
  <c r="G15" i="8"/>
  <c r="G14" i="8"/>
  <c r="F24" i="16" l="1"/>
  <c r="F29" i="16" s="1"/>
  <c r="F30" i="16" s="1"/>
  <c r="F31" i="16" s="1"/>
  <c r="E17" i="8"/>
  <c r="F17" i="8" s="1"/>
  <c r="G25" i="16"/>
  <c r="G24" i="16" s="1"/>
  <c r="G29" i="16" s="1"/>
  <c r="G30" i="16" s="1"/>
  <c r="G31" i="16" s="1"/>
  <c r="D5" i="25" s="1"/>
  <c r="E11" i="8"/>
  <c r="G25" i="8"/>
  <c r="D8" i="17"/>
  <c r="F8" i="17"/>
  <c r="E7" i="14"/>
  <c r="E9" i="14" s="1"/>
  <c r="F26" i="8"/>
  <c r="E8" i="9"/>
  <c r="F7" i="14"/>
  <c r="F9" i="14" s="1"/>
  <c r="D8" i="9"/>
  <c r="G16" i="8"/>
  <c r="J28" i="9"/>
  <c r="C5" i="25" l="1"/>
  <c r="F32" i="16"/>
  <c r="G32" i="16"/>
  <c r="E13" i="14"/>
  <c r="E32" i="14" s="1"/>
  <c r="C3" i="25" s="1"/>
  <c r="D17" i="17"/>
  <c r="D18" i="17" s="1"/>
  <c r="E18" i="17" s="1"/>
  <c r="D9" i="17"/>
  <c r="E9" i="17" s="1"/>
  <c r="F9" i="17" s="1"/>
  <c r="F17" i="17"/>
  <c r="G8" i="17"/>
  <c r="E17" i="9"/>
  <c r="F13" i="14"/>
  <c r="F32" i="14" s="1"/>
  <c r="D3" i="25" s="1"/>
  <c r="D17" i="9"/>
  <c r="D9" i="9"/>
  <c r="E9" i="9" s="1"/>
  <c r="G17" i="17" l="1"/>
  <c r="F18" i="17"/>
  <c r="D18" i="9"/>
  <c r="E18" i="9" s="1"/>
  <c r="E5" i="8"/>
  <c r="F5" i="8" s="1"/>
  <c r="G7" i="8"/>
  <c r="M7" i="3" s="1"/>
  <c r="G8" i="8"/>
  <c r="N7" i="3" s="1"/>
  <c r="G9" i="8"/>
  <c r="O7" i="3" s="1"/>
  <c r="F10" i="8"/>
  <c r="C1" i="10"/>
  <c r="E5" i="9"/>
  <c r="F5" i="9" s="1"/>
  <c r="C1" i="9"/>
  <c r="E7" i="10" l="1"/>
  <c r="E19" i="10"/>
  <c r="H25" i="16"/>
  <c r="H24" i="16" s="1"/>
  <c r="H29" i="16" s="1"/>
  <c r="H30" i="16" s="1"/>
  <c r="H31" i="16" s="1"/>
  <c r="E5" i="25" s="1"/>
  <c r="F11" i="8"/>
  <c r="G7" i="14"/>
  <c r="G9" i="14" s="1"/>
  <c r="B30" i="10"/>
  <c r="B31" i="10" s="1"/>
  <c r="B32" i="10" s="1"/>
  <c r="F8" i="9"/>
  <c r="G10" i="8"/>
  <c r="E11" i="10"/>
  <c r="F6" i="10"/>
  <c r="F7" i="10" s="1"/>
  <c r="E15" i="10"/>
  <c r="C1" i="8"/>
  <c r="H32" i="16" l="1"/>
  <c r="I31" i="16"/>
  <c r="C30" i="10"/>
  <c r="D30" i="10" s="1"/>
  <c r="G13" i="14"/>
  <c r="H9" i="14"/>
  <c r="F17" i="9"/>
  <c r="F19" i="10"/>
  <c r="F11" i="10"/>
  <c r="G8" i="9"/>
  <c r="F9" i="9"/>
  <c r="E12" i="10"/>
  <c r="E8" i="10"/>
  <c r="F8" i="10" s="1"/>
  <c r="E16" i="10"/>
  <c r="G6" i="10"/>
  <c r="F15" i="10"/>
  <c r="E20" i="10"/>
  <c r="G32" i="14" l="1"/>
  <c r="H13" i="14"/>
  <c r="F18" i="9"/>
  <c r="G17" i="9"/>
  <c r="F20" i="10"/>
  <c r="F12" i="10"/>
  <c r="C31" i="10"/>
  <c r="D31" i="10" s="1"/>
  <c r="G15" i="10"/>
  <c r="G19" i="10"/>
  <c r="G7" i="10"/>
  <c r="G11" i="10"/>
  <c r="F16" i="10"/>
  <c r="B1" i="3"/>
  <c r="B1" i="1"/>
  <c r="B1" i="2"/>
  <c r="E3" i="25" l="1"/>
  <c r="F3" i="25" s="1"/>
  <c r="H32" i="14"/>
  <c r="G12" i="10"/>
  <c r="G20" i="10"/>
  <c r="G8" i="10"/>
  <c r="C32" i="10"/>
  <c r="G16" i="10"/>
  <c r="D32" i="10" l="1"/>
  <c r="P7" i="3"/>
  <c r="L8" i="3" s="1"/>
  <c r="A7" i="2"/>
  <c r="D9" i="3" l="1"/>
  <c r="H19" i="10"/>
  <c r="H7" i="10"/>
  <c r="O8" i="3"/>
  <c r="N8" i="3"/>
  <c r="M8" i="3"/>
  <c r="E8" i="3"/>
  <c r="F42" i="3" s="1"/>
  <c r="G42" i="3" s="1"/>
  <c r="E9" i="3"/>
  <c r="F9" i="3"/>
  <c r="F8" i="3"/>
  <c r="F43" i="3" s="1"/>
  <c r="G43" i="3" s="1"/>
  <c r="C10" i="3"/>
  <c r="D8" i="3"/>
  <c r="F41" i="3" s="1"/>
  <c r="G41" i="3" s="1"/>
  <c r="M9" i="3"/>
  <c r="O9" i="3"/>
  <c r="N9" i="3"/>
  <c r="C17" i="3" l="1"/>
  <c r="L15" i="3"/>
  <c r="D19" i="9"/>
  <c r="E19" i="9"/>
  <c r="D19" i="17"/>
  <c r="F19" i="17"/>
  <c r="F19" i="9"/>
  <c r="L12" i="3"/>
  <c r="C11" i="3"/>
  <c r="E26" i="9"/>
  <c r="M18" i="3"/>
  <c r="M19" i="3" s="1"/>
  <c r="F26" i="9"/>
  <c r="N18" i="3"/>
  <c r="N19" i="3" s="1"/>
  <c r="G26" i="9"/>
  <c r="O18" i="3"/>
  <c r="O19" i="3" s="1"/>
  <c r="E10" i="3"/>
  <c r="N12" i="3" s="1"/>
  <c r="N14" i="3"/>
  <c r="F10" i="3"/>
  <c r="O12" i="3" s="1"/>
  <c r="O14" i="3"/>
  <c r="D10" i="3"/>
  <c r="M12" i="3" s="1"/>
  <c r="M14" i="3"/>
  <c r="C33" i="10"/>
  <c r="H12" i="10"/>
  <c r="H16" i="10"/>
  <c r="H8" i="10"/>
  <c r="H11" i="10"/>
  <c r="H15" i="10"/>
  <c r="H20" i="10"/>
  <c r="P8" i="3"/>
  <c r="N10" i="3"/>
  <c r="L11" i="3"/>
  <c r="O10" i="3"/>
  <c r="M10" i="3"/>
  <c r="N11" i="3"/>
  <c r="O11" i="3"/>
  <c r="M11" i="3"/>
  <c r="P9" i="3"/>
  <c r="F14" i="16" l="1"/>
  <c r="F15" i="16" s="1"/>
  <c r="E9" i="10"/>
  <c r="C18" i="3"/>
  <c r="L20" i="3"/>
  <c r="D15" i="9" s="1"/>
  <c r="D20" i="9"/>
  <c r="E20" i="9" s="1"/>
  <c r="F20" i="9" s="1"/>
  <c r="G19" i="9"/>
  <c r="D20" i="17"/>
  <c r="E20" i="17" s="1"/>
  <c r="F20" i="17" s="1"/>
  <c r="G19" i="17"/>
  <c r="I26" i="9"/>
  <c r="D10" i="9" s="1"/>
  <c r="F9" i="10"/>
  <c r="J26" i="9"/>
  <c r="F11" i="3"/>
  <c r="E21" i="10" s="1"/>
  <c r="E11" i="3"/>
  <c r="P12" i="3"/>
  <c r="D11" i="3"/>
  <c r="P10" i="3"/>
  <c r="G27" i="9"/>
  <c r="G25" i="9" s="1"/>
  <c r="O15" i="3"/>
  <c r="F27" i="9"/>
  <c r="F25" i="9" s="1"/>
  <c r="N15" i="3"/>
  <c r="E27" i="9"/>
  <c r="M15" i="3"/>
  <c r="G9" i="10"/>
  <c r="P11" i="3"/>
  <c r="D12" i="9" l="1"/>
  <c r="D13" i="9" s="1"/>
  <c r="F10" i="17"/>
  <c r="E12" i="17"/>
  <c r="D10" i="17"/>
  <c r="D11" i="17" s="1"/>
  <c r="F12" i="17"/>
  <c r="E10" i="17"/>
  <c r="D12" i="17"/>
  <c r="D13" i="17" s="1"/>
  <c r="E6" i="17"/>
  <c r="D6" i="27"/>
  <c r="F6" i="27"/>
  <c r="E6" i="27"/>
  <c r="D71" i="2"/>
  <c r="D64" i="2" s="1"/>
  <c r="F10" i="9"/>
  <c r="E10" i="9"/>
  <c r="F12" i="9"/>
  <c r="E12" i="9"/>
  <c r="D6" i="17"/>
  <c r="P18" i="3"/>
  <c r="D15" i="17"/>
  <c r="D16" i="17" s="1"/>
  <c r="F6" i="17"/>
  <c r="E15" i="17"/>
  <c r="F15" i="17"/>
  <c r="E17" i="10"/>
  <c r="E13" i="10"/>
  <c r="G21" i="10"/>
  <c r="F21" i="10"/>
  <c r="F17" i="10"/>
  <c r="G17" i="10"/>
  <c r="F13" i="10"/>
  <c r="D19" i="12"/>
  <c r="D21" i="12"/>
  <c r="E15" i="9"/>
  <c r="F15" i="9"/>
  <c r="E19" i="12"/>
  <c r="E21" i="12"/>
  <c r="F21" i="12"/>
  <c r="F19" i="12"/>
  <c r="G13" i="10"/>
  <c r="H27" i="9"/>
  <c r="I27" i="9" s="1"/>
  <c r="E25" i="9"/>
  <c r="H25" i="9" s="1"/>
  <c r="J27" i="9"/>
  <c r="E22" i="10"/>
  <c r="E10" i="10"/>
  <c r="F10" i="10" s="1"/>
  <c r="G10" i="10" s="1"/>
  <c r="H9" i="10"/>
  <c r="E21" i="17" l="1"/>
  <c r="I12" i="20" s="1"/>
  <c r="D7" i="27"/>
  <c r="E7" i="27" s="1"/>
  <c r="F7" i="27" s="1"/>
  <c r="G6" i="27"/>
  <c r="D14" i="27"/>
  <c r="H14" i="20" s="1"/>
  <c r="E14" i="27"/>
  <c r="I14" i="20" s="1"/>
  <c r="F14" i="27"/>
  <c r="J14" i="20" s="1"/>
  <c r="E31" i="10"/>
  <c r="E30" i="10"/>
  <c r="D6" i="9" s="1"/>
  <c r="D21" i="9" s="1"/>
  <c r="E23" i="10"/>
  <c r="F23" i="10"/>
  <c r="G23" i="10"/>
  <c r="E32" i="10"/>
  <c r="E14" i="10"/>
  <c r="F14" i="10" s="1"/>
  <c r="G14" i="10" s="1"/>
  <c r="D15" i="12"/>
  <c r="D22" i="12" s="1"/>
  <c r="E15" i="12"/>
  <c r="E22" i="12" s="1"/>
  <c r="F15" i="12"/>
  <c r="F22" i="12" s="1"/>
  <c r="E13" i="9"/>
  <c r="F13" i="9" s="1"/>
  <c r="G12" i="17"/>
  <c r="D14" i="17"/>
  <c r="D46" i="2"/>
  <c r="D45" i="2"/>
  <c r="E13" i="17"/>
  <c r="F13" i="17" s="1"/>
  <c r="F14" i="17"/>
  <c r="E14" i="17"/>
  <c r="E11" i="17"/>
  <c r="F11" i="17" s="1"/>
  <c r="F21" i="17"/>
  <c r="G10" i="17"/>
  <c r="D21" i="17"/>
  <c r="E16" i="17"/>
  <c r="F16" i="17" s="1"/>
  <c r="G15" i="17"/>
  <c r="F22" i="10"/>
  <c r="G22" i="10" s="1"/>
  <c r="E18" i="10"/>
  <c r="F18" i="10" s="1"/>
  <c r="G18" i="10" s="1"/>
  <c r="D14" i="9"/>
  <c r="H17" i="10"/>
  <c r="H21" i="10"/>
  <c r="D16" i="9"/>
  <c r="E16" i="9" s="1"/>
  <c r="F16" i="9" s="1"/>
  <c r="G15" i="9"/>
  <c r="F14" i="9"/>
  <c r="D11" i="9"/>
  <c r="E11" i="9" s="1"/>
  <c r="F11" i="9" s="1"/>
  <c r="E14" i="9"/>
  <c r="G10" i="9"/>
  <c r="G12" i="9"/>
  <c r="H13" i="10"/>
  <c r="J25" i="9"/>
  <c r="I15" i="20" l="1"/>
  <c r="I16" i="20" s="1"/>
  <c r="I17" i="20" s="1"/>
  <c r="I8" i="20"/>
  <c r="G21" i="16" s="1"/>
  <c r="F30" i="10"/>
  <c r="F31" i="10" s="1"/>
  <c r="F32" i="10" s="1"/>
  <c r="J8" i="20"/>
  <c r="H21" i="16" s="1"/>
  <c r="J12" i="20"/>
  <c r="J15" i="20" s="1"/>
  <c r="H8" i="20"/>
  <c r="F21" i="16" s="1"/>
  <c r="H12" i="20"/>
  <c r="H15" i="20" s="1"/>
  <c r="E33" i="10"/>
  <c r="G14" i="17"/>
  <c r="E6" i="9"/>
  <c r="F6" i="9"/>
  <c r="I25" i="9"/>
  <c r="G14" i="9"/>
  <c r="D4" i="25" l="1"/>
  <c r="H16" i="20"/>
  <c r="C4" i="25" s="1"/>
  <c r="J16" i="20"/>
  <c r="C9" i="13"/>
  <c r="E21" i="9"/>
  <c r="H7" i="20"/>
  <c r="H9" i="20" s="1"/>
  <c r="H10" i="20" s="1"/>
  <c r="H11" i="20" s="1"/>
  <c r="D7" i="9"/>
  <c r="E7" i="9" s="1"/>
  <c r="F7" i="9" s="1"/>
  <c r="F21" i="9"/>
  <c r="G6" i="9"/>
  <c r="D7" i="17"/>
  <c r="E7" i="17" s="1"/>
  <c r="F7" i="17" s="1"/>
  <c r="G6" i="17"/>
  <c r="F10" i="13"/>
  <c r="J17" i="20" l="1"/>
  <c r="E4" i="25"/>
  <c r="H17" i="20"/>
  <c r="K16" i="20"/>
  <c r="F22" i="16"/>
  <c r="J7" i="20"/>
  <c r="J9" i="20" s="1"/>
  <c r="J10" i="20" s="1"/>
  <c r="J11" i="20" s="1"/>
  <c r="E9" i="13"/>
  <c r="I7" i="20"/>
  <c r="I9" i="20" s="1"/>
  <c r="I10" i="20" s="1"/>
  <c r="I11" i="20" s="1"/>
  <c r="D9" i="13"/>
  <c r="K17" i="20" l="1"/>
  <c r="F20" i="16"/>
  <c r="F23" i="16" s="1"/>
  <c r="C6" i="25" s="1"/>
  <c r="C11" i="13" s="1"/>
  <c r="G22" i="16"/>
  <c r="G20" i="16" s="1"/>
  <c r="G23" i="16" s="1"/>
  <c r="H22" i="16"/>
  <c r="H20" i="16" s="1"/>
  <c r="H23" i="16" s="1"/>
  <c r="F9" i="13"/>
  <c r="K11" i="20"/>
  <c r="C13" i="13" l="1"/>
  <c r="C12" i="13" s="1"/>
  <c r="F4" i="25"/>
  <c r="E6" i="25"/>
  <c r="D6" i="25"/>
  <c r="D11" i="13" l="1"/>
  <c r="E11" i="13"/>
  <c r="C14" i="13"/>
  <c r="I23" i="16"/>
  <c r="I32" i="16"/>
  <c r="D13" i="13" l="1"/>
  <c r="D12" i="13" s="1"/>
  <c r="E13" i="13"/>
  <c r="F5" i="25"/>
  <c r="F6" i="25" s="1"/>
  <c r="E14" i="13" l="1"/>
  <c r="F11" i="13"/>
  <c r="D14" i="13"/>
  <c r="E12" i="13"/>
  <c r="F13" i="13" l="1"/>
  <c r="F14" i="13" l="1"/>
  <c r="F15" i="13" l="1"/>
</calcChain>
</file>

<file path=xl/sharedStrings.xml><?xml version="1.0" encoding="utf-8"?>
<sst xmlns="http://schemas.openxmlformats.org/spreadsheetml/2006/main" count="1046" uniqueCount="536">
  <si>
    <t xml:space="preserve">Project: </t>
  </si>
  <si>
    <t>Overviwe</t>
  </si>
  <si>
    <t xml:space="preserve">Data Project </t>
  </si>
  <si>
    <t>Element</t>
  </si>
  <si>
    <t>Module/ Tool</t>
  </si>
  <si>
    <t>Applicability</t>
  </si>
  <si>
    <t>Carbon Pool</t>
  </si>
  <si>
    <t>Status</t>
  </si>
  <si>
    <t>Justification</t>
  </si>
  <si>
    <t>Project</t>
  </si>
  <si>
    <t>FLORESTAL SANTA MARIA - CARAGUA AGRONEGÓCIOS LTDA</t>
  </si>
  <si>
    <t>Project Boundary</t>
  </si>
  <si>
    <t>T-SIG</t>
  </si>
  <si>
    <t>M</t>
  </si>
  <si>
    <t>Aboveground tree biomass</t>
  </si>
  <si>
    <t>Included</t>
  </si>
  <si>
    <t>ID</t>
  </si>
  <si>
    <t>Baseline Emissions</t>
  </si>
  <si>
    <t>BL-UP</t>
  </si>
  <si>
    <t>Aboveground non-tree biomass</t>
  </si>
  <si>
    <t>Start date</t>
  </si>
  <si>
    <t>X-STR</t>
  </si>
  <si>
    <t>Belowground biomass</t>
  </si>
  <si>
    <t>First baseline period</t>
  </si>
  <si>
    <t>CP-AB</t>
  </si>
  <si>
    <t>Litter</t>
  </si>
  <si>
    <t>Excluded</t>
  </si>
  <si>
    <t>Second baseline period</t>
  </si>
  <si>
    <t>CP-D</t>
  </si>
  <si>
    <t>M3</t>
  </si>
  <si>
    <t>Dead wood</t>
  </si>
  <si>
    <t>Project area (ha)</t>
  </si>
  <si>
    <t>CP-L</t>
  </si>
  <si>
    <t>O</t>
  </si>
  <si>
    <t>Soil Organic Carbon</t>
  </si>
  <si>
    <t>Crediting Period</t>
  </si>
  <si>
    <t>CP-S</t>
  </si>
  <si>
    <t xml:space="preserve">Wood products </t>
  </si>
  <si>
    <t>Project Location</t>
  </si>
  <si>
    <t>Colniza/ MT - Brasil</t>
  </si>
  <si>
    <t>CP-W</t>
  </si>
  <si>
    <t>M1</t>
  </si>
  <si>
    <t>Geographical Boundaries</t>
  </si>
  <si>
    <t>E-NA</t>
  </si>
  <si>
    <t>M4</t>
  </si>
  <si>
    <t>Legend</t>
  </si>
  <si>
    <t>Temporal boundaries</t>
  </si>
  <si>
    <t>E-FFC</t>
  </si>
  <si>
    <t>Methodology Reference</t>
  </si>
  <si>
    <t>VM0007 - REDD+ Methodology Framework (REDD+MF), V1.6</t>
  </si>
  <si>
    <t>E-BPB</t>
  </si>
  <si>
    <t>LK-ASU</t>
  </si>
  <si>
    <t>Optional</t>
  </si>
  <si>
    <t>Project Emissions</t>
  </si>
  <si>
    <t>M-REDD</t>
  </si>
  <si>
    <t>X-UNC</t>
  </si>
  <si>
    <t>Leakage</t>
  </si>
  <si>
    <t>LK-ME</t>
  </si>
  <si>
    <t>Mandatory</t>
  </si>
  <si>
    <t>Mandatory for the given project activity where the process of deforestation involves timber harvesting for commercial markets</t>
  </si>
  <si>
    <t>Mandatory for the given project activity if this carbon pool is greater in baseline (postdeforestation/degradation) than project scenario and significant; otherwise can be conservatively omitted</t>
  </si>
  <si>
    <t>Mandatory for the given project activity where leakage prevention activities include increases in the use of fertilizers</t>
  </si>
  <si>
    <t xml:space="preserve">Modules marked with an O are fully optional for the given project activity (i.e., the indicated pools and sources can be included or excluded as decided by the project, but if included in the baseline they must also be included in the project scenario) </t>
  </si>
  <si>
    <t>Default factors</t>
  </si>
  <si>
    <t>Biomass</t>
  </si>
  <si>
    <t>References</t>
  </si>
  <si>
    <t>Land use</t>
  </si>
  <si>
    <t>Parameter</t>
  </si>
  <si>
    <t>Description</t>
  </si>
  <si>
    <t>Unit</t>
  </si>
  <si>
    <t>Value</t>
  </si>
  <si>
    <t>Type</t>
  </si>
  <si>
    <r>
      <t>t CO</t>
    </r>
    <r>
      <rPr>
        <b/>
        <vertAlign val="subscript"/>
        <sz val="11"/>
        <color theme="1"/>
        <rFont val="Calibri"/>
        <family val="2"/>
        <scheme val="minor"/>
      </rPr>
      <t>2</t>
    </r>
    <r>
      <rPr>
        <b/>
        <sz val="11"/>
        <color theme="1"/>
        <rFont val="Calibri"/>
        <family val="2"/>
        <scheme val="minor"/>
      </rPr>
      <t>/ha</t>
    </r>
  </si>
  <si>
    <t>%</t>
  </si>
  <si>
    <t>BCEF</t>
  </si>
  <si>
    <t>Biomass conversion and expansion factor</t>
  </si>
  <si>
    <t>1989_Biomass Estimation Methods for Tropical Forests with Applications to Forest (Table 4; pg. 890; minimum value
deducted from lowest limit.: 1.743 - 0.083 = 1.66)</t>
  </si>
  <si>
    <t xml:space="preserve">Wood </t>
  </si>
  <si>
    <t>Root-shoot ratio</t>
  </si>
  <si>
    <t>Pasture</t>
  </si>
  <si>
    <t>2006_Chapter 6_IPCC Guidelines for National Greenhouse Gas Inventories, page 6.27, Table 6.4, tropical-dry</t>
  </si>
  <si>
    <t>CF</t>
  </si>
  <si>
    <t>Carbon fraction of dry matter</t>
  </si>
  <si>
    <r>
      <t>tC t d.m</t>
    </r>
    <r>
      <rPr>
        <vertAlign val="superscript"/>
        <sz val="11"/>
        <color rgb="FF000000"/>
        <rFont val="Calibri"/>
        <family val="2"/>
        <scheme val="minor"/>
      </rPr>
      <t>-1</t>
    </r>
  </si>
  <si>
    <t>2006_Chapter 4_IPCC Guidelines for National Greenhouse Gas Inventories, pg. 4.48, Table 4.3.</t>
  </si>
  <si>
    <t>Coffee</t>
  </si>
  <si>
    <t>2008_Above- and belowground biomass, nutrient and carbon</t>
  </si>
  <si>
    <r>
      <t>tC to tCO</t>
    </r>
    <r>
      <rPr>
        <vertAlign val="subscript"/>
        <sz val="11"/>
        <color theme="1"/>
        <rFont val="Calibri"/>
        <family val="2"/>
        <scheme val="minor"/>
      </rPr>
      <t>2</t>
    </r>
  </si>
  <si>
    <r>
      <t>Tons of carbon to tons of CO</t>
    </r>
    <r>
      <rPr>
        <vertAlign val="subscript"/>
        <sz val="11"/>
        <color rgb="FF000000"/>
        <rFont val="Calibri"/>
        <family val="2"/>
        <scheme val="minor"/>
      </rPr>
      <t>2</t>
    </r>
  </si>
  <si>
    <r>
      <t>tC tCO</t>
    </r>
    <r>
      <rPr>
        <vertAlign val="subscript"/>
        <sz val="11"/>
        <color rgb="FF000000"/>
        <rFont val="Calibri"/>
        <family val="2"/>
        <scheme val="minor"/>
      </rPr>
      <t>2</t>
    </r>
    <r>
      <rPr>
        <vertAlign val="superscript"/>
        <sz val="11"/>
        <color rgb="FF000000"/>
        <rFont val="Calibri"/>
        <family val="2"/>
        <scheme val="minor"/>
      </rPr>
      <t>-1</t>
    </r>
  </si>
  <si>
    <t>Total</t>
  </si>
  <si>
    <r>
      <t>tCO</t>
    </r>
    <r>
      <rPr>
        <vertAlign val="subscript"/>
        <sz val="11"/>
        <color theme="1"/>
        <rFont val="Calibri"/>
        <family val="2"/>
        <scheme val="minor"/>
      </rPr>
      <t xml:space="preserve">2 </t>
    </r>
    <r>
      <rPr>
        <sz val="11"/>
        <color theme="1"/>
        <rFont val="Calibri"/>
        <family val="2"/>
        <scheme val="minor"/>
      </rPr>
      <t>to tC</t>
    </r>
  </si>
  <si>
    <r>
      <t>Tons of CO</t>
    </r>
    <r>
      <rPr>
        <vertAlign val="subscript"/>
        <sz val="11"/>
        <color rgb="FF000000"/>
        <rFont val="Calibri"/>
        <family val="2"/>
        <scheme val="minor"/>
      </rPr>
      <t>2</t>
    </r>
    <r>
      <rPr>
        <sz val="11"/>
        <color rgb="FF000000"/>
        <rFont val="Calibri"/>
        <family val="2"/>
        <scheme val="minor"/>
      </rPr>
      <t xml:space="preserve"> to tons of carbon</t>
    </r>
  </si>
  <si>
    <r>
      <t>tCO</t>
    </r>
    <r>
      <rPr>
        <vertAlign val="subscript"/>
        <sz val="11"/>
        <color rgb="FF000000"/>
        <rFont val="Calibri"/>
        <family val="2"/>
        <scheme val="minor"/>
      </rPr>
      <t>2</t>
    </r>
    <r>
      <rPr>
        <sz val="11"/>
        <color rgb="FF000000"/>
        <rFont val="Calibri"/>
        <family val="2"/>
        <scheme val="minor"/>
      </rPr>
      <t xml:space="preserve"> tC</t>
    </r>
    <r>
      <rPr>
        <vertAlign val="superscript"/>
        <sz val="11"/>
        <color rgb="FF000000"/>
        <rFont val="Calibri"/>
        <family val="2"/>
        <scheme val="minor"/>
      </rPr>
      <t>-1</t>
    </r>
    <r>
      <rPr>
        <sz val="11"/>
        <color rgb="FF000000"/>
        <rFont val="Calibri"/>
        <family val="2"/>
        <scheme val="minor"/>
      </rPr>
      <t xml:space="preserve"> </t>
    </r>
  </si>
  <si>
    <t>Buffer</t>
  </si>
  <si>
    <t>Non-Permanence Risk document (Section 4. Overall Non-Permanence Risk Rating and Buffer Determination)</t>
  </si>
  <si>
    <t xml:space="preserve">Logging </t>
  </si>
  <si>
    <t>LDF</t>
  </si>
  <si>
    <t>Logging damage factor</t>
  </si>
  <si>
    <r>
      <t>t C m</t>
    </r>
    <r>
      <rPr>
        <vertAlign val="superscript"/>
        <sz val="11"/>
        <color rgb="FF000000"/>
        <rFont val="Calibri"/>
        <family val="2"/>
        <scheme val="minor"/>
      </rPr>
      <t>-3</t>
    </r>
  </si>
  <si>
    <t>VMD0015 - Annex 1: To ensure a conservative estimate, for broadleaf and mixed forests a default value of 0.67 t C m-3 may be used</t>
  </si>
  <si>
    <t>LIF</t>
  </si>
  <si>
    <t>Logging infrastructure factor</t>
  </si>
  <si>
    <t>VMD0011-LK-ME-v1.0._default 0.29 t C m-3</t>
  </si>
  <si>
    <r>
      <t>D</t>
    </r>
    <r>
      <rPr>
        <vertAlign val="subscript"/>
        <sz val="11"/>
        <color theme="1"/>
        <rFont val="Calibri"/>
        <family val="2"/>
        <scheme val="minor"/>
      </rPr>
      <t>mn</t>
    </r>
  </si>
  <si>
    <t>Mean wood density of commercially harvested species</t>
  </si>
  <si>
    <r>
      <t>t d.m. m</t>
    </r>
    <r>
      <rPr>
        <vertAlign val="superscript"/>
        <sz val="11"/>
        <color rgb="FF000000"/>
        <rFont val="Calibri"/>
        <family val="2"/>
        <scheme val="minor"/>
      </rPr>
      <t>-3</t>
    </r>
  </si>
  <si>
    <t>Total abouveground biomass trees from update Forest Inventory</t>
  </si>
  <si>
    <t>t</t>
  </si>
  <si>
    <t>Annex: Forest inventory total.xlsx</t>
  </si>
  <si>
    <t>Total commercial (DBH&gt;40 cm) aboveground biomass trees from update Forest Inventory</t>
  </si>
  <si>
    <t>Annex: Forest inventory_DBH 40.xlsx</t>
  </si>
  <si>
    <r>
      <t>PMP</t>
    </r>
    <r>
      <rPr>
        <vertAlign val="subscript"/>
        <sz val="11"/>
        <color theme="1"/>
        <rFont val="Calibri"/>
        <family val="2"/>
        <scheme val="minor"/>
      </rPr>
      <t>i</t>
    </r>
  </si>
  <si>
    <t xml:space="preserve">Merchantable biomass as a proportion of total aboveground tree biomass for stratum i within the project boundary </t>
  </si>
  <si>
    <t>Total volume of wood in the Amazon</t>
  </si>
  <si>
    <r>
      <t>m</t>
    </r>
    <r>
      <rPr>
        <vertAlign val="superscript"/>
        <sz val="11"/>
        <rFont val="Calibri"/>
        <family val="2"/>
        <scheme val="minor"/>
      </rPr>
      <t>3</t>
    </r>
  </si>
  <si>
    <t>2011_Madeira na amazônia_extração, manejo ou reflorestamento.pdf (page 151)</t>
  </si>
  <si>
    <t>Total volume commercial of wood in the Amazon</t>
  </si>
  <si>
    <r>
      <t>PML</t>
    </r>
    <r>
      <rPr>
        <vertAlign val="subscript"/>
        <sz val="11"/>
        <color theme="1"/>
        <rFont val="Calibri"/>
        <family val="2"/>
        <scheme val="minor"/>
      </rPr>
      <t>FT</t>
    </r>
  </si>
  <si>
    <t>Mean merchantable biomass as a proportion of total aboveground tree biomass for each forest type</t>
  </si>
  <si>
    <r>
      <t>PML</t>
    </r>
    <r>
      <rPr>
        <vertAlign val="subscript"/>
        <sz val="11"/>
        <color theme="1"/>
        <rFont val="Calibri"/>
        <family val="2"/>
        <scheme val="minor"/>
      </rPr>
      <t>FT</t>
    </r>
    <r>
      <rPr>
        <sz val="11"/>
        <color theme="1"/>
        <rFont val="Calibri"/>
        <family val="2"/>
        <scheme val="minor"/>
      </rPr>
      <t xml:space="preserve"> - PMP</t>
    </r>
    <r>
      <rPr>
        <vertAlign val="subscript"/>
        <sz val="11"/>
        <color theme="1"/>
        <rFont val="Calibri"/>
        <family val="2"/>
        <scheme val="minor"/>
      </rPr>
      <t>i</t>
    </r>
  </si>
  <si>
    <r>
      <t>LF</t>
    </r>
    <r>
      <rPr>
        <vertAlign val="subscript"/>
        <sz val="11"/>
        <color theme="1"/>
        <rFont val="Calibri"/>
        <family val="2"/>
        <scheme val="minor"/>
      </rPr>
      <t>ME</t>
    </r>
  </si>
  <si>
    <t>Leakage factor for market-effects calculations</t>
  </si>
  <si>
    <t>VMD0011-LK-ME-v1.1</t>
  </si>
  <si>
    <t>LBFOR</t>
  </si>
  <si>
    <t>Leakage Belt area</t>
  </si>
  <si>
    <t>ha</t>
  </si>
  <si>
    <r>
      <t>PROP</t>
    </r>
    <r>
      <rPr>
        <vertAlign val="subscript"/>
        <sz val="11"/>
        <color theme="1"/>
        <rFont val="Calibri"/>
        <family val="2"/>
        <scheme val="minor"/>
      </rPr>
      <t>IMM</t>
    </r>
  </si>
  <si>
    <t>The proportion of baseline deforestation caused by immigrating population</t>
  </si>
  <si>
    <t>proportion</t>
  </si>
  <si>
    <t>Total population (2020)</t>
  </si>
  <si>
    <t>inhab.</t>
  </si>
  <si>
    <t>2020_Population growth</t>
  </si>
  <si>
    <t>Total annual population growth (2015-2020)</t>
  </si>
  <si>
    <r>
      <t>inhab. year</t>
    </r>
    <r>
      <rPr>
        <vertAlign val="superscript"/>
        <sz val="11"/>
        <color theme="1"/>
        <rFont val="Calibri"/>
        <family val="2"/>
        <scheme val="minor"/>
      </rPr>
      <t>-1</t>
    </r>
  </si>
  <si>
    <t>Number of annual deaths (2015-2020)</t>
  </si>
  <si>
    <t>2020_Deaths_Colniza</t>
  </si>
  <si>
    <t>Number of annual births (2015-2020)</t>
  </si>
  <si>
    <t>2020_Nascidos Vivos_MT_Colniza</t>
  </si>
  <si>
    <t>AVFOR</t>
  </si>
  <si>
    <t>Total available national forest area for unplanned deforestation</t>
  </si>
  <si>
    <t>TOTFOR</t>
  </si>
  <si>
    <t>Total available national forest area</t>
  </si>
  <si>
    <t>2021_Municípios da Amazônia Legal; 2022_Unidade de Conservação</t>
  </si>
  <si>
    <t>PROTFOR</t>
  </si>
  <si>
    <t>Total area of fully protected forests nationally</t>
  </si>
  <si>
    <t>2022 _Painel de dados</t>
  </si>
  <si>
    <t>MANFOR</t>
  </si>
  <si>
    <t>Total area of forests under active management nationally</t>
  </si>
  <si>
    <t>2020_Manejo sustentável autorizado pelo Ibama em 2019 totalizou 39 mil hectares</t>
  </si>
  <si>
    <r>
      <t>PROP</t>
    </r>
    <r>
      <rPr>
        <vertAlign val="subscript"/>
        <sz val="11"/>
        <color theme="1"/>
        <rFont val="Calibri"/>
        <family val="2"/>
        <scheme val="minor"/>
      </rPr>
      <t>LB</t>
    </r>
  </si>
  <si>
    <t>Area of forest available for unplanned deforestation as a proportion of the total national forest area available for unplanned deforestation</t>
  </si>
  <si>
    <r>
      <t>C</t>
    </r>
    <r>
      <rPr>
        <vertAlign val="subscript"/>
        <sz val="11"/>
        <color theme="1"/>
        <rFont val="Calibri"/>
        <family val="2"/>
        <scheme val="minor"/>
      </rPr>
      <t>OLB</t>
    </r>
    <r>
      <rPr>
        <sz val="11"/>
        <color theme="1"/>
        <rFont val="Calibri"/>
        <family val="2"/>
        <scheme val="minor"/>
      </rPr>
      <t xml:space="preserve"> </t>
    </r>
  </si>
  <si>
    <t xml:space="preserve">Stock outside the Leakage Belt </t>
  </si>
  <si>
    <r>
      <t>tCO</t>
    </r>
    <r>
      <rPr>
        <vertAlign val="subscript"/>
        <sz val="11"/>
        <color theme="1"/>
        <rFont val="Calibri"/>
        <family val="2"/>
        <scheme val="minor"/>
      </rPr>
      <t>2</t>
    </r>
    <r>
      <rPr>
        <sz val="11"/>
        <color theme="1"/>
        <rFont val="Calibri"/>
        <family val="2"/>
        <scheme val="minor"/>
      </rPr>
      <t>-e ha</t>
    </r>
    <r>
      <rPr>
        <vertAlign val="superscript"/>
        <sz val="11"/>
        <color theme="1"/>
        <rFont val="Calibri"/>
        <family val="2"/>
        <scheme val="minor"/>
      </rPr>
      <t>-1</t>
    </r>
  </si>
  <si>
    <r>
      <t>2007_Distribution of aboveground live biomass in the Amazon (157.66.tC ha</t>
    </r>
    <r>
      <rPr>
        <vertAlign val="superscript"/>
        <sz val="11"/>
        <color theme="1"/>
        <rFont val="Calibri"/>
        <family val="2"/>
        <scheme val="minor"/>
      </rPr>
      <t>-1</t>
    </r>
    <r>
      <rPr>
        <sz val="11"/>
        <color theme="1"/>
        <rFont val="Calibri"/>
        <family val="2"/>
        <scheme val="minor"/>
      </rPr>
      <t>)</t>
    </r>
  </si>
  <si>
    <r>
      <t>C</t>
    </r>
    <r>
      <rPr>
        <vertAlign val="subscript"/>
        <sz val="11"/>
        <color theme="1"/>
        <rFont val="Calibri"/>
        <family val="2"/>
        <scheme val="minor"/>
      </rPr>
      <t>LB</t>
    </r>
  </si>
  <si>
    <t>Average carbon stock across the Leakage Belt above</t>
  </si>
  <si>
    <r>
      <t>PROP</t>
    </r>
    <r>
      <rPr>
        <vertAlign val="subscript"/>
        <sz val="11"/>
        <color theme="1"/>
        <rFont val="Calibri"/>
        <family val="2"/>
        <scheme val="minor"/>
      </rPr>
      <t>CS</t>
    </r>
  </si>
  <si>
    <t>Proportional difference in carbon stocks between areas of forest available for
unplanned deforestation both inside and outside the Leakage Belt</t>
  </si>
  <si>
    <r>
      <t>LK</t>
    </r>
    <r>
      <rPr>
        <vertAlign val="subscript"/>
        <sz val="11"/>
        <color theme="1"/>
        <rFont val="Calibri"/>
        <family val="2"/>
        <scheme val="minor"/>
      </rPr>
      <t>PROP</t>
    </r>
  </si>
  <si>
    <t>Proportional Leakage for Areas with Immigrating Populations.</t>
  </si>
  <si>
    <t>Calculation  - baseline GHG emission</t>
  </si>
  <si>
    <t>PD-Value</t>
  </si>
  <si>
    <r>
      <t>COMF</t>
    </r>
    <r>
      <rPr>
        <vertAlign val="subscript"/>
        <sz val="11"/>
        <color theme="1"/>
        <rFont val="Calibri"/>
        <family val="2"/>
        <scheme val="minor"/>
      </rPr>
      <t>i</t>
    </r>
  </si>
  <si>
    <t>Combustion factor for stratum i (default value derived from Table 2.6 of IPCC, 2006)</t>
  </si>
  <si>
    <t>2006_Chapter2_IPCC Guidelines for National Greenhouse Gas Inventories (Table 2.6, page 2.55)</t>
  </si>
  <si>
    <r>
      <t>Gg,</t>
    </r>
    <r>
      <rPr>
        <vertAlign val="subscript"/>
        <sz val="11"/>
        <color theme="1"/>
        <rFont val="Calibri"/>
        <family val="2"/>
        <scheme val="minor"/>
      </rPr>
      <t>CH4</t>
    </r>
  </si>
  <si>
    <r>
      <t>Emission factor for stratum i for gas g (default values derived from Table 2.5 of IPCC, 2006) - “Tropical forest”: For CH</t>
    </r>
    <r>
      <rPr>
        <vertAlign val="subscript"/>
        <sz val="11"/>
        <color theme="1"/>
        <rFont val="Calibri"/>
        <family val="2"/>
        <scheme val="minor"/>
      </rPr>
      <t>4</t>
    </r>
    <r>
      <rPr>
        <sz val="11"/>
        <color theme="1"/>
        <rFont val="Calibri"/>
        <family val="2"/>
        <scheme val="minor"/>
      </rPr>
      <t xml:space="preserve"> from 6.8 to 2 = 4.8 </t>
    </r>
    <r>
      <rPr>
        <b/>
        <sz val="11"/>
        <color theme="1"/>
        <rFont val="Calibri"/>
        <family val="2"/>
        <scheme val="minor"/>
      </rPr>
      <t>g kg</t>
    </r>
    <r>
      <rPr>
        <b/>
        <vertAlign val="superscript"/>
        <sz val="11"/>
        <color theme="1"/>
        <rFont val="Calibri"/>
        <family val="2"/>
        <scheme val="minor"/>
      </rPr>
      <t>-1</t>
    </r>
    <r>
      <rPr>
        <b/>
        <sz val="11"/>
        <color theme="1"/>
        <rFont val="Calibri"/>
        <family val="2"/>
        <scheme val="minor"/>
      </rPr>
      <t xml:space="preserve"> </t>
    </r>
    <r>
      <rPr>
        <sz val="11"/>
        <color theme="1"/>
        <rFont val="Calibri"/>
        <family val="2"/>
        <scheme val="minor"/>
      </rPr>
      <t>dry matter burnt (conservative); For N</t>
    </r>
    <r>
      <rPr>
        <vertAlign val="subscript"/>
        <sz val="11"/>
        <color theme="1"/>
        <rFont val="Calibri"/>
        <family val="2"/>
        <scheme val="minor"/>
      </rPr>
      <t>2</t>
    </r>
    <r>
      <rPr>
        <sz val="11"/>
        <color theme="1"/>
        <rFont val="Calibri"/>
        <family val="2"/>
        <scheme val="minor"/>
      </rPr>
      <t xml:space="preserve">O: 0.20 </t>
    </r>
    <r>
      <rPr>
        <b/>
        <sz val="11"/>
        <color theme="1"/>
        <rFont val="Calibri"/>
        <family val="2"/>
        <scheme val="minor"/>
      </rPr>
      <t>g kg</t>
    </r>
    <r>
      <rPr>
        <b/>
        <vertAlign val="superscript"/>
        <sz val="11"/>
        <color theme="1"/>
        <rFont val="Calibri"/>
        <family val="2"/>
        <scheme val="minor"/>
      </rPr>
      <t>-1</t>
    </r>
    <r>
      <rPr>
        <sz val="11"/>
        <color theme="1"/>
        <rFont val="Calibri"/>
        <family val="2"/>
        <scheme val="minor"/>
      </rPr>
      <t xml:space="preserve"> dry matter burnt (unique value proposed).</t>
    </r>
  </si>
  <si>
    <r>
      <t>kg t</t>
    </r>
    <r>
      <rPr>
        <vertAlign val="superscript"/>
        <sz val="11"/>
        <color theme="1"/>
        <rFont val="Calibri"/>
        <family val="2"/>
        <scheme val="minor"/>
      </rPr>
      <t>-1</t>
    </r>
  </si>
  <si>
    <t>2006_Chapter2_IPCC Guidelines for National Greenhouse Gas Inventories (Table 2.5, page 2.54)</t>
  </si>
  <si>
    <r>
      <t>Gg,</t>
    </r>
    <r>
      <rPr>
        <vertAlign val="subscript"/>
        <sz val="11"/>
        <color theme="1"/>
        <rFont val="Calibri"/>
        <family val="2"/>
        <scheme val="minor"/>
      </rPr>
      <t>N2O</t>
    </r>
  </si>
  <si>
    <r>
      <t>GWP</t>
    </r>
    <r>
      <rPr>
        <vertAlign val="subscript"/>
        <sz val="11"/>
        <color theme="1"/>
        <rFont val="Calibri"/>
        <family val="2"/>
        <scheme val="minor"/>
      </rPr>
      <t>g,CH4</t>
    </r>
  </si>
  <si>
    <r>
      <t>Global warming potential for gas g; t CO2/t gas g (default values from IPCC SAR: CO</t>
    </r>
    <r>
      <rPr>
        <vertAlign val="subscript"/>
        <sz val="11"/>
        <color theme="1"/>
        <rFont val="Calibri"/>
        <family val="2"/>
        <scheme val="minor"/>
      </rPr>
      <t>2</t>
    </r>
    <r>
      <rPr>
        <sz val="11"/>
        <color theme="1"/>
        <rFont val="Calibri"/>
        <family val="2"/>
        <scheme val="minor"/>
      </rPr>
      <t xml:space="preserve"> = 1; CH</t>
    </r>
    <r>
      <rPr>
        <vertAlign val="subscript"/>
        <sz val="11"/>
        <color theme="1"/>
        <rFont val="Calibri"/>
        <family val="2"/>
        <scheme val="minor"/>
      </rPr>
      <t>4</t>
    </r>
    <r>
      <rPr>
        <sz val="11"/>
        <color theme="1"/>
        <rFont val="Calibri"/>
        <family val="2"/>
        <scheme val="minor"/>
      </rPr>
      <t xml:space="preserve"> = 21; N</t>
    </r>
    <r>
      <rPr>
        <vertAlign val="subscript"/>
        <sz val="11"/>
        <color theme="1"/>
        <rFont val="Calibri"/>
        <family val="2"/>
        <scheme val="minor"/>
      </rPr>
      <t>2</t>
    </r>
    <r>
      <rPr>
        <sz val="11"/>
        <color theme="1"/>
        <rFont val="Calibri"/>
        <family val="2"/>
        <scheme val="minor"/>
      </rPr>
      <t>O = 310)</t>
    </r>
  </si>
  <si>
    <r>
      <t>tCO</t>
    </r>
    <r>
      <rPr>
        <vertAlign val="subscript"/>
        <sz val="11"/>
        <color theme="1"/>
        <rFont val="Calibri"/>
        <family val="2"/>
        <scheme val="minor"/>
      </rPr>
      <t>2</t>
    </r>
    <r>
      <rPr>
        <sz val="11"/>
        <color theme="1"/>
        <rFont val="Calibri"/>
        <family val="2"/>
        <scheme val="minor"/>
      </rPr>
      <t xml:space="preserve"> t</t>
    </r>
    <r>
      <rPr>
        <vertAlign val="subscript"/>
        <sz val="11"/>
        <color theme="1"/>
        <rFont val="Calibri"/>
        <family val="2"/>
        <scheme val="minor"/>
      </rPr>
      <t>gas</t>
    </r>
    <r>
      <rPr>
        <vertAlign val="superscript"/>
        <sz val="11"/>
        <color theme="1"/>
        <rFont val="Calibri"/>
        <family val="2"/>
        <scheme val="minor"/>
      </rPr>
      <t>-1</t>
    </r>
  </si>
  <si>
    <t>2014_AR5_IPCC (Box 3.2, Table 1, page 87); 2014_Global Warming Potential Values</t>
  </si>
  <si>
    <r>
      <t>GWP</t>
    </r>
    <r>
      <rPr>
        <vertAlign val="subscript"/>
        <sz val="11"/>
        <color theme="1"/>
        <rFont val="Calibri"/>
        <family val="2"/>
        <scheme val="minor"/>
      </rPr>
      <t>g,N2O</t>
    </r>
  </si>
  <si>
    <t>Convertion</t>
  </si>
  <si>
    <t>tonnes to kg</t>
  </si>
  <si>
    <t>%_LK</t>
  </si>
  <si>
    <t>If no leakage prevention activities are planned the factor must be equal to 1.</t>
  </si>
  <si>
    <t>PR_VCS_V3_the Leakage Belt in the baseline and in the project case, a 10% factor was considered (i.e. ∆CP,LB was considered to be 10% higher than ∆CBSL,LK,unplanned)</t>
  </si>
  <si>
    <t>MWE</t>
  </si>
  <si>
    <t>Merchantable wood in explonation</t>
  </si>
  <si>
    <r>
      <t>m</t>
    </r>
    <r>
      <rPr>
        <vertAlign val="superscript"/>
        <sz val="11"/>
        <rFont val="Calibri"/>
        <family val="2"/>
        <scheme val="minor"/>
      </rPr>
      <t>3</t>
    </r>
    <r>
      <rPr>
        <sz val="11"/>
        <rFont val="Calibri"/>
        <family val="2"/>
        <scheme val="minor"/>
      </rPr>
      <t xml:space="preserve"> ha</t>
    </r>
    <r>
      <rPr>
        <vertAlign val="superscript"/>
        <sz val="11"/>
        <rFont val="Calibri"/>
        <family val="2"/>
        <scheme val="minor"/>
      </rPr>
      <t>-1</t>
    </r>
  </si>
  <si>
    <t>2001_Impacto da exploração de madeira; 1992_ Logging impacts and prospects for sustainable forest management in an old Amazonian frontier</t>
  </si>
  <si>
    <t>Calculation  - Project emissions reductions</t>
  </si>
  <si>
    <r>
      <t>Average</t>
    </r>
    <r>
      <rPr>
        <vertAlign val="subscript"/>
        <sz val="11"/>
        <rFont val="Calibri"/>
        <family val="2"/>
        <scheme val="minor"/>
      </rPr>
      <t>Trail Lengh</t>
    </r>
  </si>
  <si>
    <t>Average lengh of trail</t>
  </si>
  <si>
    <t>m</t>
  </si>
  <si>
    <t>Annex: Trail Lengh E-mail confirmation.pdf</t>
  </si>
  <si>
    <r>
      <t>Number</t>
    </r>
    <r>
      <rPr>
        <vertAlign val="subscript"/>
        <sz val="11"/>
        <rFont val="Calibri"/>
        <family val="2"/>
        <scheme val="minor"/>
      </rPr>
      <t>Trail Lengh</t>
    </r>
  </si>
  <si>
    <t>Number of trails per deck</t>
  </si>
  <si>
    <t>SK</t>
  </si>
  <si>
    <t>Skid factor</t>
  </si>
  <si>
    <r>
      <t>tCO</t>
    </r>
    <r>
      <rPr>
        <vertAlign val="subscript"/>
        <sz val="11"/>
        <rFont val="Calibri"/>
        <family val="2"/>
        <scheme val="minor"/>
      </rPr>
      <t>2-e</t>
    </r>
    <r>
      <rPr>
        <sz val="11"/>
        <rFont val="Calibri"/>
        <family val="2"/>
        <scheme val="minor"/>
      </rPr>
      <t xml:space="preserve"> m</t>
    </r>
    <r>
      <rPr>
        <vertAlign val="superscript"/>
        <sz val="11"/>
        <rFont val="Calibri"/>
        <family val="2"/>
        <scheme val="minor"/>
      </rPr>
      <t>-1</t>
    </r>
  </si>
  <si>
    <r>
      <t>WW</t>
    </r>
    <r>
      <rPr>
        <vertAlign val="subscript"/>
        <sz val="11"/>
        <color theme="1"/>
        <rFont val="Calibri"/>
        <family val="2"/>
        <scheme val="minor"/>
      </rPr>
      <t>ty</t>
    </r>
  </si>
  <si>
    <t>Wood waste. The fraction immediately emitted through mill inefficiency by class of wood product</t>
  </si>
  <si>
    <t>1998_forestscience0272 (CommodityWoodand Waste, page 278); 2012_TMT-PA-007-11-R1-I-Report</t>
  </si>
  <si>
    <r>
      <t>SLF</t>
    </r>
    <r>
      <rPr>
        <vertAlign val="subscript"/>
        <sz val="11"/>
        <color theme="1"/>
        <rFont val="Calibri"/>
        <family val="2"/>
        <scheme val="minor"/>
      </rPr>
      <t>ty</t>
    </r>
  </si>
  <si>
    <t xml:space="preserve">Fraction of wood products that will be emitted to the atmosphere within 5 years of timber harvest </t>
  </si>
  <si>
    <t>1998_forestscience0272 (Step3. CommodityWood, page 276); 2012_TMT-PA-007-11-R1-I-Report</t>
  </si>
  <si>
    <r>
      <t>OF</t>
    </r>
    <r>
      <rPr>
        <vertAlign val="subscript"/>
        <sz val="11"/>
        <color theme="1"/>
        <rFont val="Calibri"/>
        <family val="2"/>
        <scheme val="minor"/>
      </rPr>
      <t>ty</t>
    </r>
  </si>
  <si>
    <t>Fraction of wood products that will be emitted to the atmosphere between 5 and 100 years of timber harvest</t>
  </si>
  <si>
    <r>
      <t>V</t>
    </r>
    <r>
      <rPr>
        <vertAlign val="subscript"/>
        <sz val="11"/>
        <color theme="1"/>
        <rFont val="Calibri"/>
        <family val="2"/>
        <scheme val="minor"/>
      </rPr>
      <t>BSL</t>
    </r>
  </si>
  <si>
    <t>Volume of timber projected to be extracted from within the project during baseline</t>
  </si>
  <si>
    <r>
      <t>W</t>
    </r>
    <r>
      <rPr>
        <vertAlign val="subscript"/>
        <sz val="11"/>
        <rFont val="Calibri"/>
        <family val="2"/>
        <scheme val="minor"/>
      </rPr>
      <t>SKID</t>
    </r>
  </si>
  <si>
    <t>Mean width of skid trails in stratum i</t>
  </si>
  <si>
    <t>Skidder Width</t>
  </si>
  <si>
    <t>Skidder (2.6 m) times 140% was used</t>
  </si>
  <si>
    <r>
      <t>C</t>
    </r>
    <r>
      <rPr>
        <vertAlign val="subscript"/>
        <sz val="11"/>
        <rFont val="Calibri"/>
        <family val="2"/>
        <scheme val="minor"/>
      </rPr>
      <t>dest,i</t>
    </r>
  </si>
  <si>
    <t>Mean live carbon stock of trees and non-tree biomass assumed to be killed per unit area in creation of skid trail in stratum i</t>
  </si>
  <si>
    <r>
      <t>∆C</t>
    </r>
    <r>
      <rPr>
        <vertAlign val="subscript"/>
        <sz val="11"/>
        <rFont val="Calibri"/>
        <family val="2"/>
        <scheme val="minor"/>
      </rPr>
      <t>SOC_sk,i</t>
    </r>
  </si>
  <si>
    <t>Soil carbon emission</t>
  </si>
  <si>
    <t>Conservative</t>
  </si>
  <si>
    <t xml:space="preserve"> Annual baseline deforestation per stratum (ha) </t>
  </si>
  <si>
    <t>Years</t>
  </si>
  <si>
    <t>TOTAL</t>
  </si>
  <si>
    <t>Note:</t>
  </si>
  <si>
    <t xml:space="preserve">Project Area without UPA's: Like in 2019, 2020, and 2021 the FSM project didn't have FSC (Forest Stewardship Council) certification. The areas contemplated by the Annual Production Unit (Unidade de Produção Anual - UPA) for the specificity year did not consider in the calculation. However, from May 25th, 2022, the FSC certification was recovered. The values of 2022 are just a projection based on management in recent years. Hence, the baseline deforestation per stratum in (i) 2019, 2020, and 2021 contemplate the project area without UPA area for the corresponding year, and (ii) 2022, 2023, and 2024 contemplate the project area because the projection of management emissions was considered for these years. </t>
  </si>
  <si>
    <t>Project Area without UPA's</t>
  </si>
  <si>
    <t>Aluvial</t>
  </si>
  <si>
    <t>Encosta</t>
  </si>
  <si>
    <t>FOB Densa Submontana</t>
  </si>
  <si>
    <t>FOB Submontana</t>
  </si>
  <si>
    <r>
      <t>A</t>
    </r>
    <r>
      <rPr>
        <b/>
        <vertAlign val="subscript"/>
        <sz val="11"/>
        <color theme="1"/>
        <rFont val="Calibri"/>
        <family val="2"/>
        <scheme val="minor"/>
      </rPr>
      <t>BSLPAt annual</t>
    </r>
  </si>
  <si>
    <r>
      <t>A</t>
    </r>
    <r>
      <rPr>
        <b/>
        <vertAlign val="subscript"/>
        <sz val="11"/>
        <color theme="1"/>
        <rFont val="Calibri"/>
        <family val="2"/>
        <scheme val="minor"/>
      </rPr>
      <t>BSLPA cumulative</t>
    </r>
  </si>
  <si>
    <t>Project Area</t>
  </si>
  <si>
    <t>FOB Submontana Cipó</t>
  </si>
  <si>
    <t>Project area_observed</t>
  </si>
  <si>
    <r>
      <t>A</t>
    </r>
    <r>
      <rPr>
        <b/>
        <vertAlign val="subscript"/>
        <sz val="11"/>
        <color theme="1"/>
        <rFont val="Calibri"/>
        <family val="2"/>
        <scheme val="minor"/>
      </rPr>
      <t>burnPA,i,t</t>
    </r>
    <r>
      <rPr>
        <b/>
        <sz val="11"/>
        <color theme="1"/>
        <rFont val="Calibri"/>
        <family val="2"/>
        <scheme val="minor"/>
      </rPr>
      <t xml:space="preserve"> </t>
    </r>
  </si>
  <si>
    <r>
      <t>A</t>
    </r>
    <r>
      <rPr>
        <b/>
        <vertAlign val="subscript"/>
        <sz val="11"/>
        <color theme="1"/>
        <rFont val="Calibri"/>
        <family val="2"/>
        <scheme val="minor"/>
      </rPr>
      <t>BurnPA,i,t cumulative</t>
    </r>
  </si>
  <si>
    <r>
      <t>A</t>
    </r>
    <r>
      <rPr>
        <b/>
        <vertAlign val="subscript"/>
        <sz val="11"/>
        <color theme="1"/>
        <rFont val="Calibri"/>
        <family val="2"/>
        <scheme val="minor"/>
      </rPr>
      <t>DelfPA,i,t</t>
    </r>
    <r>
      <rPr>
        <b/>
        <sz val="11"/>
        <color theme="1"/>
        <rFont val="Calibri"/>
        <family val="2"/>
        <scheme val="minor"/>
      </rPr>
      <t xml:space="preserve"> </t>
    </r>
  </si>
  <si>
    <r>
      <t>A</t>
    </r>
    <r>
      <rPr>
        <b/>
        <vertAlign val="subscript"/>
        <sz val="11"/>
        <color theme="1"/>
        <rFont val="Calibri"/>
        <family val="2"/>
        <scheme val="minor"/>
      </rPr>
      <t>DelfPA,i,t cumulative</t>
    </r>
  </si>
  <si>
    <t>Leakage Belt_projected</t>
  </si>
  <si>
    <t>(Fe)Floresta Ombrofila Densa Submontana</t>
  </si>
  <si>
    <t>(Fo)Floresta Ombrofila Aberta Submontana</t>
  </si>
  <si>
    <t>(FoFe) Contato</t>
  </si>
  <si>
    <r>
      <t>A</t>
    </r>
    <r>
      <rPr>
        <b/>
        <vertAlign val="subscript"/>
        <sz val="11"/>
        <color theme="1"/>
        <rFont val="Calibri"/>
        <family val="2"/>
        <scheme val="minor"/>
      </rPr>
      <t>BSLLBt annual</t>
    </r>
  </si>
  <si>
    <r>
      <t>A</t>
    </r>
    <r>
      <rPr>
        <b/>
        <vertAlign val="subscript"/>
        <sz val="11"/>
        <color theme="1"/>
        <rFont val="Calibri"/>
        <family val="2"/>
        <scheme val="minor"/>
      </rPr>
      <t>BSLLB cumulative</t>
    </r>
  </si>
  <si>
    <t>Leakage Belt_observed</t>
  </si>
  <si>
    <r>
      <t>A</t>
    </r>
    <r>
      <rPr>
        <b/>
        <vertAlign val="subscript"/>
        <sz val="11"/>
        <color theme="1"/>
        <rFont val="Calibri"/>
        <family val="2"/>
        <scheme val="minor"/>
      </rPr>
      <t>burnLK,i,t</t>
    </r>
    <r>
      <rPr>
        <b/>
        <sz val="11"/>
        <color theme="1"/>
        <rFont val="Calibri"/>
        <family val="2"/>
        <scheme val="minor"/>
      </rPr>
      <t xml:space="preserve"> </t>
    </r>
  </si>
  <si>
    <r>
      <t>A</t>
    </r>
    <r>
      <rPr>
        <b/>
        <vertAlign val="subscript"/>
        <sz val="11"/>
        <color theme="1"/>
        <rFont val="Calibri"/>
        <family val="2"/>
        <scheme val="minor"/>
      </rPr>
      <t>BurnLK,i,t cumulative</t>
    </r>
  </si>
  <si>
    <r>
      <t>A</t>
    </r>
    <r>
      <rPr>
        <b/>
        <vertAlign val="subscript"/>
        <sz val="11"/>
        <color theme="1"/>
        <rFont val="Calibri"/>
        <family val="2"/>
        <scheme val="minor"/>
      </rPr>
      <t>DelfLB,i,t</t>
    </r>
  </si>
  <si>
    <r>
      <t>A</t>
    </r>
    <r>
      <rPr>
        <b/>
        <vertAlign val="subscript"/>
        <sz val="11"/>
        <color theme="1"/>
        <rFont val="Calibri"/>
        <family val="2"/>
        <scheme val="minor"/>
      </rPr>
      <t>DelfLB,i,t cumulative</t>
    </r>
  </si>
  <si>
    <t>Update of the second baseline biomass inventory - Survey carried out by the company Brcarbon</t>
  </si>
  <si>
    <t>Stratum - Total</t>
  </si>
  <si>
    <r>
      <t>t* 0.25 ha</t>
    </r>
    <r>
      <rPr>
        <b/>
        <vertAlign val="superscript"/>
        <sz val="11"/>
        <color theme="1"/>
        <rFont val="Calibri"/>
        <family val="2"/>
        <scheme val="minor"/>
      </rPr>
      <t>-1</t>
    </r>
  </si>
  <si>
    <r>
      <t>t ha</t>
    </r>
    <r>
      <rPr>
        <b/>
        <vertAlign val="superscript"/>
        <sz val="11"/>
        <color theme="1"/>
        <rFont val="Calibri"/>
        <family val="2"/>
        <scheme val="minor"/>
      </rPr>
      <t>-1</t>
    </r>
  </si>
  <si>
    <r>
      <t>tCO</t>
    </r>
    <r>
      <rPr>
        <b/>
        <vertAlign val="subscript"/>
        <sz val="11"/>
        <color theme="1"/>
        <rFont val="Calibri"/>
        <family val="2"/>
        <scheme val="minor"/>
      </rPr>
      <t>2</t>
    </r>
    <r>
      <rPr>
        <b/>
        <sz val="11"/>
        <color theme="1"/>
        <rFont val="Calibri"/>
        <family val="2"/>
        <scheme val="minor"/>
      </rPr>
      <t xml:space="preserve"> ha</t>
    </r>
    <r>
      <rPr>
        <b/>
        <vertAlign val="superscript"/>
        <sz val="11"/>
        <color theme="1"/>
        <rFont val="Calibri"/>
        <family val="2"/>
        <scheme val="minor"/>
      </rPr>
      <t>-1</t>
    </r>
  </si>
  <si>
    <t xml:space="preserve"> t.0.25ha</t>
  </si>
  <si>
    <t>Annex: SOP - Standard Operating Procedure.pdf</t>
  </si>
  <si>
    <t>Stratum - DBH 40</t>
  </si>
  <si>
    <r>
      <t>Biomass volume estimation (m</t>
    </r>
    <r>
      <rPr>
        <b/>
        <vertAlign val="superscript"/>
        <sz val="11"/>
        <color theme="0"/>
        <rFont val="Calibri"/>
        <family val="2"/>
        <scheme val="minor"/>
      </rPr>
      <t>3</t>
    </r>
    <r>
      <rPr>
        <b/>
        <sz val="11"/>
        <color theme="0"/>
        <rFont val="Calibri"/>
        <family val="2"/>
        <scheme val="minor"/>
      </rPr>
      <t>)</t>
    </r>
  </si>
  <si>
    <t>VMD0005-CP-W-v1.1</t>
  </si>
  <si>
    <t>Stratum</t>
  </si>
  <si>
    <t>FOB submontana</t>
  </si>
  <si>
    <t xml:space="preserve">Aboveground (total) </t>
  </si>
  <si>
    <r>
      <t>t ha</t>
    </r>
    <r>
      <rPr>
        <vertAlign val="superscript"/>
        <sz val="11"/>
        <color theme="1"/>
        <rFont val="Calibri"/>
        <family val="2"/>
        <scheme val="minor"/>
      </rPr>
      <t>-1</t>
    </r>
  </si>
  <si>
    <t>Stratum area</t>
  </si>
  <si>
    <t>Belowground (total)</t>
  </si>
  <si>
    <t>Area distribution</t>
  </si>
  <si>
    <t>Aboveground (total)</t>
  </si>
  <si>
    <r>
      <t>tCO</t>
    </r>
    <r>
      <rPr>
        <vertAlign val="subscript"/>
        <sz val="11"/>
        <color theme="1"/>
        <rFont val="Calibri"/>
        <family val="2"/>
        <scheme val="minor"/>
      </rPr>
      <t>2-e</t>
    </r>
    <r>
      <rPr>
        <sz val="11"/>
        <color theme="1"/>
        <rFont val="Calibri"/>
        <family val="2"/>
        <scheme val="minor"/>
      </rPr>
      <t xml:space="preserve"> ha</t>
    </r>
    <r>
      <rPr>
        <vertAlign val="superscript"/>
        <sz val="11"/>
        <color theme="1"/>
        <rFont val="Calibri"/>
        <family val="2"/>
        <scheme val="minor"/>
      </rPr>
      <t>-1</t>
    </r>
  </si>
  <si>
    <t>Total ABG per stratum</t>
  </si>
  <si>
    <t xml:space="preserve">Belowground (total) </t>
  </si>
  <si>
    <t>Total BLG per stratum</t>
  </si>
  <si>
    <t>Total Carbon Stock</t>
  </si>
  <si>
    <r>
      <t>tCO</t>
    </r>
    <r>
      <rPr>
        <b/>
        <vertAlign val="subscript"/>
        <sz val="11"/>
        <color theme="1"/>
        <rFont val="Calibri"/>
        <family val="2"/>
        <scheme val="minor"/>
      </rPr>
      <t>2-e</t>
    </r>
    <r>
      <rPr>
        <b/>
        <sz val="11"/>
        <color theme="1"/>
        <rFont val="Calibri"/>
        <family val="2"/>
        <scheme val="minor"/>
      </rPr>
      <t xml:space="preserve"> ha</t>
    </r>
    <r>
      <rPr>
        <b/>
        <vertAlign val="superscript"/>
        <sz val="11"/>
        <color theme="1"/>
        <rFont val="Calibri"/>
        <family val="2"/>
        <scheme val="minor"/>
      </rPr>
      <t>-1</t>
    </r>
  </si>
  <si>
    <t xml:space="preserve">Carbon Pool_Aboveground per stratum </t>
  </si>
  <si>
    <r>
      <t>tCO</t>
    </r>
    <r>
      <rPr>
        <vertAlign val="subscript"/>
        <sz val="11"/>
        <color theme="1"/>
        <rFont val="Calibri"/>
        <family val="2"/>
        <scheme val="minor"/>
      </rPr>
      <t>2-e</t>
    </r>
  </si>
  <si>
    <t>Carbon Pool_Belowground per stratum</t>
  </si>
  <si>
    <r>
      <t>C</t>
    </r>
    <r>
      <rPr>
        <b/>
        <vertAlign val="subscript"/>
        <sz val="11"/>
        <color theme="1"/>
        <rFont val="Calibri"/>
        <family val="2"/>
        <scheme val="minor"/>
      </rPr>
      <t>ABtree,i</t>
    </r>
  </si>
  <si>
    <r>
      <t>C</t>
    </r>
    <r>
      <rPr>
        <b/>
        <vertAlign val="subscript"/>
        <sz val="11"/>
        <color theme="1"/>
        <rFont val="Calibri"/>
        <family val="2"/>
        <scheme val="minor"/>
      </rPr>
      <t>BBtree,i</t>
    </r>
  </si>
  <si>
    <t>Project management area</t>
  </si>
  <si>
    <r>
      <t>C</t>
    </r>
    <r>
      <rPr>
        <b/>
        <vertAlign val="subscript"/>
        <sz val="11"/>
        <color theme="1"/>
        <rFont val="Calibri"/>
        <family val="2"/>
        <scheme val="minor"/>
      </rPr>
      <t>BSL,i</t>
    </r>
  </si>
  <si>
    <r>
      <t>C</t>
    </r>
    <r>
      <rPr>
        <b/>
        <vertAlign val="subscript"/>
        <sz val="11"/>
        <color theme="1"/>
        <rFont val="Calibri"/>
        <family val="2"/>
        <scheme val="minor"/>
      </rPr>
      <t>DW,i</t>
    </r>
  </si>
  <si>
    <t xml:space="preserve">Aboveground biomass weighted average </t>
  </si>
  <si>
    <r>
      <t>P</t>
    </r>
    <r>
      <rPr>
        <b/>
        <vertAlign val="subscript"/>
        <sz val="11"/>
        <color theme="1"/>
        <rFont val="Calibri"/>
        <family val="2"/>
        <scheme val="minor"/>
      </rPr>
      <t>com</t>
    </r>
  </si>
  <si>
    <r>
      <t>m</t>
    </r>
    <r>
      <rPr>
        <vertAlign val="superscript"/>
        <sz val="11"/>
        <color theme="1"/>
        <rFont val="Calibri"/>
        <family val="2"/>
        <scheme val="minor"/>
      </rPr>
      <t>3</t>
    </r>
    <r>
      <rPr>
        <sz val="11"/>
        <color theme="1"/>
        <rFont val="Calibri"/>
        <family val="2"/>
        <scheme val="minor"/>
      </rPr>
      <t xml:space="preserve"> tCO</t>
    </r>
    <r>
      <rPr>
        <vertAlign val="subscript"/>
        <sz val="11"/>
        <color theme="1"/>
        <rFont val="Calibri"/>
        <family val="2"/>
        <scheme val="minor"/>
      </rPr>
      <t>2-e</t>
    </r>
    <r>
      <rPr>
        <vertAlign val="superscript"/>
        <sz val="11"/>
        <color theme="1"/>
        <rFont val="Calibri"/>
        <family val="2"/>
        <scheme val="minor"/>
      </rPr>
      <t>-1</t>
    </r>
  </si>
  <si>
    <t xml:space="preserve">Total biomass weighted average </t>
  </si>
  <si>
    <r>
      <t>C</t>
    </r>
    <r>
      <rPr>
        <b/>
        <vertAlign val="subscript"/>
        <sz val="11"/>
        <color theme="1"/>
        <rFont val="Calibri"/>
        <family val="2"/>
        <scheme val="minor"/>
      </rPr>
      <t>XB</t>
    </r>
  </si>
  <si>
    <r>
      <t>C</t>
    </r>
    <r>
      <rPr>
        <b/>
        <vertAlign val="subscript"/>
        <sz val="11"/>
        <color theme="1"/>
        <rFont val="Calibri"/>
        <family val="2"/>
        <scheme val="minor"/>
      </rPr>
      <t>WP</t>
    </r>
  </si>
  <si>
    <r>
      <t>C</t>
    </r>
    <r>
      <rPr>
        <b/>
        <vertAlign val="subscript"/>
        <sz val="11"/>
        <color theme="1"/>
        <rFont val="Calibri"/>
        <family val="2"/>
        <scheme val="minor"/>
      </rPr>
      <t>WP</t>
    </r>
    <r>
      <rPr>
        <b/>
        <sz val="11"/>
        <color theme="1"/>
        <rFont val="Calibri"/>
        <family val="2"/>
        <scheme val="minor"/>
      </rPr>
      <t xml:space="preserve"> </t>
    </r>
    <r>
      <rPr>
        <b/>
        <vertAlign val="subscript"/>
        <sz val="11"/>
        <color theme="1"/>
        <rFont val="Calibri"/>
        <family val="2"/>
        <scheme val="minor"/>
      </rPr>
      <t>AVERAGE</t>
    </r>
  </si>
  <si>
    <t>First Forest Inventory (2010)</t>
  </si>
  <si>
    <t>Second Forest Inventory (2022)</t>
  </si>
  <si>
    <t>Aboveground</t>
  </si>
  <si>
    <t>Belowground</t>
  </si>
  <si>
    <t>t/ha</t>
  </si>
  <si>
    <t>Annual baseline deforestation for the project area per stratum (ha)</t>
  </si>
  <si>
    <t>Year</t>
  </si>
  <si>
    <t>Area</t>
  </si>
  <si>
    <r>
      <t>A</t>
    </r>
    <r>
      <rPr>
        <b/>
        <vertAlign val="subscript"/>
        <sz val="11"/>
        <color theme="1"/>
        <rFont val="Arial"/>
        <family val="2"/>
      </rPr>
      <t>BSLPAcumulative</t>
    </r>
  </si>
  <si>
    <r>
      <t>tCO</t>
    </r>
    <r>
      <rPr>
        <b/>
        <vertAlign val="subscript"/>
        <sz val="8"/>
        <color theme="1"/>
        <rFont val="Arial"/>
        <family val="2"/>
      </rPr>
      <t>2</t>
    </r>
    <r>
      <rPr>
        <b/>
        <sz val="8"/>
        <color theme="1"/>
        <rFont val="Arial"/>
        <family val="2"/>
      </rPr>
      <t>-e ha</t>
    </r>
    <r>
      <rPr>
        <b/>
        <vertAlign val="superscript"/>
        <sz val="8"/>
        <color theme="1"/>
        <rFont val="Arial"/>
        <family val="2"/>
      </rPr>
      <t>-1</t>
    </r>
    <r>
      <rPr>
        <b/>
        <sz val="8"/>
        <color theme="1"/>
        <rFont val="Arial"/>
        <family val="2"/>
      </rPr>
      <t xml:space="preserve"> year</t>
    </r>
    <r>
      <rPr>
        <b/>
        <vertAlign val="superscript"/>
        <sz val="8"/>
        <color theme="1"/>
        <rFont val="Arial"/>
        <family val="2"/>
      </rPr>
      <t>-1</t>
    </r>
  </si>
  <si>
    <t>Total Accumulated</t>
  </si>
  <si>
    <r>
      <t>tCO</t>
    </r>
    <r>
      <rPr>
        <b/>
        <vertAlign val="subscript"/>
        <sz val="8"/>
        <color theme="1"/>
        <rFont val="Calibri"/>
        <family val="2"/>
        <scheme val="minor"/>
      </rPr>
      <t>2</t>
    </r>
    <r>
      <rPr>
        <b/>
        <sz val="8"/>
        <color theme="1"/>
        <rFont val="Calibri"/>
        <family val="2"/>
        <scheme val="minor"/>
      </rPr>
      <t>-e</t>
    </r>
  </si>
  <si>
    <t>Total (sum of stratum)</t>
  </si>
  <si>
    <t>Annual baseline deforestation for the project area (ha)</t>
  </si>
  <si>
    <t>Baseline Emissions from Deforestation</t>
  </si>
  <si>
    <t>Sum of Strata</t>
  </si>
  <si>
    <r>
      <t>A</t>
    </r>
    <r>
      <rPr>
        <b/>
        <vertAlign val="subscript"/>
        <sz val="11"/>
        <color theme="1"/>
        <rFont val="Calibri"/>
        <family val="2"/>
        <scheme val="minor"/>
      </rPr>
      <t>BSLPA,cumulative</t>
    </r>
  </si>
  <si>
    <t>Total Accumulative</t>
  </si>
  <si>
    <t>BL-GHG</t>
  </si>
  <si>
    <r>
      <t>A</t>
    </r>
    <r>
      <rPr>
        <b/>
        <vertAlign val="subscript"/>
        <sz val="8"/>
        <color theme="1"/>
        <rFont val="Calibri"/>
        <family val="2"/>
        <scheme val="minor"/>
      </rPr>
      <t>BSL,PA,annual,t</t>
    </r>
    <r>
      <rPr>
        <b/>
        <sz val="8"/>
        <color theme="1"/>
        <rFont val="Calibri"/>
        <family val="2"/>
        <scheme val="minor"/>
      </rPr>
      <t xml:space="preserve"> = A</t>
    </r>
    <r>
      <rPr>
        <b/>
        <vertAlign val="subscript"/>
        <sz val="8"/>
        <color theme="1"/>
        <rFont val="Calibri"/>
        <family val="2"/>
        <scheme val="minor"/>
      </rPr>
      <t>Burn,i,t</t>
    </r>
  </si>
  <si>
    <r>
      <t>A</t>
    </r>
    <r>
      <rPr>
        <b/>
        <vertAlign val="subscript"/>
        <sz val="8"/>
        <color theme="1"/>
        <rFont val="Calibri"/>
        <family val="2"/>
        <scheme val="minor"/>
      </rPr>
      <t>BSL,PA,cumulative</t>
    </r>
  </si>
  <si>
    <r>
      <t>Biomass Burning Emissions (CH</t>
    </r>
    <r>
      <rPr>
        <b/>
        <vertAlign val="subscript"/>
        <sz val="8"/>
        <color theme="1"/>
        <rFont val="Calibri"/>
        <family val="2"/>
        <scheme val="minor"/>
      </rPr>
      <t>4</t>
    </r>
    <r>
      <rPr>
        <b/>
        <sz val="8"/>
        <color theme="1"/>
        <rFont val="Calibri"/>
        <family val="2"/>
        <scheme val="minor"/>
      </rPr>
      <t>)</t>
    </r>
  </si>
  <si>
    <r>
      <t>E-CH</t>
    </r>
    <r>
      <rPr>
        <b/>
        <vertAlign val="subscript"/>
        <sz val="8"/>
        <color theme="1"/>
        <rFont val="Calibri"/>
        <family val="2"/>
        <scheme val="minor"/>
      </rPr>
      <t xml:space="preserve">4 </t>
    </r>
    <r>
      <rPr>
        <b/>
        <sz val="8"/>
        <color theme="1"/>
        <rFont val="Calibri"/>
        <family val="2"/>
        <scheme val="minor"/>
      </rPr>
      <t>Biomass Burning</t>
    </r>
  </si>
  <si>
    <r>
      <t>E-CH</t>
    </r>
    <r>
      <rPr>
        <b/>
        <vertAlign val="subscript"/>
        <sz val="8"/>
        <color theme="1"/>
        <rFont val="Calibri"/>
        <family val="2"/>
        <scheme val="minor"/>
      </rPr>
      <t xml:space="preserve">4 </t>
    </r>
    <r>
      <rPr>
        <b/>
        <sz val="8"/>
        <color theme="1"/>
        <rFont val="Calibri"/>
        <family val="2"/>
        <scheme val="minor"/>
      </rPr>
      <t>Biomass Burning Accumulative</t>
    </r>
  </si>
  <si>
    <r>
      <t>Biomass Burning Emissions (N</t>
    </r>
    <r>
      <rPr>
        <b/>
        <vertAlign val="subscript"/>
        <sz val="8"/>
        <color theme="1"/>
        <rFont val="Calibri"/>
        <family val="2"/>
        <scheme val="minor"/>
      </rPr>
      <t>2</t>
    </r>
    <r>
      <rPr>
        <b/>
        <sz val="8"/>
        <color theme="1"/>
        <rFont val="Calibri"/>
        <family val="2"/>
        <scheme val="minor"/>
      </rPr>
      <t>O)</t>
    </r>
  </si>
  <si>
    <r>
      <t>E-N</t>
    </r>
    <r>
      <rPr>
        <b/>
        <vertAlign val="subscript"/>
        <sz val="8"/>
        <color theme="1"/>
        <rFont val="Calibri"/>
        <family val="2"/>
        <scheme val="minor"/>
      </rPr>
      <t>2</t>
    </r>
    <r>
      <rPr>
        <b/>
        <sz val="8"/>
        <color theme="1"/>
        <rFont val="Calibri"/>
        <family val="2"/>
        <scheme val="minor"/>
      </rPr>
      <t>O Biomass Burning</t>
    </r>
  </si>
  <si>
    <r>
      <t>E-N</t>
    </r>
    <r>
      <rPr>
        <b/>
        <vertAlign val="subscript"/>
        <sz val="8"/>
        <color theme="1"/>
        <rFont val="Calibri"/>
        <family val="2"/>
        <scheme val="minor"/>
      </rPr>
      <t>2</t>
    </r>
    <r>
      <rPr>
        <b/>
        <sz val="8"/>
        <color theme="1"/>
        <rFont val="Calibri"/>
        <family val="2"/>
        <scheme val="minor"/>
      </rPr>
      <t>O Biomass Burning Accumulative</t>
    </r>
  </si>
  <si>
    <t>E-Biomass Burning = GHGP,E,i,t</t>
  </si>
  <si>
    <t>Wood products carbon pool</t>
  </si>
  <si>
    <t>E-Wood Carbon Pool</t>
  </si>
  <si>
    <t>E-Wood Carbon pool Accumulative</t>
  </si>
  <si>
    <t>Pasture Carbon Pool</t>
  </si>
  <si>
    <t>E-Pasture Carbon Pool</t>
  </si>
  <si>
    <t>E-Pasture Carbon pool Accumulative</t>
  </si>
  <si>
    <t>Coffee Carbon Pool</t>
  </si>
  <si>
    <t>E-Coffee Carbon Pool</t>
  </si>
  <si>
    <t>E-Coffee Carbon pool Accumulative</t>
  </si>
  <si>
    <t>Total BL-GHG</t>
  </si>
  <si>
    <t>Weighted average</t>
  </si>
  <si>
    <r>
      <t>tCO</t>
    </r>
    <r>
      <rPr>
        <b/>
        <vertAlign val="subscript"/>
        <sz val="10"/>
        <color theme="0"/>
        <rFont val="Calibri"/>
        <family val="2"/>
        <scheme val="minor"/>
      </rPr>
      <t>2</t>
    </r>
    <r>
      <rPr>
        <b/>
        <sz val="10"/>
        <color theme="0"/>
        <rFont val="Calibri"/>
        <family val="2"/>
        <scheme val="minor"/>
      </rPr>
      <t>-e ha</t>
    </r>
    <r>
      <rPr>
        <b/>
        <vertAlign val="superscript"/>
        <sz val="10"/>
        <color theme="0"/>
        <rFont val="Calibri"/>
        <family val="2"/>
        <scheme val="minor"/>
      </rPr>
      <t>-1</t>
    </r>
  </si>
  <si>
    <r>
      <t>tonnes d.m. ha</t>
    </r>
    <r>
      <rPr>
        <b/>
        <vertAlign val="superscript"/>
        <sz val="11"/>
        <color theme="0"/>
        <rFont val="Calibri"/>
        <family val="2"/>
        <scheme val="minor"/>
      </rPr>
      <t>-1</t>
    </r>
  </si>
  <si>
    <r>
      <t>tCO</t>
    </r>
    <r>
      <rPr>
        <b/>
        <vertAlign val="subscript"/>
        <sz val="10"/>
        <color theme="1"/>
        <rFont val="Calibri"/>
        <family val="2"/>
        <scheme val="minor"/>
      </rPr>
      <t>2</t>
    </r>
    <r>
      <rPr>
        <b/>
        <sz val="10"/>
        <color theme="1"/>
        <rFont val="Calibri"/>
        <family val="2"/>
        <scheme val="minor"/>
      </rPr>
      <t>-e ha</t>
    </r>
    <r>
      <rPr>
        <b/>
        <vertAlign val="superscript"/>
        <sz val="10"/>
        <color theme="1"/>
        <rFont val="Calibri"/>
        <family val="2"/>
        <scheme val="minor"/>
      </rPr>
      <t>-1</t>
    </r>
  </si>
  <si>
    <t>VDM0006_BL-PL_ V1.3</t>
  </si>
  <si>
    <t>% in relation to the total</t>
  </si>
  <si>
    <t>Project emissions reductions (PER)</t>
  </si>
  <si>
    <t>VMD0015-M-MON-v2.1</t>
  </si>
  <si>
    <t xml:space="preserve">VMD0005-CP-W-v1.1 </t>
  </si>
  <si>
    <t>Values of the last three years of wood management in the project area</t>
  </si>
  <si>
    <t>Avarage</t>
  </si>
  <si>
    <t>Logging emissions</t>
  </si>
  <si>
    <t>Total area explored</t>
  </si>
  <si>
    <r>
      <t>ha year</t>
    </r>
    <r>
      <rPr>
        <b/>
        <vertAlign val="superscript"/>
        <sz val="11"/>
        <color theme="1"/>
        <rFont val="Calibri"/>
        <family val="2"/>
        <scheme val="minor"/>
      </rPr>
      <t>-1</t>
    </r>
  </si>
  <si>
    <t>Annex: Forest movement report.pdf</t>
  </si>
  <si>
    <r>
      <t>Volume</t>
    </r>
    <r>
      <rPr>
        <b/>
        <vertAlign val="subscript"/>
        <sz val="11"/>
        <color theme="1"/>
        <rFont val="Calibri"/>
        <family val="2"/>
        <scheme val="minor"/>
      </rPr>
      <t>Extracted_Wood</t>
    </r>
  </si>
  <si>
    <r>
      <t>m</t>
    </r>
    <r>
      <rPr>
        <b/>
        <vertAlign val="superscript"/>
        <sz val="11"/>
        <color theme="1"/>
        <rFont val="Calibri"/>
        <family val="2"/>
        <scheme val="minor"/>
      </rPr>
      <t>3</t>
    </r>
    <r>
      <rPr>
        <b/>
        <sz val="11"/>
        <color theme="1"/>
        <rFont val="Calibri"/>
        <family val="2"/>
        <scheme val="minor"/>
      </rPr>
      <t xml:space="preserve"> ha</t>
    </r>
    <r>
      <rPr>
        <b/>
        <vertAlign val="superscript"/>
        <sz val="11"/>
        <color theme="1"/>
        <rFont val="Calibri"/>
        <family val="2"/>
        <scheme val="minor"/>
      </rPr>
      <t>-1</t>
    </r>
  </si>
  <si>
    <t xml:space="preserve">The conservative approach was used considering the maximum volume possible of extracted wood following Brazilian federal law nº 12.651 </t>
  </si>
  <si>
    <r>
      <t>V</t>
    </r>
    <r>
      <rPr>
        <b/>
        <vertAlign val="subscript"/>
        <sz val="11"/>
        <color theme="1"/>
        <rFont val="Calibri"/>
        <family val="2"/>
        <scheme val="minor"/>
      </rPr>
      <t>ext</t>
    </r>
  </si>
  <si>
    <r>
      <t>m</t>
    </r>
    <r>
      <rPr>
        <b/>
        <vertAlign val="superscript"/>
        <sz val="11"/>
        <rFont val="Calibri"/>
        <family val="2"/>
        <scheme val="minor"/>
      </rPr>
      <t>3</t>
    </r>
    <r>
      <rPr>
        <b/>
        <sz val="11"/>
        <rFont val="Calibri"/>
        <family val="2"/>
        <scheme val="minor"/>
      </rPr>
      <t xml:space="preserve"> year</t>
    </r>
    <r>
      <rPr>
        <b/>
        <vertAlign val="superscript"/>
        <sz val="11"/>
        <rFont val="Calibri"/>
        <family val="2"/>
        <scheme val="minor"/>
      </rPr>
      <t>-1</t>
    </r>
  </si>
  <si>
    <t>Infrastructure emissions</t>
  </si>
  <si>
    <t>Number of logging decks</t>
  </si>
  <si>
    <t>Annex: Wood management_1.pdf; Wood management_2.pdf; Wood management_3.pdf</t>
  </si>
  <si>
    <r>
      <t>t year</t>
    </r>
    <r>
      <rPr>
        <b/>
        <vertAlign val="superscript"/>
        <sz val="11"/>
        <rFont val="Calibri"/>
        <family val="2"/>
        <scheme val="minor"/>
      </rPr>
      <t>-1</t>
    </r>
  </si>
  <si>
    <t>Lengh of road</t>
  </si>
  <si>
    <r>
      <t>C</t>
    </r>
    <r>
      <rPr>
        <b/>
        <vertAlign val="subscript"/>
        <sz val="11"/>
        <color theme="1"/>
        <rFont val="Calibri"/>
        <family val="2"/>
        <scheme val="minor"/>
      </rPr>
      <t>ext</t>
    </r>
  </si>
  <si>
    <r>
      <t>tCO</t>
    </r>
    <r>
      <rPr>
        <b/>
        <vertAlign val="subscript"/>
        <sz val="11"/>
        <rFont val="Calibri"/>
        <family val="2"/>
        <scheme val="minor"/>
      </rPr>
      <t>2-e</t>
    </r>
    <r>
      <rPr>
        <b/>
        <sz val="11"/>
        <rFont val="Calibri"/>
        <family val="2"/>
        <scheme val="minor"/>
      </rPr>
      <t xml:space="preserve"> </t>
    </r>
  </si>
  <si>
    <t>Widht of road</t>
  </si>
  <si>
    <r>
      <t>C</t>
    </r>
    <r>
      <rPr>
        <b/>
        <vertAlign val="subscript"/>
        <sz val="11"/>
        <color theme="1"/>
        <rFont val="Calibri"/>
        <family val="2"/>
        <scheme val="minor"/>
      </rPr>
      <t>LG,i,t</t>
    </r>
  </si>
  <si>
    <r>
      <t>tCO</t>
    </r>
    <r>
      <rPr>
        <b/>
        <vertAlign val="subscript"/>
        <sz val="11"/>
        <rFont val="Calibri"/>
        <family val="2"/>
        <scheme val="minor"/>
      </rPr>
      <t>2-e</t>
    </r>
  </si>
  <si>
    <t>Area of decks</t>
  </si>
  <si>
    <t>Wood carbon pool</t>
  </si>
  <si>
    <t>Total length skid trails</t>
  </si>
  <si>
    <r>
      <t>∆C</t>
    </r>
    <r>
      <rPr>
        <b/>
        <vertAlign val="subscript"/>
        <sz val="11"/>
        <color theme="1"/>
        <rFont val="Calibri"/>
        <family val="2"/>
        <scheme val="minor"/>
      </rPr>
      <t>SKID</t>
    </r>
  </si>
  <si>
    <t>Area of road</t>
  </si>
  <si>
    <r>
      <t>∆C</t>
    </r>
    <r>
      <rPr>
        <b/>
        <vertAlign val="subscript"/>
        <sz val="11"/>
        <color theme="1"/>
        <rFont val="Calibri"/>
        <family val="2"/>
        <scheme val="minor"/>
      </rPr>
      <t>ROAD,t</t>
    </r>
  </si>
  <si>
    <r>
      <t>∆C</t>
    </r>
    <r>
      <rPr>
        <b/>
        <vertAlign val="subscript"/>
        <sz val="11"/>
        <color theme="1"/>
        <rFont val="Calibri"/>
        <family val="2"/>
        <scheme val="minor"/>
      </rPr>
      <t>DECKS</t>
    </r>
  </si>
  <si>
    <r>
      <t>∆C</t>
    </r>
    <r>
      <rPr>
        <b/>
        <vertAlign val="subscript"/>
        <sz val="11"/>
        <color theme="1"/>
        <rFont val="Calibri"/>
        <family val="2"/>
        <scheme val="minor"/>
      </rPr>
      <t>DECKS</t>
    </r>
    <r>
      <rPr>
        <b/>
        <sz val="11"/>
        <color theme="1"/>
        <rFont val="Calibri"/>
        <family val="2"/>
        <scheme val="minor"/>
      </rPr>
      <t>+∆C</t>
    </r>
    <r>
      <rPr>
        <b/>
        <vertAlign val="subscript"/>
        <sz val="11"/>
        <color theme="1"/>
        <rFont val="Calibri"/>
        <family val="2"/>
        <scheme val="minor"/>
      </rPr>
      <t>ROAD,t</t>
    </r>
    <r>
      <rPr>
        <b/>
        <sz val="11"/>
        <color theme="1"/>
        <rFont val="Calibri"/>
        <family val="2"/>
        <scheme val="minor"/>
      </rPr>
      <t>+∆C</t>
    </r>
    <r>
      <rPr>
        <b/>
        <vertAlign val="subscript"/>
        <sz val="11"/>
        <color theme="1"/>
        <rFont val="Calibri"/>
        <family val="2"/>
        <scheme val="minor"/>
      </rPr>
      <t>SKID</t>
    </r>
  </si>
  <si>
    <r>
      <t>C</t>
    </r>
    <r>
      <rPr>
        <b/>
        <vertAlign val="subscript"/>
        <sz val="11"/>
        <color theme="1"/>
        <rFont val="Calibri"/>
        <family val="2"/>
        <scheme val="minor"/>
      </rPr>
      <t>ab_tree</t>
    </r>
  </si>
  <si>
    <r>
      <t>tCO</t>
    </r>
    <r>
      <rPr>
        <b/>
        <vertAlign val="subscript"/>
        <sz val="11"/>
        <rFont val="Calibri"/>
        <family val="2"/>
        <scheme val="minor"/>
      </rPr>
      <t>2-e</t>
    </r>
    <r>
      <rPr>
        <b/>
        <sz val="11"/>
        <rFont val="Calibri"/>
        <family val="2"/>
        <scheme val="minor"/>
      </rPr>
      <t xml:space="preserve"> ha</t>
    </r>
    <r>
      <rPr>
        <b/>
        <vertAlign val="superscript"/>
        <sz val="11"/>
        <rFont val="Calibri"/>
        <family val="2"/>
        <scheme val="minor"/>
      </rPr>
      <t>-1</t>
    </r>
  </si>
  <si>
    <r>
      <t>Cx</t>
    </r>
    <r>
      <rPr>
        <b/>
        <vertAlign val="subscript"/>
        <sz val="11"/>
        <color theme="1"/>
        <rFont val="Calibri"/>
        <family val="2"/>
        <scheme val="minor"/>
      </rPr>
      <t>b,i</t>
    </r>
  </si>
  <si>
    <r>
      <t>C</t>
    </r>
    <r>
      <rPr>
        <b/>
        <vertAlign val="subscript"/>
        <sz val="11"/>
        <color theme="1"/>
        <rFont val="Calibri"/>
        <family val="2"/>
        <scheme val="minor"/>
      </rPr>
      <t>wp</t>
    </r>
  </si>
  <si>
    <r>
      <t>C</t>
    </r>
    <r>
      <rPr>
        <b/>
        <vertAlign val="subscript"/>
        <sz val="11"/>
        <color theme="1"/>
        <rFont val="Calibri"/>
        <family val="2"/>
        <scheme val="minor"/>
      </rPr>
      <t>wp(100)</t>
    </r>
  </si>
  <si>
    <t>Leakage - Market-Effects</t>
  </si>
  <si>
    <t>VMD0011-LK-ME-v1.1.</t>
  </si>
  <si>
    <t>Market-Effects Leakage Through Decreased Timber Harvest</t>
  </si>
  <si>
    <r>
      <t>A</t>
    </r>
    <r>
      <rPr>
        <b/>
        <vertAlign val="subscript"/>
        <sz val="11"/>
        <rFont val="Calibri"/>
        <family val="2"/>
        <scheme val="minor"/>
      </rPr>
      <t>BSLPAt annual</t>
    </r>
  </si>
  <si>
    <r>
      <t>ha year</t>
    </r>
    <r>
      <rPr>
        <b/>
        <vertAlign val="superscript"/>
        <sz val="11"/>
        <rFont val="Calibri"/>
        <family val="2"/>
        <scheme val="minor"/>
      </rPr>
      <t>-1</t>
    </r>
  </si>
  <si>
    <r>
      <t>C</t>
    </r>
    <r>
      <rPr>
        <b/>
        <vertAlign val="subscript"/>
        <sz val="11"/>
        <rFont val="Calibri"/>
        <family val="2"/>
        <scheme val="minor"/>
      </rPr>
      <t>BSL,XBT,i,t</t>
    </r>
  </si>
  <si>
    <t xml:space="preserve">Carbon emission due to displaced timber harvests in the baseline scenario in stratum i in year t </t>
  </si>
  <si>
    <r>
      <t xml:space="preserve"> AL</t>
    </r>
    <r>
      <rPr>
        <b/>
        <vertAlign val="subscript"/>
        <sz val="11"/>
        <rFont val="Calibri"/>
        <family val="2"/>
        <scheme val="minor"/>
      </rPr>
      <t>T,i</t>
    </r>
    <r>
      <rPr>
        <b/>
        <sz val="11"/>
        <rFont val="Calibri"/>
        <family val="2"/>
        <scheme val="minor"/>
      </rPr>
      <t xml:space="preserve"> =  C</t>
    </r>
    <r>
      <rPr>
        <b/>
        <vertAlign val="subscript"/>
        <sz val="11"/>
        <rFont val="Calibri"/>
        <family val="2"/>
        <scheme val="minor"/>
      </rPr>
      <t xml:space="preserve">BSL,XBT,i,t </t>
    </r>
  </si>
  <si>
    <t>Summed emissions from timber harvest in stratum i in the baseline case potentially displaced through implementation of the project</t>
  </si>
  <si>
    <r>
      <t>PRODFC</t>
    </r>
    <r>
      <rPr>
        <b/>
        <vertAlign val="subscript"/>
        <sz val="11"/>
        <rFont val="Calibri"/>
        <family val="2"/>
        <scheme val="minor"/>
      </rPr>
      <t>LMA,t</t>
    </r>
  </si>
  <si>
    <t>Production biomass in commercial species that is merchantable in year t in leakage management areas</t>
  </si>
  <si>
    <r>
      <t>PRODFC</t>
    </r>
    <r>
      <rPr>
        <b/>
        <vertAlign val="subscript"/>
        <sz val="11"/>
        <rFont val="Calibri"/>
        <family val="2"/>
        <scheme val="minor"/>
      </rPr>
      <t>BL,t</t>
    </r>
  </si>
  <si>
    <t>Production of biomass in commercial species that is merchantable in year t in the baseline case</t>
  </si>
  <si>
    <r>
      <t>LKFC</t>
    </r>
    <r>
      <rPr>
        <b/>
        <vertAlign val="subscript"/>
        <sz val="11"/>
        <rFont val="Calibri"/>
        <family val="2"/>
        <scheme val="minor"/>
      </rPr>
      <t>MAF</t>
    </r>
  </si>
  <si>
    <t>Leakage management adjustment factor</t>
  </si>
  <si>
    <r>
      <t>LK</t>
    </r>
    <r>
      <rPr>
        <b/>
        <vertAlign val="subscript"/>
        <sz val="11"/>
        <rFont val="Calibri"/>
        <family val="2"/>
        <scheme val="minor"/>
      </rPr>
      <t>MarketEffects,timber</t>
    </r>
  </si>
  <si>
    <t>Total GHG emissions due to market-effects leakage through decreased timber harvest</t>
  </si>
  <si>
    <t>Market-Effects Leakage Through Decreased Harvest of Fuelwood and Charcoal Sold into Regional and/or National Markets</t>
  </si>
  <si>
    <r>
      <t xml:space="preserve"> AL</t>
    </r>
    <r>
      <rPr>
        <b/>
        <vertAlign val="subscript"/>
        <sz val="11"/>
        <rFont val="Calibri"/>
        <family val="2"/>
        <scheme val="minor"/>
      </rPr>
      <t>FW/C,i</t>
    </r>
  </si>
  <si>
    <t>Summed emissions from fuelwood/charcoal harvests in stratum i in the baseline case potentially displaced through implementation of carbon</t>
  </si>
  <si>
    <r>
      <t>FG</t>
    </r>
    <r>
      <rPr>
        <b/>
        <vertAlign val="subscript"/>
        <sz val="11"/>
        <rFont val="Calibri"/>
        <family val="2"/>
        <scheme val="minor"/>
      </rPr>
      <t>LP,i,t</t>
    </r>
  </si>
  <si>
    <t>Average projected annual volume of fuelwood to be gathered in the project area in the baseline scenario in stratum i in year t</t>
  </si>
  <si>
    <r>
      <t>m³ year</t>
    </r>
    <r>
      <rPr>
        <b/>
        <vertAlign val="superscript"/>
        <sz val="11"/>
        <rFont val="Calibri"/>
        <family val="2"/>
        <scheme val="minor"/>
      </rPr>
      <t>-1</t>
    </r>
  </si>
  <si>
    <r>
      <t>FG</t>
    </r>
    <r>
      <rPr>
        <b/>
        <vertAlign val="subscript"/>
        <sz val="11"/>
        <rFont val="Calibri"/>
        <family val="2"/>
        <scheme val="minor"/>
      </rPr>
      <t>BSL,i,t</t>
    </r>
  </si>
  <si>
    <t>Volume of fuelwood gathered in the project area and in areas designated by the project for leakage prevention (ie, fuelwood plantations) according to monitoring results in stratum i in year t</t>
  </si>
  <si>
    <r>
      <t>C</t>
    </r>
    <r>
      <rPr>
        <b/>
        <vertAlign val="subscript"/>
        <sz val="11"/>
        <rFont val="Calibri"/>
        <family val="2"/>
        <scheme val="minor"/>
      </rPr>
      <t>BSL,XBFWC,i,t</t>
    </r>
  </si>
  <si>
    <t>Carbon emission due to displaced fuelwood/charcoal harvests in stratum i in the baseline scenario in year t</t>
  </si>
  <si>
    <r>
      <t xml:space="preserve"> AL</t>
    </r>
    <r>
      <rPr>
        <b/>
        <vertAlign val="subscript"/>
        <sz val="11"/>
        <rFont val="Calibri"/>
        <family val="2"/>
        <scheme val="minor"/>
      </rPr>
      <t>FW/C,i</t>
    </r>
    <r>
      <rPr>
        <b/>
        <sz val="11"/>
        <rFont val="Calibri"/>
        <family val="2"/>
        <scheme val="minor"/>
      </rPr>
      <t xml:space="preserve"> =  C</t>
    </r>
    <r>
      <rPr>
        <b/>
        <vertAlign val="subscript"/>
        <sz val="11"/>
        <rFont val="Calibri"/>
        <family val="2"/>
        <scheme val="minor"/>
      </rPr>
      <t xml:space="preserve">BSL,XBFWC,i,t </t>
    </r>
  </si>
  <si>
    <t>Production of fuelwood/charcoal in year t in leakage management areas</t>
  </si>
  <si>
    <t xml:space="preserve">Production of fuelwood/charcoal in year t in the baseline case </t>
  </si>
  <si>
    <t>Fuelwood/charcoal leakage management adjustment factor</t>
  </si>
  <si>
    <r>
      <t>LK</t>
    </r>
    <r>
      <rPr>
        <b/>
        <vertAlign val="subscript"/>
        <sz val="11"/>
        <rFont val="Calibri"/>
        <family val="2"/>
        <scheme val="minor"/>
      </rPr>
      <t>MarketEffects,FW/C</t>
    </r>
  </si>
  <si>
    <t>Total GHG emissions due to market-effects leakage through decreased harvest of fuelwood and charcoal sold into regional and/or national markets</t>
  </si>
  <si>
    <t>Market-Effects Leakage Through Decreased Timber, Fuelwood and Charcoal Harvest Resulting in Increased Peatland Drainage</t>
  </si>
  <si>
    <r>
      <t>PROP</t>
    </r>
    <r>
      <rPr>
        <b/>
        <vertAlign val="subscript"/>
        <sz val="11"/>
        <rFont val="Calibri"/>
        <family val="2"/>
        <scheme val="minor"/>
      </rPr>
      <t>Peat-MLF</t>
    </r>
  </si>
  <si>
    <t>Proportion of undrained peatland areas in the ‘market leakage forest’ areas with respect to the total market leakage forest areas</t>
  </si>
  <si>
    <r>
      <t>LK</t>
    </r>
    <r>
      <rPr>
        <b/>
        <vertAlign val="subscript"/>
        <sz val="11"/>
        <rFont val="Calibri"/>
        <family val="2"/>
        <scheme val="minor"/>
      </rPr>
      <t>EFMKT,Peat</t>
    </r>
  </si>
  <si>
    <t>Leakage emission factor from market-effects leakage resulting in peatland drainage</t>
  </si>
  <si>
    <r>
      <t>C</t>
    </r>
    <r>
      <rPr>
        <b/>
        <vertAlign val="subscript"/>
        <sz val="11"/>
        <rFont val="Calibri"/>
        <family val="2"/>
        <scheme val="minor"/>
      </rPr>
      <t>peatloss,tPDT</t>
    </r>
  </si>
  <si>
    <t>Cumulative peat carbon loss at tPDT</t>
  </si>
  <si>
    <r>
      <t>C</t>
    </r>
    <r>
      <rPr>
        <b/>
        <vertAlign val="subscript"/>
        <sz val="11"/>
        <rFont val="Calibri"/>
        <family val="2"/>
        <scheme val="minor"/>
      </rPr>
      <t>MLF,i</t>
    </r>
  </si>
  <si>
    <t xml:space="preserve">Carbon in commercial species in market leakage forests </t>
  </si>
  <si>
    <r>
      <t>Depth</t>
    </r>
    <r>
      <rPr>
        <b/>
        <vertAlign val="subscript"/>
        <sz val="11"/>
        <rFont val="Calibri"/>
        <family val="2"/>
        <scheme val="minor"/>
      </rPr>
      <t>peatloss,tPDT</t>
    </r>
  </si>
  <si>
    <t xml:space="preserve"> Depth of peat loss at tPDT</t>
  </si>
  <si>
    <r>
      <t>VC</t>
    </r>
    <r>
      <rPr>
        <b/>
        <vertAlign val="subscript"/>
        <sz val="11"/>
        <rFont val="Calibri"/>
        <family val="2"/>
        <scheme val="minor"/>
      </rPr>
      <t>peat</t>
    </r>
  </si>
  <si>
    <t xml:space="preserve">Volumetric carbon content of peat in the baseline scenario </t>
  </si>
  <si>
    <r>
      <t>kg C m</t>
    </r>
    <r>
      <rPr>
        <b/>
        <vertAlign val="superscript"/>
        <sz val="11"/>
        <rFont val="Calibri"/>
        <family val="2"/>
        <scheme val="minor"/>
      </rPr>
      <t>-3</t>
    </r>
  </si>
  <si>
    <r>
      <t xml:space="preserve"> C</t>
    </r>
    <r>
      <rPr>
        <b/>
        <vertAlign val="subscript"/>
        <sz val="11"/>
        <rFont val="Calibri"/>
        <family val="2"/>
        <scheme val="minor"/>
      </rPr>
      <t>CS,i</t>
    </r>
    <r>
      <rPr>
        <b/>
        <sz val="11"/>
        <rFont val="Calibri"/>
        <family val="2"/>
        <scheme val="minor"/>
      </rPr>
      <t xml:space="preserve"> = C</t>
    </r>
    <r>
      <rPr>
        <b/>
        <vertAlign val="subscript"/>
        <sz val="11"/>
        <rFont val="Calibri"/>
        <family val="2"/>
        <scheme val="minor"/>
      </rPr>
      <t xml:space="preserve">MLF,i </t>
    </r>
  </si>
  <si>
    <t>Carbon in commercial species in market leakage forests in stratum I</t>
  </si>
  <si>
    <r>
      <t>V</t>
    </r>
    <r>
      <rPr>
        <b/>
        <vertAlign val="subscript"/>
        <sz val="11"/>
        <rFont val="Calibri"/>
        <family val="2"/>
        <scheme val="minor"/>
      </rPr>
      <t>MLF,i,t</t>
    </r>
  </si>
  <si>
    <t xml:space="preserve">Volume of timber in stratum i in ‘arket leakage forest </t>
  </si>
  <si>
    <r>
      <t>LK</t>
    </r>
    <r>
      <rPr>
        <b/>
        <vertAlign val="subscript"/>
        <sz val="11"/>
        <rFont val="Calibri"/>
        <family val="2"/>
        <scheme val="minor"/>
      </rPr>
      <t xml:space="preserve">MarketEffects,Peat </t>
    </r>
  </si>
  <si>
    <t>Total GHG emissions due to market-effects leakage through decreased timber, fuelwood and charcoal harvest resulting in increased peatland drainage</t>
  </si>
  <si>
    <t>Total leakage ME</t>
  </si>
  <si>
    <r>
      <t>ΔC</t>
    </r>
    <r>
      <rPr>
        <b/>
        <vertAlign val="subscript"/>
        <sz val="11"/>
        <rFont val="Calibri"/>
        <family val="2"/>
        <scheme val="minor"/>
      </rPr>
      <t>LK-ME</t>
    </r>
  </si>
  <si>
    <t>Net greenhouse gas emissions due to market-effects leakage</t>
  </si>
  <si>
    <t>LK-GHG-ex ante</t>
  </si>
  <si>
    <r>
      <t>A</t>
    </r>
    <r>
      <rPr>
        <b/>
        <vertAlign val="subscript"/>
        <sz val="11"/>
        <color theme="1"/>
        <rFont val="Calibri"/>
        <family val="2"/>
        <scheme val="minor"/>
      </rPr>
      <t>BSL,PA,annual,t</t>
    </r>
    <r>
      <rPr>
        <b/>
        <sz val="11"/>
        <color theme="1"/>
        <rFont val="Calibri"/>
        <family val="2"/>
        <scheme val="minor"/>
      </rPr>
      <t xml:space="preserve"> = A</t>
    </r>
    <r>
      <rPr>
        <b/>
        <vertAlign val="subscript"/>
        <sz val="11"/>
        <color theme="1"/>
        <rFont val="Calibri"/>
        <family val="2"/>
        <scheme val="minor"/>
      </rPr>
      <t>Burn,i,t</t>
    </r>
  </si>
  <si>
    <r>
      <t>A</t>
    </r>
    <r>
      <rPr>
        <b/>
        <vertAlign val="subscript"/>
        <sz val="11"/>
        <color theme="1"/>
        <rFont val="Calibri"/>
        <family val="2"/>
        <scheme val="minor"/>
      </rPr>
      <t>BSL,PA,cumulative</t>
    </r>
  </si>
  <si>
    <r>
      <t>E-CH</t>
    </r>
    <r>
      <rPr>
        <b/>
        <vertAlign val="subscript"/>
        <sz val="9"/>
        <color theme="1"/>
        <rFont val="Calibri"/>
        <family val="2"/>
        <scheme val="minor"/>
      </rPr>
      <t xml:space="preserve">4 </t>
    </r>
    <r>
      <rPr>
        <b/>
        <sz val="9"/>
        <color theme="1"/>
        <rFont val="Calibri"/>
        <family val="2"/>
        <scheme val="minor"/>
      </rPr>
      <t>Biomass Burning</t>
    </r>
  </si>
  <si>
    <r>
      <t>tCO</t>
    </r>
    <r>
      <rPr>
        <b/>
        <vertAlign val="subscript"/>
        <sz val="10"/>
        <color theme="1"/>
        <rFont val="Calibri"/>
        <family val="2"/>
        <scheme val="minor"/>
      </rPr>
      <t>2</t>
    </r>
    <r>
      <rPr>
        <b/>
        <sz val="10"/>
        <color theme="1"/>
        <rFont val="Calibri"/>
        <family val="2"/>
        <scheme val="minor"/>
      </rPr>
      <t>-e</t>
    </r>
  </si>
  <si>
    <r>
      <t>E-CH</t>
    </r>
    <r>
      <rPr>
        <b/>
        <vertAlign val="subscript"/>
        <sz val="9"/>
        <color theme="1"/>
        <rFont val="Calibri"/>
        <family val="2"/>
        <scheme val="minor"/>
      </rPr>
      <t xml:space="preserve">4 </t>
    </r>
    <r>
      <rPr>
        <b/>
        <sz val="9"/>
        <color theme="1"/>
        <rFont val="Calibri"/>
        <family val="2"/>
        <scheme val="minor"/>
      </rPr>
      <t>Biomass Burning Accumulative</t>
    </r>
  </si>
  <si>
    <r>
      <t>E-N</t>
    </r>
    <r>
      <rPr>
        <b/>
        <vertAlign val="subscript"/>
        <sz val="9"/>
        <color theme="1"/>
        <rFont val="Calibri"/>
        <family val="2"/>
        <scheme val="minor"/>
      </rPr>
      <t>2</t>
    </r>
    <r>
      <rPr>
        <b/>
        <sz val="9"/>
        <color theme="1"/>
        <rFont val="Calibri"/>
        <family val="2"/>
        <scheme val="minor"/>
      </rPr>
      <t>O Biomass Burning</t>
    </r>
  </si>
  <si>
    <r>
      <t>E-N</t>
    </r>
    <r>
      <rPr>
        <b/>
        <vertAlign val="subscript"/>
        <sz val="9"/>
        <color theme="1"/>
        <rFont val="Calibri"/>
        <family val="2"/>
        <scheme val="minor"/>
      </rPr>
      <t>2</t>
    </r>
    <r>
      <rPr>
        <b/>
        <sz val="9"/>
        <color theme="1"/>
        <rFont val="Calibri"/>
        <family val="2"/>
        <scheme val="minor"/>
      </rPr>
      <t>O Biomass Burning Accumulative</t>
    </r>
  </si>
  <si>
    <t>Total LK-GHG</t>
  </si>
  <si>
    <t>LK-GHG-ex post</t>
  </si>
  <si>
    <t>Leakage - Activity Shifting</t>
  </si>
  <si>
    <t>VMD0010-LK-ME-v1.2.</t>
  </si>
  <si>
    <t>Ex ante</t>
  </si>
  <si>
    <t>Project area</t>
  </si>
  <si>
    <t>Baseline</t>
  </si>
  <si>
    <r>
      <t>∆C</t>
    </r>
    <r>
      <rPr>
        <b/>
        <vertAlign val="subscript"/>
        <sz val="11"/>
        <rFont val="Calibri"/>
        <family val="2"/>
        <scheme val="minor"/>
      </rPr>
      <t>BSL,unplanned_B_PA</t>
    </r>
  </si>
  <si>
    <t>Net greenhouse gas emissions in the baseline from unplanned deforestation up to year t*</t>
  </si>
  <si>
    <t>Leakage belt</t>
  </si>
  <si>
    <r>
      <t>∆C</t>
    </r>
    <r>
      <rPr>
        <b/>
        <vertAlign val="subscript"/>
        <sz val="11"/>
        <rFont val="Calibri"/>
        <family val="2"/>
        <scheme val="minor"/>
      </rPr>
      <t>BSL,LK,unplanned_B_LB</t>
    </r>
  </si>
  <si>
    <r>
      <t>Net CO</t>
    </r>
    <r>
      <rPr>
        <b/>
        <vertAlign val="subscript"/>
        <sz val="8"/>
        <rFont val="Calibri"/>
        <family val="2"/>
        <scheme val="minor"/>
      </rPr>
      <t>2</t>
    </r>
    <r>
      <rPr>
        <b/>
        <sz val="8"/>
        <rFont val="Calibri"/>
        <family val="2"/>
        <scheme val="minor"/>
      </rPr>
      <t xml:space="preserve"> equivalent emissions in the baseline from unplanned deforestation + GHG emission in the leakage belt up to year t* - estimated baseline for the leakage belt to estimate carbon stock changes and greenhouse gas emissions in the leakage belt under the project scenario</t>
    </r>
  </si>
  <si>
    <t>Project Scenary</t>
  </si>
  <si>
    <r>
      <t>∆C</t>
    </r>
    <r>
      <rPr>
        <b/>
        <vertAlign val="subscript"/>
        <sz val="11"/>
        <rFont val="Calibri"/>
        <family val="2"/>
        <scheme val="minor"/>
      </rPr>
      <t>BSL,unplanned</t>
    </r>
    <r>
      <rPr>
        <b/>
        <sz val="11"/>
        <rFont val="Calibri"/>
        <family val="2"/>
        <scheme val="minor"/>
      </rPr>
      <t>_</t>
    </r>
    <r>
      <rPr>
        <b/>
        <vertAlign val="subscript"/>
        <sz val="11"/>
        <rFont val="Calibri"/>
        <family val="2"/>
        <scheme val="minor"/>
      </rPr>
      <t>PA_PA</t>
    </r>
  </si>
  <si>
    <t>Net greenhouse gas emissions in the project scenario from unplanned deforestation up to year t*</t>
  </si>
  <si>
    <r>
      <t>∆C</t>
    </r>
    <r>
      <rPr>
        <b/>
        <vertAlign val="subscript"/>
        <sz val="11"/>
        <rFont val="Calibri"/>
        <family val="2"/>
        <scheme val="minor"/>
      </rPr>
      <t>BSL,unplanned_PA_B_LB</t>
    </r>
  </si>
  <si>
    <t>The result is added to the estimated baseline for the leakage belt  to estimate carbon stock changes and greenhouse gas emissions in the leakage belt under the project scenario</t>
  </si>
  <si>
    <t>LK-Activity Shifting - Ex ante</t>
  </si>
  <si>
    <t>The difference between project and baseline carbon stock changes and greenhouse gas emissions in the leakage belt is the ex-ante estimated leakage due to displacement of unplanned deforestation from the project area to the leakage belt.</t>
  </si>
  <si>
    <t>Ex post</t>
  </si>
  <si>
    <r>
      <t>A</t>
    </r>
    <r>
      <rPr>
        <b/>
        <vertAlign val="subscript"/>
        <sz val="11"/>
        <color theme="1"/>
        <rFont val="Calibri"/>
        <family val="2"/>
        <scheme val="minor"/>
      </rPr>
      <t>AB_BBtree annual</t>
    </r>
  </si>
  <si>
    <t>Deforestation area from Leakage Belt (model projection)</t>
  </si>
  <si>
    <r>
      <t>∆C</t>
    </r>
    <r>
      <rPr>
        <b/>
        <vertAlign val="subscript"/>
        <sz val="11"/>
        <rFont val="Calibri"/>
        <family val="2"/>
        <scheme val="minor"/>
      </rPr>
      <t>P,LB</t>
    </r>
    <r>
      <rPr>
        <b/>
        <sz val="11"/>
        <rFont val="Calibri"/>
        <family val="2"/>
        <scheme val="minor"/>
      </rPr>
      <t xml:space="preserve"> = ∆C</t>
    </r>
    <r>
      <rPr>
        <b/>
        <vertAlign val="subscript"/>
        <sz val="11"/>
        <rFont val="Calibri"/>
        <family val="2"/>
        <scheme val="minor"/>
      </rPr>
      <t>WPS-REDD,LB</t>
    </r>
  </si>
  <si>
    <r>
      <t>Net CO</t>
    </r>
    <r>
      <rPr>
        <b/>
        <vertAlign val="subscript"/>
        <sz val="8"/>
        <rFont val="Calibri"/>
        <family val="2"/>
        <scheme val="minor"/>
      </rPr>
      <t>2</t>
    </r>
    <r>
      <rPr>
        <b/>
        <sz val="8"/>
        <rFont val="Calibri"/>
        <family val="2"/>
        <scheme val="minor"/>
      </rPr>
      <t xml:space="preserve"> equivalent emissions within the leakage belt in the project case up to year t* - Net GHG emissions within the leakage belt in the REDD project scenario</t>
    </r>
  </si>
  <si>
    <r>
      <t>∆C</t>
    </r>
    <r>
      <rPr>
        <b/>
        <vertAlign val="subscript"/>
        <sz val="11"/>
        <rFont val="Calibri"/>
        <family val="2"/>
        <scheme val="minor"/>
      </rPr>
      <t>LK-ASU,OLB</t>
    </r>
  </si>
  <si>
    <r>
      <t>Net CO</t>
    </r>
    <r>
      <rPr>
        <b/>
        <vertAlign val="subscript"/>
        <sz val="8"/>
        <rFont val="Calibri"/>
        <family val="2"/>
        <scheme val="minor"/>
      </rPr>
      <t>2</t>
    </r>
    <r>
      <rPr>
        <b/>
        <sz val="8"/>
        <rFont val="Calibri"/>
        <family val="2"/>
        <scheme val="minor"/>
      </rPr>
      <t xml:space="preserve"> emissions due to unplanned deforestation displaced outside the leakage belt up to year t*</t>
    </r>
  </si>
  <si>
    <t>LK-Activity Shifting - Ex post</t>
  </si>
  <si>
    <t>LK-Activity Shifting -Final</t>
  </si>
  <si>
    <t>Leakage - Outsite_migration</t>
  </si>
  <si>
    <t>Values</t>
  </si>
  <si>
    <t>Reference</t>
  </si>
  <si>
    <t>Amazon forest</t>
  </si>
  <si>
    <t>2021_Municípios da Amazônia Legal</t>
  </si>
  <si>
    <t>Preserved forest</t>
  </si>
  <si>
    <t>2022_Unidade de Conservação</t>
  </si>
  <si>
    <r>
      <t>PROP</t>
    </r>
    <r>
      <rPr>
        <b/>
        <vertAlign val="subscript"/>
        <sz val="11"/>
        <rFont val="Calibri"/>
        <family val="2"/>
        <scheme val="minor"/>
      </rPr>
      <t>LB</t>
    </r>
  </si>
  <si>
    <t xml:space="preserve">Area of forest available in the leakage belt for unplanned deforestation as a proportion of the total national forest area available for unplanned deforestation </t>
  </si>
  <si>
    <r>
      <t>PROP</t>
    </r>
    <r>
      <rPr>
        <b/>
        <vertAlign val="subscript"/>
        <sz val="11"/>
        <rFont val="Calibri"/>
        <family val="2"/>
        <scheme val="minor"/>
      </rPr>
      <t>CS</t>
    </r>
  </si>
  <si>
    <t>The proportional difference in carbon stocks between areas of forest available for unplanned deforestation both inside and outside the leakage belt</t>
  </si>
  <si>
    <r>
      <t>LK</t>
    </r>
    <r>
      <rPr>
        <b/>
        <vertAlign val="subscript"/>
        <sz val="11"/>
        <rFont val="Calibri"/>
        <family val="2"/>
        <scheme val="minor"/>
      </rPr>
      <t>PROP</t>
    </r>
  </si>
  <si>
    <t>Proportional leakage for areas with immigrating populations</t>
  </si>
  <si>
    <t>Leakage - Outsite</t>
  </si>
  <si>
    <r>
      <t>∆C</t>
    </r>
    <r>
      <rPr>
        <vertAlign val="subscript"/>
        <sz val="11"/>
        <rFont val="Calibri"/>
        <family val="2"/>
        <scheme val="minor"/>
      </rPr>
      <t>BSL,LK,unplanned</t>
    </r>
  </si>
  <si>
    <r>
      <t>Net CO</t>
    </r>
    <r>
      <rPr>
        <vertAlign val="subscript"/>
        <sz val="10"/>
        <rFont val="Calibri"/>
        <family val="2"/>
        <scheme val="minor"/>
      </rPr>
      <t>2</t>
    </r>
    <r>
      <rPr>
        <sz val="8"/>
        <rFont val="Calibri"/>
        <family val="2"/>
        <scheme val="minor"/>
      </rPr>
      <t xml:space="preserve"> </t>
    </r>
    <r>
      <rPr>
        <b/>
        <sz val="8"/>
        <rFont val="Calibri"/>
        <family val="2"/>
        <scheme val="minor"/>
      </rPr>
      <t>equivalent emissions in the baseline from unplanned deforestation in the leakage belt up to year t*</t>
    </r>
  </si>
  <si>
    <r>
      <t>∆C</t>
    </r>
    <r>
      <rPr>
        <vertAlign val="subscript"/>
        <sz val="11"/>
        <rFont val="Calibri"/>
        <family val="2"/>
        <scheme val="minor"/>
      </rPr>
      <t>P,LB</t>
    </r>
  </si>
  <si>
    <r>
      <t>Net CO</t>
    </r>
    <r>
      <rPr>
        <vertAlign val="subscript"/>
        <sz val="10"/>
        <rFont val="Calibri"/>
        <family val="2"/>
        <scheme val="minor"/>
      </rPr>
      <t>2</t>
    </r>
    <r>
      <rPr>
        <sz val="10"/>
        <rFont val="Calibri"/>
        <family val="2"/>
        <scheme val="minor"/>
      </rPr>
      <t xml:space="preserve"> </t>
    </r>
    <r>
      <rPr>
        <b/>
        <sz val="8"/>
        <rFont val="Calibri"/>
        <family val="2"/>
        <scheme val="minor"/>
      </rPr>
      <t>equivalent emissions within the leakage belt in the project case up to year t*</t>
    </r>
  </si>
  <si>
    <t>LK-Outside - Ex ante</t>
  </si>
  <si>
    <r>
      <t>A</t>
    </r>
    <r>
      <rPr>
        <b/>
        <vertAlign val="subscript"/>
        <sz val="11"/>
        <rFont val="Calibri"/>
        <family val="2"/>
        <scheme val="minor"/>
      </rPr>
      <t>LK-IMM,t</t>
    </r>
  </si>
  <si>
    <t>Total area deforested by immigrant agents in the baseline and project scenario in year t</t>
  </si>
  <si>
    <r>
      <t>A</t>
    </r>
    <r>
      <rPr>
        <b/>
        <vertAlign val="subscript"/>
        <sz val="11"/>
        <rFont val="Calibri"/>
        <family val="2"/>
        <scheme val="minor"/>
      </rPr>
      <t>BSL,PA,unplanned,t</t>
    </r>
  </si>
  <si>
    <t>Projected area of unplanned baseline deforestation in the project area in year t</t>
  </si>
  <si>
    <r>
      <t>A</t>
    </r>
    <r>
      <rPr>
        <vertAlign val="subscript"/>
        <sz val="11"/>
        <rFont val="Calibri"/>
        <family val="2"/>
        <scheme val="minor"/>
      </rPr>
      <t>DefPA,i,t</t>
    </r>
  </si>
  <si>
    <t>Area of recorded deforestation in the project area stratum i converted to land use u at time t</t>
  </si>
  <si>
    <r>
      <t>A</t>
    </r>
    <r>
      <rPr>
        <vertAlign val="subscript"/>
        <sz val="11"/>
        <rFont val="Calibri"/>
        <family val="2"/>
        <scheme val="minor"/>
      </rPr>
      <t>DefLB,i,t</t>
    </r>
  </si>
  <si>
    <t>Area of recorded deforestation in the leakage belt stratum i converted to land use u at time t</t>
  </si>
  <si>
    <r>
      <t>A</t>
    </r>
    <r>
      <rPr>
        <b/>
        <vertAlign val="subscript"/>
        <sz val="11"/>
        <rFont val="Calibri"/>
        <family val="2"/>
        <scheme val="minor"/>
      </rPr>
      <t xml:space="preserve">LK-ACT-IMM,t </t>
    </r>
  </si>
  <si>
    <t>Area deforested by immigrants in the project area and leakage belt under the project scenario in year t</t>
  </si>
  <si>
    <r>
      <t>A</t>
    </r>
    <r>
      <rPr>
        <b/>
        <vertAlign val="subscript"/>
        <sz val="11"/>
        <rFont val="Calibri"/>
        <family val="2"/>
        <scheme val="minor"/>
      </rPr>
      <t>LK-OLB,t</t>
    </r>
  </si>
  <si>
    <t>Area deforested by immigrants outside the leakage belt and project area under the project scenario in year t</t>
  </si>
  <si>
    <t>Leakage outside the leakage belt</t>
  </si>
  <si>
    <t>LK-Outside - Ex post</t>
  </si>
  <si>
    <t>LK-Outside -Final</t>
  </si>
  <si>
    <r>
      <t>tCO</t>
    </r>
    <r>
      <rPr>
        <b/>
        <vertAlign val="subscript"/>
        <sz val="11"/>
        <color theme="0"/>
        <rFont val="Calibri"/>
        <family val="2"/>
        <scheme val="minor"/>
      </rPr>
      <t>2-e</t>
    </r>
    <r>
      <rPr>
        <b/>
        <sz val="11"/>
        <color theme="0"/>
        <rFont val="Calibri"/>
        <family val="2"/>
        <scheme val="minor"/>
      </rPr>
      <t xml:space="preserve"> </t>
    </r>
  </si>
  <si>
    <t>Leakage Ex-post</t>
  </si>
  <si>
    <t>2019-2020</t>
  </si>
  <si>
    <t>2020-2021</t>
  </si>
  <si>
    <t>2021-2022</t>
  </si>
  <si>
    <t>Market-Effect</t>
  </si>
  <si>
    <r>
      <t>tCO</t>
    </r>
    <r>
      <rPr>
        <b/>
        <vertAlign val="subscript"/>
        <sz val="10"/>
        <color rgb="FF000000"/>
        <rFont val="Franklin Gothic Book"/>
        <family val="2"/>
      </rPr>
      <t>2-e</t>
    </r>
  </si>
  <si>
    <t>Outside the Leakage Belt: Local Deforestation Agents</t>
  </si>
  <si>
    <r>
      <t>tCO</t>
    </r>
    <r>
      <rPr>
        <b/>
        <vertAlign val="subscript"/>
        <sz val="10"/>
        <color rgb="FF000000"/>
        <rFont val="Franklin Gothic Book"/>
        <family val="2"/>
      </rPr>
      <t>2-e</t>
    </r>
    <r>
      <rPr>
        <b/>
        <sz val="10"/>
        <color rgb="FF000000"/>
        <rFont val="Franklin Gothic Book"/>
        <family val="2"/>
      </rPr>
      <t xml:space="preserve"> </t>
    </r>
  </si>
  <si>
    <t>Outside the Leakage Belt: Immigrant Deforestation Agents</t>
  </si>
  <si>
    <t>Total Leakage</t>
  </si>
  <si>
    <r>
      <t>tCO</t>
    </r>
    <r>
      <rPr>
        <b/>
        <vertAlign val="subscript"/>
        <sz val="10"/>
        <rFont val="Franklin Gothic Book"/>
        <family val="2"/>
      </rPr>
      <t>2-e</t>
    </r>
    <r>
      <rPr>
        <b/>
        <sz val="10"/>
        <rFont val="Franklin Gothic Book"/>
        <family val="2"/>
      </rPr>
      <t xml:space="preserve"> </t>
    </r>
  </si>
  <si>
    <t>Potential VPL</t>
  </si>
  <si>
    <t>Leakage emissions</t>
  </si>
  <si>
    <t>Buffer pool allocation</t>
  </si>
  <si>
    <t>VCUs eligible for issuance</t>
  </si>
  <si>
    <t>Estimated leakage emissions</t>
  </si>
  <si>
    <r>
      <t>(tCO</t>
    </r>
    <r>
      <rPr>
        <b/>
        <vertAlign val="subscript"/>
        <sz val="10.5"/>
        <color rgb="FFFFFFFF"/>
        <rFont val="Franklin Gothic Book"/>
        <family val="2"/>
      </rPr>
      <t>2</t>
    </r>
    <r>
      <rPr>
        <b/>
        <sz val="10.5"/>
        <color rgb="FFFFFFFF"/>
        <rFont val="Franklin Gothic Book"/>
        <family val="2"/>
      </rPr>
      <t>e)</t>
    </r>
  </si>
  <si>
    <t xml:space="preserve">Total </t>
  </si>
  <si>
    <r>
      <t>PRODMB</t>
    </r>
    <r>
      <rPr>
        <b/>
        <vertAlign val="subscript"/>
        <sz val="11"/>
        <rFont val="Calibri"/>
        <family val="2"/>
        <scheme val="minor"/>
      </rPr>
      <t>LMA,t</t>
    </r>
  </si>
  <si>
    <r>
      <t>PRODMB</t>
    </r>
    <r>
      <rPr>
        <b/>
        <vertAlign val="subscript"/>
        <sz val="11"/>
        <rFont val="Calibri"/>
        <family val="2"/>
        <scheme val="minor"/>
      </rPr>
      <t>BL,t</t>
    </r>
  </si>
  <si>
    <t>Mean aboveground trees biomass</t>
  </si>
  <si>
    <t>Mean CO2 aboveground trees</t>
  </si>
  <si>
    <t>Stratified standart deviation</t>
  </si>
  <si>
    <t>Standard error</t>
  </si>
  <si>
    <t>Sampling error</t>
  </si>
  <si>
    <t>Coefficient of variance</t>
  </si>
  <si>
    <t>Superior confidence interval</t>
  </si>
  <si>
    <t>Inferior confidence interval</t>
  </si>
  <si>
    <t>Total aboveground trees</t>
  </si>
  <si>
    <t>Total aboveground trees biomass</t>
  </si>
  <si>
    <t>Stratified mean variance</t>
  </si>
  <si>
    <t>2007_Wood density in forests of Brazil’s ‘arc of deforestation’: Implications for biomass and flux of carbon from land-use change in Amazonia</t>
  </si>
  <si>
    <t>2019_Chapter 4_IPCC Guidelines for National Greenhouse Gas Inventories, pg. 4.18, Table 4.4.</t>
  </si>
  <si>
    <t>Baseline emissions</t>
  </si>
  <si>
    <t>Project emissions</t>
  </si>
  <si>
    <t>Net GHG emission reductions</t>
  </si>
  <si>
    <t>Percent difference</t>
  </si>
  <si>
    <t xml:space="preserve">Justification for the difference </t>
  </si>
  <si>
    <t>The observed difference is related to a lower amount of emissions of activity shifting leakage directly surrounding the AUD Project Area, through the use of a Leakage Belt.</t>
  </si>
  <si>
    <t>Ex-ante emissions reductions</t>
  </si>
  <si>
    <t>Achieved emissions reductions</t>
  </si>
  <si>
    <t>Estimated baseline emissions</t>
  </si>
  <si>
    <t>Estimated project emissions</t>
  </si>
  <si>
    <t>VCUs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</si>
</sst>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0.0%"/>
    <numFmt numFmtId="165" formatCode="0.0"/>
    <numFmt numFmtId="166" formatCode="_-* #,##0.00\ _€_-;\-* #,##0.00\ _€_-;_-* &quot;-&quot;??\ _€_-;_-@_-"/>
    <numFmt numFmtId="167" formatCode="_-* #,##0.000\ _€_-;\-* #,##0.000\ _€_-;_-* &quot;-&quot;??\ _€_-;_-@_-"/>
    <numFmt numFmtId="168" formatCode="_-* #,##0.0_-;\-* #,##0.0_-;_-* &quot;-&quot;??_-;_-@_-"/>
    <numFmt numFmtId="169" formatCode="_-* #,##0.0000_-;\-* #,##0.0000_-;_-* &quot;-&quot;??_-;_-@_-"/>
    <numFmt numFmtId="170" formatCode="_-* #,##0.0000\ _€_-;\-* #,##0.0000\ _€_-;_-* &quot;-&quot;??\ _€_-;_-@_-"/>
    <numFmt numFmtId="171" formatCode="#,##0.0"/>
    <numFmt numFmtId="172" formatCode="0.00000E+00"/>
    <numFmt numFmtId="173" formatCode="0.0000"/>
    <numFmt numFmtId="174" formatCode="0.00000"/>
    <numFmt numFmtId="175" formatCode="_-* #,##0.00000_-;\-* #,##0.00000_-;_-* &quot;-&quot;??_-;_-@_-"/>
    <numFmt numFmtId="176" formatCode="#,##0.000"/>
    <numFmt numFmtId="177" formatCode="_-* #,##0_-;\-* #,##0_-;_-* &quot;-&quot;??_-;_-@_-"/>
  </numFmts>
  <fonts count="7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sz val="9"/>
      <color theme="1"/>
      <name val="Calibri"/>
      <family val="2"/>
      <scheme val="minor"/>
    </font>
    <font>
      <b/>
      <sz val="9"/>
      <color theme="0"/>
      <name val="Calibri"/>
      <family val="2"/>
      <scheme val="minor"/>
    </font>
    <font>
      <sz val="8"/>
      <name val="Calibri"/>
      <family val="2"/>
      <scheme val="minor"/>
    </font>
    <font>
      <sz val="8"/>
      <color theme="9" tint="-0.499984740745262"/>
      <name val="Calibri"/>
      <family val="2"/>
      <scheme val="minor"/>
    </font>
    <font>
      <b/>
      <sz val="11"/>
      <color rgb="FF000000"/>
      <name val="Calibri"/>
      <family val="2"/>
      <scheme val="minor"/>
    </font>
    <font>
      <sz val="11"/>
      <color rgb="FF000000"/>
      <name val="Calibri"/>
      <family val="2"/>
      <scheme val="minor"/>
    </font>
    <font>
      <vertAlign val="subscript"/>
      <sz val="11"/>
      <color rgb="FF000000"/>
      <name val="Calibri"/>
      <family val="2"/>
      <scheme val="minor"/>
    </font>
    <font>
      <vertAlign val="subscript"/>
      <sz val="11"/>
      <color theme="1"/>
      <name val="Calibri"/>
      <family val="2"/>
      <scheme val="minor"/>
    </font>
    <font>
      <vertAlign val="superscript"/>
      <sz val="11"/>
      <color rgb="FF000000"/>
      <name val="Calibri"/>
      <family val="2"/>
      <scheme val="minor"/>
    </font>
    <font>
      <b/>
      <sz val="10"/>
      <color theme="1"/>
      <name val="Calibri"/>
      <family val="2"/>
      <scheme val="minor"/>
    </font>
    <font>
      <b/>
      <vertAlign val="subscript"/>
      <sz val="11"/>
      <color theme="1"/>
      <name val="Calibri"/>
      <family val="2"/>
      <scheme val="minor"/>
    </font>
    <font>
      <b/>
      <sz val="11"/>
      <name val="Calibri"/>
      <family val="2"/>
      <scheme val="minor"/>
    </font>
    <font>
      <vertAlign val="superscript"/>
      <sz val="11"/>
      <color theme="1"/>
      <name val="Calibri"/>
      <family val="2"/>
      <scheme val="minor"/>
    </font>
    <font>
      <b/>
      <vertAlign val="superscript"/>
      <sz val="11"/>
      <color theme="1"/>
      <name val="Calibri"/>
      <family val="2"/>
      <scheme val="minor"/>
    </font>
    <font>
      <b/>
      <vertAlign val="superscript"/>
      <sz val="11"/>
      <color theme="0"/>
      <name val="Calibri"/>
      <family val="2"/>
      <scheme val="minor"/>
    </font>
    <font>
      <sz val="11"/>
      <name val="Calibri"/>
      <family val="2"/>
      <scheme val="minor"/>
    </font>
    <font>
      <b/>
      <vertAlign val="superscript"/>
      <sz val="11"/>
      <name val="Calibri"/>
      <family val="2"/>
      <scheme val="minor"/>
    </font>
    <font>
      <b/>
      <vertAlign val="subscript"/>
      <sz val="11"/>
      <name val="Calibri"/>
      <family val="2"/>
      <scheme val="minor"/>
    </font>
    <font>
      <b/>
      <sz val="8"/>
      <name val="Calibri"/>
      <family val="2"/>
      <scheme val="minor"/>
    </font>
    <font>
      <b/>
      <sz val="8"/>
      <color theme="1"/>
      <name val="Calibri"/>
      <family val="2"/>
      <scheme val="minor"/>
    </font>
    <font>
      <b/>
      <sz val="11"/>
      <color theme="1"/>
      <name val="Arial"/>
      <family val="2"/>
    </font>
    <font>
      <b/>
      <vertAlign val="subscript"/>
      <sz val="11"/>
      <color theme="1"/>
      <name val="Arial"/>
      <family val="2"/>
    </font>
    <font>
      <b/>
      <vertAlign val="subscript"/>
      <sz val="10"/>
      <color theme="1"/>
      <name val="Calibri"/>
      <family val="2"/>
      <scheme val="minor"/>
    </font>
    <font>
      <b/>
      <sz val="9"/>
      <color theme="1"/>
      <name val="Arial"/>
      <family val="2"/>
    </font>
    <font>
      <b/>
      <vertAlign val="subscript"/>
      <sz val="9"/>
      <color theme="1"/>
      <name val="Calibri"/>
      <family val="2"/>
      <scheme val="minor"/>
    </font>
    <font>
      <b/>
      <sz val="9"/>
      <color theme="1"/>
      <name val="Calibri"/>
      <family val="2"/>
      <scheme val="minor"/>
    </font>
    <font>
      <b/>
      <sz val="8"/>
      <color theme="1"/>
      <name val="Arial"/>
      <family val="2"/>
    </font>
    <font>
      <b/>
      <vertAlign val="subscript"/>
      <sz val="8"/>
      <color theme="1"/>
      <name val="Arial"/>
      <family val="2"/>
    </font>
    <font>
      <b/>
      <vertAlign val="superscript"/>
      <sz val="8"/>
      <color theme="1"/>
      <name val="Arial"/>
      <family val="2"/>
    </font>
    <font>
      <b/>
      <vertAlign val="subscript"/>
      <sz val="8"/>
      <color theme="1"/>
      <name val="Calibri"/>
      <family val="2"/>
      <scheme val="minor"/>
    </font>
    <font>
      <b/>
      <vertAlign val="superscript"/>
      <sz val="10"/>
      <color theme="1"/>
      <name val="Calibri"/>
      <family val="2"/>
      <scheme val="minor"/>
    </font>
    <font>
      <b/>
      <sz val="10"/>
      <color theme="0"/>
      <name val="Calibri"/>
      <family val="2"/>
      <scheme val="minor"/>
    </font>
    <font>
      <b/>
      <vertAlign val="subscript"/>
      <sz val="10"/>
      <color theme="0"/>
      <name val="Calibri"/>
      <family val="2"/>
      <scheme val="minor"/>
    </font>
    <font>
      <b/>
      <vertAlign val="superscript"/>
      <sz val="10"/>
      <color theme="0"/>
      <name val="Calibri"/>
      <family val="2"/>
      <scheme val="minor"/>
    </font>
    <font>
      <sz val="11"/>
      <color rgb="FFFF0000"/>
      <name val="Calibri"/>
      <family val="2"/>
      <scheme val="minor"/>
    </font>
    <font>
      <b/>
      <sz val="10"/>
      <name val="Calibri"/>
      <family val="2"/>
      <scheme val="minor"/>
    </font>
    <font>
      <vertAlign val="subscript"/>
      <sz val="11"/>
      <name val="Calibri"/>
      <family val="2"/>
      <scheme val="minor"/>
    </font>
    <font>
      <vertAlign val="superscript"/>
      <sz val="11"/>
      <name val="Calibri"/>
      <family val="2"/>
      <scheme val="minor"/>
    </font>
    <font>
      <sz val="8"/>
      <color theme="1"/>
      <name val="Calibri"/>
      <family val="2"/>
      <scheme val="minor"/>
    </font>
    <font>
      <sz val="8"/>
      <color rgb="FFFF0000"/>
      <name val="Calibri"/>
      <family val="2"/>
      <scheme val="minor"/>
    </font>
    <font>
      <b/>
      <vertAlign val="subscript"/>
      <sz val="8"/>
      <name val="Calibri"/>
      <family val="2"/>
      <scheme val="minor"/>
    </font>
    <font>
      <b/>
      <vertAlign val="subscript"/>
      <sz val="11"/>
      <color theme="0"/>
      <name val="Calibri"/>
      <family val="2"/>
      <scheme val="minor"/>
    </font>
    <font>
      <sz val="10"/>
      <name val="Calibri"/>
      <family val="2"/>
      <scheme val="minor"/>
    </font>
    <font>
      <vertAlign val="subscript"/>
      <sz val="10"/>
      <name val="Calibri"/>
      <family val="2"/>
      <scheme val="minor"/>
    </font>
    <font>
      <u/>
      <sz val="11"/>
      <color theme="10"/>
      <name val="Calibri"/>
      <family val="2"/>
      <scheme val="minor"/>
    </font>
    <font>
      <b/>
      <sz val="10"/>
      <color theme="1"/>
      <name val="Franklin Gothic Book"/>
      <family val="2"/>
    </font>
    <font>
      <sz val="10"/>
      <color theme="1"/>
      <name val="Franklin Gothic Book"/>
      <family val="2"/>
    </font>
    <font>
      <sz val="11"/>
      <color rgb="FF000000"/>
      <name val="Calibri"/>
      <family val="2"/>
    </font>
    <font>
      <b/>
      <sz val="11"/>
      <color rgb="FFFFFFFF"/>
      <name val="Franklin Gothic Book"/>
      <family val="2"/>
    </font>
    <font>
      <b/>
      <sz val="10"/>
      <color rgb="FFFFFFFF"/>
      <name val="Franklin Gothic Book"/>
      <family val="2"/>
    </font>
    <font>
      <b/>
      <sz val="10"/>
      <color rgb="FF000000"/>
      <name val="Franklin Gothic Book"/>
      <family val="2"/>
    </font>
    <font>
      <b/>
      <vertAlign val="subscript"/>
      <sz val="10"/>
      <color rgb="FF000000"/>
      <name val="Franklin Gothic Book"/>
      <family val="2"/>
    </font>
    <font>
      <sz val="10"/>
      <color rgb="FF000000"/>
      <name val="Franklin Gothic Book"/>
      <family val="2"/>
    </font>
    <font>
      <b/>
      <sz val="10"/>
      <color theme="0"/>
      <name val="Franklin Gothic Book"/>
      <family val="2"/>
    </font>
    <font>
      <b/>
      <sz val="10"/>
      <name val="Franklin Gothic Book"/>
      <family val="2"/>
    </font>
    <font>
      <b/>
      <vertAlign val="subscript"/>
      <sz val="10"/>
      <name val="Franklin Gothic Book"/>
      <family val="2"/>
    </font>
    <font>
      <b/>
      <sz val="10.5"/>
      <color rgb="FFFFFFFF"/>
      <name val="Franklin Gothic Book"/>
      <family val="2"/>
    </font>
    <font>
      <b/>
      <vertAlign val="subscript"/>
      <sz val="10.5"/>
      <color rgb="FFFFFFFF"/>
      <name val="Franklin Gothic Book"/>
      <family val="2"/>
    </font>
    <font>
      <sz val="9.5"/>
      <name val="Franklin Gothic Book"/>
      <family val="2"/>
    </font>
    <font>
      <b/>
      <sz val="9.5"/>
      <name val="Franklin Gothic Book"/>
      <family val="2"/>
    </font>
    <font>
      <b/>
      <u/>
      <sz val="10.5"/>
      <color rgb="FFFFFFFF"/>
      <name val="Franklin Gothic Book"/>
      <family val="2"/>
    </font>
    <font>
      <b/>
      <u/>
      <sz val="10.5"/>
      <color rgb="FF000000"/>
      <name val="Franklin Gothic Book"/>
      <family val="2"/>
    </font>
    <font>
      <sz val="10.5"/>
      <color rgb="FFFFFFFF"/>
      <name val="Franklin Gothic Book"/>
      <family val="2"/>
    </font>
    <font>
      <sz val="10.5"/>
      <color rgb="FF000000"/>
      <name val="Franklin Gothic Book"/>
      <family val="2"/>
    </font>
  </fonts>
  <fills count="40">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rgb="FFDDEBF7"/>
        <bgColor rgb="FFDDEBF7"/>
      </patternFill>
    </fill>
    <fill>
      <patternFill patternType="solid">
        <fgColor theme="0"/>
        <bgColor indexed="64"/>
      </patternFill>
    </fill>
    <fill>
      <patternFill patternType="solid">
        <fgColor theme="0" tint="-0.249977111117893"/>
        <bgColor indexed="64"/>
      </patternFill>
    </fill>
    <fill>
      <patternFill patternType="solid">
        <fgColor theme="3"/>
        <bgColor indexed="64"/>
      </patternFill>
    </fill>
    <fill>
      <patternFill patternType="solid">
        <fgColor theme="9"/>
        <bgColor indexed="64"/>
      </patternFill>
    </fill>
    <fill>
      <patternFill patternType="solid">
        <fgColor theme="3" tint="0.79998168889431442"/>
        <bgColor indexed="64"/>
      </patternFill>
    </fill>
    <fill>
      <patternFill patternType="solid">
        <fgColor theme="9" tint="-0.249977111117893"/>
        <bgColor indexed="64"/>
      </patternFill>
    </fill>
    <fill>
      <patternFill patternType="solid">
        <fgColor theme="2" tint="-9.9978637043366805E-2"/>
        <bgColor indexed="64"/>
      </patternFill>
    </fill>
    <fill>
      <patternFill patternType="solid">
        <fgColor theme="5"/>
        <bgColor indexed="64"/>
      </patternFill>
    </fill>
    <fill>
      <patternFill patternType="solid">
        <fgColor theme="7"/>
        <bgColor indexed="64"/>
      </patternFill>
    </fill>
    <fill>
      <patternFill patternType="solid">
        <fgColor theme="0" tint="-0.34998626667073579"/>
        <bgColor indexed="64"/>
      </patternFill>
    </fill>
    <fill>
      <patternFill patternType="solid">
        <fgColor theme="8"/>
        <bgColor indexed="64"/>
      </patternFill>
    </fill>
    <fill>
      <patternFill patternType="solid">
        <fgColor theme="0" tint="-0.499984740745262"/>
        <bgColor indexed="64"/>
      </patternFill>
    </fill>
    <fill>
      <patternFill patternType="solid">
        <fgColor theme="3" tint="0.59999389629810485"/>
        <bgColor indexed="64"/>
      </patternFill>
    </fill>
    <fill>
      <patternFill patternType="solid">
        <fgColor theme="0"/>
        <bgColor rgb="FFDDEBF7"/>
      </patternFill>
    </fill>
    <fill>
      <patternFill patternType="solid">
        <fgColor theme="3" tint="0.39997558519241921"/>
        <bgColor indexed="64"/>
      </patternFill>
    </fill>
    <fill>
      <patternFill patternType="solid">
        <fgColor theme="5" tint="0.39997558519241921"/>
        <bgColor indexed="64"/>
      </patternFill>
    </fill>
    <fill>
      <patternFill patternType="solid">
        <fgColor theme="1"/>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8" tint="0.79998168889431442"/>
        <bgColor rgb="FFDDEBF7"/>
      </patternFill>
    </fill>
    <fill>
      <patternFill patternType="solid">
        <fgColor theme="5" tint="-0.249977111117893"/>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rgb="FF44546A"/>
        <bgColor indexed="64"/>
      </patternFill>
    </fill>
    <fill>
      <patternFill patternType="solid">
        <fgColor rgb="FFA9D08E"/>
        <bgColor indexed="64"/>
      </patternFill>
    </fill>
    <fill>
      <patternFill patternType="solid">
        <fgColor rgb="FF2B3A57"/>
        <bgColor indexed="64"/>
      </patternFill>
    </fill>
    <fill>
      <patternFill patternType="solid">
        <fgColor rgb="FFF2F2F2"/>
        <bgColor indexed="64"/>
      </patternFill>
    </fill>
    <fill>
      <patternFill patternType="solid">
        <fgColor theme="5" tint="0.79998168889431442"/>
        <bgColor indexed="64"/>
      </patternFill>
    </fill>
    <fill>
      <patternFill patternType="solid">
        <fgColor rgb="FFDDEBF7"/>
        <bgColor indexed="64"/>
      </patternFill>
    </fill>
    <fill>
      <patternFill patternType="solid">
        <fgColor rgb="FF2B3957"/>
        <bgColor indexed="64"/>
      </patternFill>
    </fill>
  </fills>
  <borders count="21">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FFFFFF"/>
      </left>
      <right style="medium">
        <color rgb="FFFFFFFF"/>
      </right>
      <top style="medium">
        <color rgb="FFFFFFFF"/>
      </top>
      <bottom/>
      <diagonal/>
    </border>
    <border>
      <left style="medium">
        <color rgb="FFFFFFFF"/>
      </left>
      <right style="medium">
        <color rgb="FFFFFFFF"/>
      </right>
      <top/>
      <bottom style="medium">
        <color rgb="FFFFFFFF"/>
      </bottom>
      <diagonal/>
    </border>
    <border>
      <left/>
      <right style="medium">
        <color rgb="FFFFFFFF"/>
      </right>
      <top style="medium">
        <color rgb="FFFFFFFF"/>
      </top>
      <bottom/>
      <diagonal/>
    </border>
    <border>
      <left/>
      <right style="medium">
        <color rgb="FFFFFFFF"/>
      </right>
      <top/>
      <bottom style="medium">
        <color rgb="FFFFFFFF"/>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50" fillId="0" borderId="0" applyNumberFormat="0" applyFill="0" applyBorder="0" applyAlignment="0" applyProtection="0"/>
  </cellStyleXfs>
  <cellXfs count="516">
    <xf numFmtId="0" fontId="0" fillId="0" borderId="0" xfId="0"/>
    <xf numFmtId="0" fontId="0" fillId="0" borderId="0" xfId="0" applyAlignment="1">
      <alignment horizontal="center"/>
    </xf>
    <xf numFmtId="0" fontId="3" fillId="0" borderId="0" xfId="0" applyFont="1" applyAlignment="1">
      <alignment horizontal="center"/>
    </xf>
    <xf numFmtId="0" fontId="3" fillId="2" borderId="0" xfId="0" applyFont="1" applyFill="1" applyAlignment="1">
      <alignment horizontal="center"/>
    </xf>
    <xf numFmtId="0" fontId="0" fillId="0" borderId="0" xfId="0" applyAlignment="1">
      <alignment wrapText="1"/>
    </xf>
    <xf numFmtId="0" fontId="3" fillId="0" borderId="0" xfId="0" applyFont="1" applyAlignment="1">
      <alignment horizontal="left"/>
    </xf>
    <xf numFmtId="0" fontId="3" fillId="0" borderId="0" xfId="0" applyFont="1" applyAlignment="1">
      <alignment horizontal="left" vertical="center" wrapText="1"/>
    </xf>
    <xf numFmtId="0" fontId="0" fillId="0" borderId="0" xfId="0" applyAlignment="1">
      <alignment horizontal="center" vertical="center"/>
    </xf>
    <xf numFmtId="0" fontId="0" fillId="0" borderId="0" xfId="0" applyAlignmen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10" fillId="0" borderId="0" xfId="0" applyFont="1" applyAlignment="1">
      <alignment horizontal="center"/>
    </xf>
    <xf numFmtId="4" fontId="10" fillId="0" borderId="0" xfId="0" applyNumberFormat="1" applyFont="1" applyAlignment="1">
      <alignment horizontal="center"/>
    </xf>
    <xf numFmtId="0" fontId="11" fillId="0" borderId="0" xfId="0" applyFont="1" applyAlignment="1">
      <alignment horizontal="center"/>
    </xf>
    <xf numFmtId="4" fontId="11" fillId="0" borderId="0" xfId="0" applyNumberFormat="1" applyFont="1" applyAlignment="1">
      <alignment horizontal="center"/>
    </xf>
    <xf numFmtId="0" fontId="5" fillId="0" borderId="0" xfId="0" applyFont="1" applyAlignment="1">
      <alignment horizontal="center"/>
    </xf>
    <xf numFmtId="0" fontId="15" fillId="0" borderId="0" xfId="0" applyFont="1" applyAlignment="1">
      <alignment horizontal="center"/>
    </xf>
    <xf numFmtId="0" fontId="11" fillId="0" borderId="0" xfId="0" applyFont="1" applyAlignment="1">
      <alignment horizontal="left"/>
    </xf>
    <xf numFmtId="0" fontId="11" fillId="0" borderId="0" xfId="0" applyFont="1" applyAlignment="1">
      <alignment horizontal="left" wrapText="1"/>
    </xf>
    <xf numFmtId="0" fontId="11" fillId="0" borderId="0" xfId="0" applyFont="1" applyAlignment="1">
      <alignment horizontal="left" vertical="center"/>
    </xf>
    <xf numFmtId="0" fontId="11" fillId="0" borderId="0" xfId="0" applyFont="1" applyAlignment="1">
      <alignment horizontal="center" vertical="center"/>
    </xf>
    <xf numFmtId="0" fontId="0" fillId="8" borderId="0" xfId="0" applyFill="1" applyAlignment="1">
      <alignment horizontal="center"/>
    </xf>
    <xf numFmtId="0" fontId="0" fillId="8" borderId="0" xfId="0" applyFill="1"/>
    <xf numFmtId="43" fontId="0" fillId="0" borderId="0" xfId="1" applyFont="1" applyBorder="1"/>
    <xf numFmtId="43" fontId="0" fillId="0" borderId="0" xfId="1" applyFont="1"/>
    <xf numFmtId="43" fontId="0" fillId="8" borderId="0" xfId="1" applyFont="1" applyFill="1" applyBorder="1" applyAlignment="1">
      <alignment horizontal="center" vertical="center"/>
    </xf>
    <xf numFmtId="43" fontId="0" fillId="8" borderId="0" xfId="1" applyFont="1" applyFill="1" applyBorder="1"/>
    <xf numFmtId="0" fontId="3" fillId="8" borderId="1" xfId="0" applyFont="1" applyFill="1" applyBorder="1"/>
    <xf numFmtId="0" fontId="3" fillId="8" borderId="1" xfId="0" applyFont="1" applyFill="1" applyBorder="1" applyAlignment="1">
      <alignment horizontal="center"/>
    </xf>
    <xf numFmtId="43" fontId="3" fillId="8" borderId="1" xfId="1" applyFont="1" applyFill="1" applyBorder="1" applyAlignment="1">
      <alignment horizontal="center" vertical="center"/>
    </xf>
    <xf numFmtId="0" fontId="3" fillId="2" borderId="0" xfId="0" applyFont="1" applyFill="1" applyAlignment="1">
      <alignment horizontal="center" vertical="center" wrapText="1"/>
    </xf>
    <xf numFmtId="0" fontId="9" fillId="3" borderId="5" xfId="0" applyFont="1" applyFill="1" applyBorder="1" applyAlignment="1">
      <alignment horizontal="center" vertical="center"/>
    </xf>
    <xf numFmtId="0" fontId="8" fillId="6" borderId="5" xfId="0" applyFont="1" applyFill="1" applyBorder="1" applyAlignment="1">
      <alignment horizontal="center" vertical="center"/>
    </xf>
    <xf numFmtId="0" fontId="8" fillId="4" borderId="5" xfId="0" applyFont="1" applyFill="1" applyBorder="1" applyAlignment="1">
      <alignment horizontal="center" vertical="center"/>
    </xf>
    <xf numFmtId="0" fontId="8" fillId="5" borderId="5" xfId="0" applyFont="1" applyFill="1" applyBorder="1" applyAlignment="1">
      <alignment horizontal="center" vertical="center"/>
    </xf>
    <xf numFmtId="0" fontId="8" fillId="7" borderId="7" xfId="0" applyFont="1" applyFill="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2" fillId="12" borderId="0" xfId="0" applyFont="1" applyFill="1" applyAlignment="1">
      <alignment horizontal="center"/>
    </xf>
    <xf numFmtId="0" fontId="7" fillId="12" borderId="10" xfId="0" applyFont="1" applyFill="1" applyBorder="1" applyAlignment="1">
      <alignment horizontal="center" vertical="center"/>
    </xf>
    <xf numFmtId="0" fontId="2" fillId="12" borderId="0" xfId="0" applyFont="1" applyFill="1" applyAlignment="1">
      <alignment horizontal="center" vertical="center"/>
    </xf>
    <xf numFmtId="0" fontId="4" fillId="12" borderId="0" xfId="0" applyFont="1" applyFill="1"/>
    <xf numFmtId="0" fontId="2" fillId="0" borderId="0" xfId="0" applyFont="1" applyAlignment="1">
      <alignment vertical="center" wrapText="1"/>
    </xf>
    <xf numFmtId="0" fontId="17" fillId="0" borderId="0" xfId="0" applyFont="1" applyAlignment="1">
      <alignment vertical="center" wrapText="1"/>
    </xf>
    <xf numFmtId="0" fontId="21" fillId="0" borderId="0" xfId="0" applyFont="1"/>
    <xf numFmtId="0" fontId="17" fillId="0" borderId="1" xfId="0" applyFont="1" applyBorder="1" applyAlignment="1">
      <alignment vertical="center" wrapText="1"/>
    </xf>
    <xf numFmtId="0" fontId="3" fillId="0" borderId="0" xfId="0" applyFont="1"/>
    <xf numFmtId="2" fontId="17" fillId="0" borderId="0" xfId="0" applyNumberFormat="1" applyFont="1" applyAlignment="1">
      <alignment vertical="center" wrapText="1"/>
    </xf>
    <xf numFmtId="0" fontId="24" fillId="0" borderId="0" xfId="0" applyFont="1" applyAlignment="1">
      <alignment vertical="center" wrapText="1"/>
    </xf>
    <xf numFmtId="0" fontId="0" fillId="0" borderId="0" xfId="0" applyAlignment="1">
      <alignment horizontal="left" vertical="center" wrapText="1"/>
    </xf>
    <xf numFmtId="165" fontId="0" fillId="0" borderId="0" xfId="0" applyNumberFormat="1" applyAlignment="1">
      <alignment horizontal="center" vertical="center"/>
    </xf>
    <xf numFmtId="0" fontId="2" fillId="12" borderId="0" xfId="0" applyFont="1" applyFill="1" applyAlignment="1">
      <alignment horizontal="center" vertical="center" wrapText="1"/>
    </xf>
    <xf numFmtId="0" fontId="32" fillId="14" borderId="0" xfId="0" applyFont="1" applyFill="1" applyAlignment="1">
      <alignment horizontal="center" vertical="center" wrapText="1"/>
    </xf>
    <xf numFmtId="0" fontId="2" fillId="12" borderId="0" xfId="0" applyFont="1" applyFill="1" applyAlignment="1">
      <alignment horizontal="left" vertical="center"/>
    </xf>
    <xf numFmtId="0" fontId="29" fillId="14" borderId="0" xfId="0" applyFont="1" applyFill="1" applyAlignment="1">
      <alignment horizontal="center" vertical="center" wrapText="1"/>
    </xf>
    <xf numFmtId="0" fontId="26" fillId="14" borderId="0" xfId="0" applyFont="1" applyFill="1" applyAlignment="1">
      <alignment horizontal="center" vertical="center" wrapText="1"/>
    </xf>
    <xf numFmtId="0" fontId="29" fillId="14" borderId="1" xfId="0" applyFont="1" applyFill="1" applyBorder="1" applyAlignment="1">
      <alignment horizontal="center" vertical="center" wrapText="1"/>
    </xf>
    <xf numFmtId="0" fontId="32" fillId="14" borderId="1" xfId="0" applyFont="1" applyFill="1" applyBorder="1" applyAlignment="1">
      <alignment horizontal="center" vertical="center" wrapText="1"/>
    </xf>
    <xf numFmtId="0" fontId="32" fillId="14" borderId="2" xfId="0" applyFont="1" applyFill="1" applyBorder="1" applyAlignment="1">
      <alignment horizontal="center" vertical="center" wrapText="1"/>
    </xf>
    <xf numFmtId="0" fontId="4" fillId="12" borderId="0" xfId="0" applyFont="1" applyFill="1" applyAlignment="1">
      <alignment vertical="center"/>
    </xf>
    <xf numFmtId="43" fontId="3" fillId="3" borderId="0" xfId="1" applyFont="1" applyFill="1" applyBorder="1" applyAlignment="1">
      <alignment vertical="center"/>
    </xf>
    <xf numFmtId="43" fontId="3" fillId="3" borderId="2" xfId="1" applyFont="1" applyFill="1" applyBorder="1" applyAlignment="1">
      <alignment vertical="center"/>
    </xf>
    <xf numFmtId="43" fontId="3" fillId="3" borderId="1" xfId="1" applyFont="1" applyFill="1" applyBorder="1" applyAlignment="1">
      <alignment vertical="center"/>
    </xf>
    <xf numFmtId="0" fontId="31" fillId="0" borderId="0" xfId="0" applyFont="1" applyAlignment="1">
      <alignment horizontal="left"/>
    </xf>
    <xf numFmtId="0" fontId="15" fillId="0" borderId="0" xfId="0" applyFont="1" applyAlignment="1">
      <alignment horizontal="left" wrapText="1"/>
    </xf>
    <xf numFmtId="0" fontId="15" fillId="0" borderId="0" xfId="0" applyFont="1" applyAlignment="1">
      <alignment horizontal="center" vertical="center"/>
    </xf>
    <xf numFmtId="0" fontId="0" fillId="0" borderId="0" xfId="0" applyAlignment="1">
      <alignment horizontal="center" textRotation="90" wrapText="1"/>
    </xf>
    <xf numFmtId="0" fontId="2" fillId="15" borderId="0" xfId="0" applyFont="1" applyFill="1" applyAlignment="1">
      <alignment horizontal="center"/>
    </xf>
    <xf numFmtId="43" fontId="3" fillId="3" borderId="0" xfId="0" applyNumberFormat="1" applyFont="1" applyFill="1" applyAlignment="1">
      <alignment horizontal="center"/>
    </xf>
    <xf numFmtId="0" fontId="3" fillId="3" borderId="0" xfId="0" applyFont="1" applyFill="1" applyAlignment="1">
      <alignment horizontal="center"/>
    </xf>
    <xf numFmtId="0" fontId="3" fillId="2" borderId="0" xfId="0" applyFont="1" applyFill="1" applyAlignment="1">
      <alignment horizontal="center" vertical="center"/>
    </xf>
    <xf numFmtId="0" fontId="17" fillId="0" borderId="0" xfId="0" applyFont="1" applyAlignment="1">
      <alignment horizontal="left" vertical="center" wrapText="1"/>
    </xf>
    <xf numFmtId="0" fontId="17" fillId="0" borderId="1" xfId="0" applyFont="1" applyBorder="1" applyAlignment="1">
      <alignment horizontal="left" vertical="center" wrapText="1"/>
    </xf>
    <xf numFmtId="0" fontId="15" fillId="0" borderId="1" xfId="0" applyFont="1" applyBorder="1" applyAlignment="1">
      <alignment horizontal="center"/>
    </xf>
    <xf numFmtId="43" fontId="0" fillId="0" borderId="1" xfId="1" applyFont="1" applyBorder="1"/>
    <xf numFmtId="43" fontId="0" fillId="8" borderId="0" xfId="1" applyFont="1" applyFill="1"/>
    <xf numFmtId="43" fontId="21" fillId="0" borderId="1" xfId="1" applyFont="1" applyBorder="1"/>
    <xf numFmtId="0" fontId="2" fillId="12" borderId="0" xfId="0" applyFont="1" applyFill="1" applyAlignment="1">
      <alignment horizontal="center" wrapText="1"/>
    </xf>
    <xf numFmtId="0" fontId="37" fillId="12" borderId="0" xfId="0" applyFont="1" applyFill="1" applyAlignment="1">
      <alignment horizontal="center" wrapText="1"/>
    </xf>
    <xf numFmtId="43" fontId="3" fillId="8" borderId="0" xfId="1" applyFont="1" applyFill="1"/>
    <xf numFmtId="43" fontId="3" fillId="0" borderId="0" xfId="1" applyFont="1"/>
    <xf numFmtId="0" fontId="3" fillId="0" borderId="1" xfId="0" applyFont="1" applyBorder="1" applyAlignment="1">
      <alignment horizontal="center"/>
    </xf>
    <xf numFmtId="43" fontId="3" fillId="8" borderId="1" xfId="1" applyFont="1" applyFill="1" applyBorder="1"/>
    <xf numFmtId="43" fontId="3" fillId="8" borderId="0" xfId="1" applyFont="1" applyFill="1" applyBorder="1"/>
    <xf numFmtId="0" fontId="3" fillId="0" borderId="2" xfId="0" applyFont="1" applyBorder="1" applyAlignment="1">
      <alignment horizontal="center"/>
    </xf>
    <xf numFmtId="43" fontId="0" fillId="8" borderId="2" xfId="1" applyFont="1" applyFill="1" applyBorder="1"/>
    <xf numFmtId="43" fontId="3" fillId="0" borderId="2" xfId="1" applyFont="1" applyBorder="1"/>
    <xf numFmtId="43" fontId="0" fillId="8" borderId="2" xfId="1" applyFont="1" applyFill="1" applyBorder="1" applyAlignment="1">
      <alignment horizontal="center" vertical="center"/>
    </xf>
    <xf numFmtId="43" fontId="0" fillId="8" borderId="1" xfId="1" applyFont="1" applyFill="1" applyBorder="1" applyAlignment="1">
      <alignment horizontal="center" vertical="center"/>
    </xf>
    <xf numFmtId="43" fontId="0" fillId="8" borderId="0" xfId="0" applyNumberFormat="1" applyFill="1" applyAlignment="1">
      <alignment horizontal="center" vertical="center"/>
    </xf>
    <xf numFmtId="43" fontId="0" fillId="8" borderId="0" xfId="1" applyFont="1" applyFill="1" applyAlignment="1">
      <alignment horizontal="center" vertical="center"/>
    </xf>
    <xf numFmtId="43" fontId="0" fillId="8" borderId="0" xfId="1" applyFont="1" applyFill="1" applyAlignment="1">
      <alignment horizontal="center"/>
    </xf>
    <xf numFmtId="0" fontId="0" fillId="0" borderId="0" xfId="0" applyAlignment="1">
      <alignment horizontal="left" vertical="center"/>
    </xf>
    <xf numFmtId="43" fontId="3" fillId="4" borderId="0" xfId="1" applyFont="1" applyFill="1"/>
    <xf numFmtId="43" fontId="0" fillId="4" borderId="0" xfId="1" applyFont="1" applyFill="1" applyBorder="1" applyAlignment="1">
      <alignment horizontal="center" vertical="center"/>
    </xf>
    <xf numFmtId="43" fontId="21" fillId="8" borderId="0" xfId="1" applyFont="1" applyFill="1" applyBorder="1" applyAlignment="1">
      <alignment horizontal="center" vertical="center"/>
    </xf>
    <xf numFmtId="164" fontId="0" fillId="4" borderId="0" xfId="2" applyNumberFormat="1" applyFont="1" applyFill="1" applyAlignment="1">
      <alignment horizontal="center" vertical="center"/>
    </xf>
    <xf numFmtId="0" fontId="3" fillId="0" borderId="2" xfId="0" applyFont="1" applyBorder="1"/>
    <xf numFmtId="43" fontId="3" fillId="4" borderId="0" xfId="1" applyFont="1" applyFill="1" applyBorder="1"/>
    <xf numFmtId="43" fontId="0" fillId="0" borderId="0" xfId="0" applyNumberFormat="1"/>
    <xf numFmtId="0" fontId="17" fillId="0" borderId="2" xfId="0" applyFont="1" applyBorder="1" applyAlignment="1">
      <alignment vertical="center" wrapText="1"/>
    </xf>
    <xf numFmtId="0" fontId="0" fillId="0" borderId="2" xfId="0" applyBorder="1"/>
    <xf numFmtId="0" fontId="3" fillId="0" borderId="1" xfId="0" applyFont="1" applyBorder="1"/>
    <xf numFmtId="0" fontId="0" fillId="0" borderId="1" xfId="0" applyBorder="1"/>
    <xf numFmtId="0" fontId="40" fillId="0" borderId="0" xfId="0" applyFont="1" applyAlignment="1">
      <alignment horizontal="center"/>
    </xf>
    <xf numFmtId="0" fontId="21" fillId="0" borderId="0" xfId="0" applyFont="1" applyAlignment="1">
      <alignment horizontal="center"/>
    </xf>
    <xf numFmtId="166" fontId="3" fillId="4" borderId="1" xfId="0" applyNumberFormat="1" applyFont="1" applyFill="1" applyBorder="1" applyAlignment="1">
      <alignment vertical="center"/>
    </xf>
    <xf numFmtId="0" fontId="17" fillId="10" borderId="1" xfId="0" applyFont="1" applyFill="1" applyBorder="1" applyAlignment="1">
      <alignment horizontal="center" vertical="center" wrapText="1"/>
    </xf>
    <xf numFmtId="43" fontId="21" fillId="8" borderId="0" xfId="1" applyFont="1" applyFill="1"/>
    <xf numFmtId="43" fontId="21" fillId="0" borderId="0" xfId="1" applyFont="1"/>
    <xf numFmtId="43" fontId="21" fillId="0" borderId="0" xfId="1" applyFont="1" applyBorder="1"/>
    <xf numFmtId="0" fontId="0" fillId="0" borderId="0" xfId="0" applyAlignment="1">
      <alignment horizontal="center" vertical="center" wrapText="1"/>
    </xf>
    <xf numFmtId="0" fontId="3" fillId="0" borderId="1" xfId="0" applyFont="1" applyBorder="1" applyAlignment="1">
      <alignment horizontal="left"/>
    </xf>
    <xf numFmtId="0" fontId="3" fillId="0" borderId="0" xfId="0" applyFont="1" applyAlignment="1">
      <alignment horizontal="left" wrapText="1"/>
    </xf>
    <xf numFmtId="164" fontId="0" fillId="8" borderId="0" xfId="2" applyNumberFormat="1" applyFont="1" applyFill="1" applyBorder="1" applyAlignment="1"/>
    <xf numFmtId="43" fontId="0" fillId="8" borderId="0" xfId="1" applyFont="1" applyFill="1" applyBorder="1" applyAlignment="1"/>
    <xf numFmtId="43" fontId="0" fillId="8" borderId="0" xfId="1" applyFont="1" applyFill="1" applyAlignment="1"/>
    <xf numFmtId="43" fontId="0" fillId="8" borderId="0" xfId="0" applyNumberFormat="1" applyFill="1"/>
    <xf numFmtId="43" fontId="0" fillId="11" borderId="0" xfId="1" applyFont="1" applyFill="1" applyAlignment="1"/>
    <xf numFmtId="9" fontId="0" fillId="11" borderId="0" xfId="2" applyFont="1" applyFill="1" applyAlignment="1"/>
    <xf numFmtId="166" fontId="0" fillId="8" borderId="0" xfId="0" applyNumberFormat="1" applyFill="1"/>
    <xf numFmtId="167" fontId="0" fillId="8" borderId="0" xfId="0" applyNumberFormat="1" applyFill="1"/>
    <xf numFmtId="0" fontId="0" fillId="0" borderId="0" xfId="0" applyAlignment="1">
      <alignment horizontal="center" wrapText="1"/>
    </xf>
    <xf numFmtId="0" fontId="44" fillId="0" borderId="0" xfId="0" applyFont="1"/>
    <xf numFmtId="0" fontId="3" fillId="8" borderId="0" xfId="0" applyFont="1" applyFill="1" applyAlignment="1">
      <alignment horizontal="left"/>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6" xfId="0" applyFont="1" applyFill="1" applyBorder="1" applyAlignment="1">
      <alignment horizontal="center" vertical="center"/>
    </xf>
    <xf numFmtId="43" fontId="0" fillId="8" borderId="5" xfId="0" applyNumberFormat="1" applyFill="1" applyBorder="1" applyAlignment="1">
      <alignment horizontal="center" vertical="center"/>
    </xf>
    <xf numFmtId="43" fontId="0" fillId="8" borderId="6" xfId="1" applyFont="1" applyFill="1" applyBorder="1" applyAlignment="1">
      <alignment horizontal="center" vertical="center"/>
    </xf>
    <xf numFmtId="43" fontId="3" fillId="3" borderId="7" xfId="0" applyNumberFormat="1" applyFont="1" applyFill="1" applyBorder="1" applyAlignment="1">
      <alignment horizontal="center"/>
    </xf>
    <xf numFmtId="0" fontId="3" fillId="3" borderId="8" xfId="0" applyFont="1" applyFill="1" applyBorder="1" applyAlignment="1">
      <alignment horizontal="center"/>
    </xf>
    <xf numFmtId="166" fontId="0" fillId="11" borderId="0" xfId="0" applyNumberFormat="1" applyFill="1"/>
    <xf numFmtId="0" fontId="3" fillId="11" borderId="0" xfId="0" applyFont="1" applyFill="1" applyAlignment="1">
      <alignment horizontal="left"/>
    </xf>
    <xf numFmtId="0" fontId="0" fillId="11" borderId="0" xfId="0" applyFill="1" applyAlignment="1">
      <alignment horizontal="center"/>
    </xf>
    <xf numFmtId="0" fontId="31" fillId="0" borderId="0" xfId="0" applyFont="1" applyAlignment="1">
      <alignment horizontal="left" vertical="center"/>
    </xf>
    <xf numFmtId="0" fontId="31" fillId="0" borderId="2" xfId="0" applyFont="1" applyBorder="1" applyAlignment="1">
      <alignment horizontal="left" vertical="center"/>
    </xf>
    <xf numFmtId="0" fontId="15" fillId="0" borderId="2" xfId="0" applyFont="1" applyBorder="1" applyAlignment="1">
      <alignment horizontal="center" vertical="center"/>
    </xf>
    <xf numFmtId="43" fontId="3" fillId="4" borderId="2" xfId="1" applyFont="1" applyFill="1" applyBorder="1" applyAlignment="1">
      <alignment vertical="center"/>
    </xf>
    <xf numFmtId="0" fontId="31" fillId="0" borderId="1" xfId="0" applyFont="1" applyBorder="1" applyAlignment="1">
      <alignment horizontal="left" vertical="center"/>
    </xf>
    <xf numFmtId="0" fontId="15" fillId="0" borderId="1" xfId="0" applyFont="1" applyBorder="1" applyAlignment="1">
      <alignment horizontal="center" vertical="center"/>
    </xf>
    <xf numFmtId="43" fontId="3" fillId="4" borderId="1" xfId="1" applyFont="1" applyFill="1" applyBorder="1" applyAlignment="1">
      <alignment vertical="center"/>
    </xf>
    <xf numFmtId="0" fontId="31" fillId="0" borderId="1" xfId="0" applyFont="1" applyBorder="1" applyAlignment="1">
      <alignment horizontal="left"/>
    </xf>
    <xf numFmtId="43" fontId="0" fillId="8" borderId="1" xfId="1" applyFont="1" applyFill="1" applyBorder="1" applyAlignment="1">
      <alignment horizontal="center"/>
    </xf>
    <xf numFmtId="43" fontId="3" fillId="4" borderId="1" xfId="1" applyFont="1" applyFill="1" applyBorder="1"/>
    <xf numFmtId="0" fontId="31" fillId="0" borderId="2" xfId="0" applyFont="1" applyBorder="1" applyAlignment="1">
      <alignment horizontal="left"/>
    </xf>
    <xf numFmtId="0" fontId="15" fillId="0" borderId="2" xfId="0" applyFont="1" applyBorder="1" applyAlignment="1">
      <alignment horizontal="center"/>
    </xf>
    <xf numFmtId="43" fontId="0" fillId="8" borderId="2" xfId="1" applyFont="1" applyFill="1" applyBorder="1" applyAlignment="1">
      <alignment horizontal="center"/>
    </xf>
    <xf numFmtId="43" fontId="3" fillId="4" borderId="2" xfId="1" applyFont="1" applyFill="1" applyBorder="1"/>
    <xf numFmtId="43" fontId="21" fillId="10" borderId="0" xfId="1" applyFont="1" applyFill="1" applyBorder="1"/>
    <xf numFmtId="43" fontId="0" fillId="10" borderId="0" xfId="1" applyFont="1" applyFill="1" applyBorder="1"/>
    <xf numFmtId="43" fontId="21" fillId="8" borderId="0" xfId="1" applyFont="1" applyFill="1" applyBorder="1"/>
    <xf numFmtId="43" fontId="0" fillId="8" borderId="0" xfId="1" applyFont="1" applyFill="1" applyBorder="1" applyAlignment="1">
      <alignment horizontal="center"/>
    </xf>
    <xf numFmtId="0" fontId="17" fillId="10" borderId="0" xfId="0" applyFont="1" applyFill="1" applyAlignment="1">
      <alignment horizontal="center" vertical="center" wrapText="1"/>
    </xf>
    <xf numFmtId="0" fontId="21" fillId="10" borderId="0" xfId="0" applyFont="1" applyFill="1" applyAlignment="1">
      <alignment horizontal="center" vertical="center" wrapText="1"/>
    </xf>
    <xf numFmtId="9" fontId="0" fillId="0" borderId="0" xfId="2" applyFont="1"/>
    <xf numFmtId="0" fontId="17" fillId="10" borderId="0" xfId="0" applyFont="1" applyFill="1" applyAlignment="1">
      <alignment horizontal="left" vertical="center" wrapText="1"/>
    </xf>
    <xf numFmtId="43" fontId="0" fillId="10" borderId="0" xfId="1" applyFont="1" applyFill="1" applyAlignment="1">
      <alignment horizontal="center" vertical="center"/>
    </xf>
    <xf numFmtId="43" fontId="0" fillId="10" borderId="0" xfId="1" applyFont="1" applyFill="1" applyBorder="1" applyAlignment="1">
      <alignment horizontal="center" vertical="center"/>
    </xf>
    <xf numFmtId="43" fontId="40" fillId="8" borderId="0" xfId="1" applyFont="1" applyFill="1" applyAlignment="1">
      <alignment vertical="center" wrapText="1"/>
    </xf>
    <xf numFmtId="43" fontId="21" fillId="8" borderId="0" xfId="1" applyFont="1" applyFill="1" applyAlignment="1">
      <alignment vertical="center" wrapText="1"/>
    </xf>
    <xf numFmtId="43" fontId="17" fillId="4" borderId="0" xfId="1" applyFont="1" applyFill="1" applyAlignment="1">
      <alignment vertical="center" wrapText="1"/>
    </xf>
    <xf numFmtId="43" fontId="21" fillId="8" borderId="0" xfId="1" applyFont="1" applyFill="1" applyBorder="1" applyAlignment="1">
      <alignment vertical="center" wrapText="1"/>
    </xf>
    <xf numFmtId="0" fontId="3" fillId="18" borderId="0" xfId="0" applyFont="1" applyFill="1"/>
    <xf numFmtId="0" fontId="31" fillId="0" borderId="0" xfId="0" applyFont="1"/>
    <xf numFmtId="0" fontId="17" fillId="24" borderId="0" xfId="0" applyFont="1" applyFill="1" applyAlignment="1">
      <alignment vertical="center" wrapText="1"/>
    </xf>
    <xf numFmtId="2" fontId="17" fillId="24" borderId="0" xfId="0" applyNumberFormat="1" applyFont="1" applyFill="1" applyAlignment="1">
      <alignment vertical="center" wrapText="1"/>
    </xf>
    <xf numFmtId="0" fontId="17" fillId="25" borderId="0" xfId="0" applyFont="1" applyFill="1" applyAlignment="1">
      <alignment vertical="center" wrapText="1"/>
    </xf>
    <xf numFmtId="2" fontId="17" fillId="25" borderId="0" xfId="0" applyNumberFormat="1" applyFont="1" applyFill="1" applyAlignment="1">
      <alignment vertical="center" wrapText="1"/>
    </xf>
    <xf numFmtId="0" fontId="17" fillId="10" borderId="0" xfId="0" applyFont="1" applyFill="1" applyAlignment="1">
      <alignment vertical="center" wrapText="1"/>
    </xf>
    <xf numFmtId="0" fontId="17" fillId="8" borderId="0" xfId="0" applyFont="1" applyFill="1" applyAlignment="1">
      <alignment vertical="center" wrapText="1"/>
    </xf>
    <xf numFmtId="2" fontId="21" fillId="10" borderId="0" xfId="0" applyNumberFormat="1" applyFont="1" applyFill="1" applyAlignment="1">
      <alignment vertical="center" wrapText="1"/>
    </xf>
    <xf numFmtId="0" fontId="2" fillId="10" borderId="0" xfId="0" applyFont="1" applyFill="1" applyAlignment="1">
      <alignment horizontal="center" vertical="center" textRotation="90" wrapText="1"/>
    </xf>
    <xf numFmtId="166" fontId="21" fillId="10" borderId="0" xfId="0" applyNumberFormat="1" applyFont="1" applyFill="1" applyAlignment="1">
      <alignment vertical="center" wrapText="1"/>
    </xf>
    <xf numFmtId="2" fontId="17" fillId="10" borderId="0" xfId="0" applyNumberFormat="1" applyFont="1" applyFill="1" applyAlignment="1">
      <alignment vertical="center" wrapText="1"/>
    </xf>
    <xf numFmtId="0" fontId="24" fillId="10" borderId="0" xfId="0" applyFont="1" applyFill="1" applyAlignment="1">
      <alignment vertical="center" wrapText="1"/>
    </xf>
    <xf numFmtId="0" fontId="17" fillId="11" borderId="1" xfId="0" applyFont="1" applyFill="1" applyBorder="1" applyAlignment="1">
      <alignment vertical="center" wrapText="1"/>
    </xf>
    <xf numFmtId="2" fontId="2" fillId="26" borderId="1" xfId="0" applyNumberFormat="1" applyFont="1" applyFill="1" applyBorder="1" applyAlignment="1">
      <alignment vertical="center" wrapText="1"/>
    </xf>
    <xf numFmtId="0" fontId="17" fillId="2" borderId="0" xfId="0" applyFont="1" applyFill="1" applyAlignment="1">
      <alignment vertical="center" wrapText="1"/>
    </xf>
    <xf numFmtId="2" fontId="17" fillId="2" borderId="0" xfId="0" applyNumberFormat="1" applyFont="1" applyFill="1" applyAlignment="1">
      <alignment vertical="center" wrapText="1"/>
    </xf>
    <xf numFmtId="0" fontId="44" fillId="0" borderId="0" xfId="0" applyFont="1" applyAlignment="1">
      <alignment horizontal="center"/>
    </xf>
    <xf numFmtId="0" fontId="24" fillId="24" borderId="0" xfId="0" applyFont="1" applyFill="1" applyAlignment="1">
      <alignment vertical="center" wrapText="1"/>
    </xf>
    <xf numFmtId="0" fontId="24" fillId="25" borderId="0" xfId="0" applyFont="1" applyFill="1" applyAlignment="1">
      <alignment vertical="center" wrapText="1"/>
    </xf>
    <xf numFmtId="0" fontId="24" fillId="2" borderId="0" xfId="0" applyFont="1" applyFill="1" applyAlignment="1">
      <alignment vertical="center" wrapText="1"/>
    </xf>
    <xf numFmtId="0" fontId="24" fillId="11" borderId="1" xfId="0" applyFont="1" applyFill="1" applyBorder="1" applyAlignment="1">
      <alignment vertical="center" wrapText="1"/>
    </xf>
    <xf numFmtId="14" fontId="0" fillId="0" borderId="0" xfId="0" applyNumberFormat="1"/>
    <xf numFmtId="43" fontId="17" fillId="0" borderId="0" xfId="1" applyFont="1" applyFill="1" applyAlignment="1">
      <alignment vertical="center" wrapText="1"/>
    </xf>
    <xf numFmtId="43" fontId="21" fillId="10" borderId="0" xfId="1" applyFont="1" applyFill="1" applyAlignment="1">
      <alignment vertical="center" wrapText="1"/>
    </xf>
    <xf numFmtId="11" fontId="0" fillId="0" borderId="0" xfId="0" applyNumberFormat="1" applyAlignment="1">
      <alignment horizontal="center" vertical="center"/>
    </xf>
    <xf numFmtId="170" fontId="21" fillId="8" borderId="0" xfId="0" applyNumberFormat="1" applyFont="1" applyFill="1" applyAlignment="1">
      <alignment vertical="center" wrapText="1"/>
    </xf>
    <xf numFmtId="0" fontId="0" fillId="10" borderId="0" xfId="0" applyFill="1"/>
    <xf numFmtId="0" fontId="0" fillId="12" borderId="0" xfId="0" applyFill="1"/>
    <xf numFmtId="0" fontId="17" fillId="10" borderId="12" xfId="0" applyFont="1" applyFill="1" applyBorder="1" applyAlignment="1">
      <alignment vertical="center" wrapText="1"/>
    </xf>
    <xf numFmtId="0" fontId="24" fillId="10" borderId="12" xfId="0" applyFont="1" applyFill="1" applyBorder="1" applyAlignment="1">
      <alignment vertical="center" wrapText="1"/>
    </xf>
    <xf numFmtId="0" fontId="17" fillId="0" borderId="12" xfId="0" applyFont="1" applyBorder="1" applyAlignment="1">
      <alignment vertical="center" wrapText="1"/>
    </xf>
    <xf numFmtId="0" fontId="17" fillId="10" borderId="1" xfId="0" applyFont="1" applyFill="1" applyBorder="1" applyAlignment="1">
      <alignment vertical="center" wrapText="1"/>
    </xf>
    <xf numFmtId="0" fontId="24" fillId="10" borderId="1" xfId="0" applyFont="1" applyFill="1" applyBorder="1" applyAlignment="1">
      <alignment vertical="center" wrapText="1"/>
    </xf>
    <xf numFmtId="166" fontId="0" fillId="0" borderId="0" xfId="0" applyNumberFormat="1"/>
    <xf numFmtId="43" fontId="21" fillId="8" borderId="2" xfId="1" applyFont="1" applyFill="1" applyBorder="1"/>
    <xf numFmtId="0" fontId="3" fillId="0" borderId="1" xfId="0" applyFont="1" applyBorder="1" applyAlignment="1">
      <alignment horizontal="left" wrapText="1"/>
    </xf>
    <xf numFmtId="43" fontId="0" fillId="8" borderId="1" xfId="1" applyFont="1" applyFill="1" applyBorder="1"/>
    <xf numFmtId="43" fontId="3" fillId="0" borderId="0" xfId="1" applyFont="1" applyBorder="1"/>
    <xf numFmtId="0" fontId="21" fillId="10" borderId="0" xfId="0" applyFont="1" applyFill="1" applyAlignment="1">
      <alignment horizontal="center"/>
    </xf>
    <xf numFmtId="43" fontId="2" fillId="12" borderId="0" xfId="0" applyNumberFormat="1" applyFont="1" applyFill="1" applyAlignment="1">
      <alignment horizontal="center"/>
    </xf>
    <xf numFmtId="164" fontId="0" fillId="8" borderId="0" xfId="2" applyNumberFormat="1" applyFont="1" applyFill="1" applyAlignment="1">
      <alignment horizontal="center" vertical="center"/>
    </xf>
    <xf numFmtId="0" fontId="37" fillId="12" borderId="0" xfId="0" applyFont="1" applyFill="1" applyAlignment="1">
      <alignment horizontal="center" vertical="center"/>
    </xf>
    <xf numFmtId="0" fontId="24" fillId="0" borderId="0" xfId="0" applyFont="1" applyAlignment="1">
      <alignment horizontal="left" vertical="center"/>
    </xf>
    <xf numFmtId="43" fontId="21" fillId="8" borderId="1" xfId="1" applyFont="1" applyFill="1" applyBorder="1"/>
    <xf numFmtId="0" fontId="44" fillId="0" borderId="0" xfId="0" applyFont="1" applyAlignment="1">
      <alignment horizontal="left" wrapText="1"/>
    </xf>
    <xf numFmtId="43" fontId="21" fillId="0" borderId="0" xfId="1" applyFont="1" applyFill="1" applyAlignment="1">
      <alignment horizontal="center" vertical="center"/>
    </xf>
    <xf numFmtId="4" fontId="11" fillId="23" borderId="0" xfId="0" applyNumberFormat="1" applyFont="1" applyFill="1" applyAlignment="1">
      <alignment horizontal="center"/>
    </xf>
    <xf numFmtId="4" fontId="11" fillId="23" borderId="0" xfId="0" applyNumberFormat="1" applyFont="1" applyFill="1" applyAlignment="1">
      <alignment horizontal="left"/>
    </xf>
    <xf numFmtId="43" fontId="21" fillId="10" borderId="0" xfId="1" applyFont="1" applyFill="1" applyAlignment="1">
      <alignment horizontal="center" vertical="center"/>
    </xf>
    <xf numFmtId="0" fontId="0" fillId="23" borderId="0" xfId="0" applyFill="1" applyAlignment="1">
      <alignment horizontal="center"/>
    </xf>
    <xf numFmtId="0" fontId="0" fillId="10" borderId="0" xfId="0" applyFill="1" applyAlignment="1">
      <alignment horizontal="center"/>
    </xf>
    <xf numFmtId="0" fontId="0" fillId="10" borderId="0" xfId="0" applyFill="1" applyAlignment="1">
      <alignment horizontal="center" vertical="center"/>
    </xf>
    <xf numFmtId="0" fontId="6" fillId="0" borderId="0" xfId="0" applyFont="1" applyAlignment="1">
      <alignment wrapText="1"/>
    </xf>
    <xf numFmtId="4" fontId="10" fillId="28" borderId="0" xfId="0" applyNumberFormat="1" applyFont="1" applyFill="1" applyAlignment="1">
      <alignment horizontal="center"/>
    </xf>
    <xf numFmtId="9" fontId="0" fillId="10" borderId="0" xfId="2" applyFont="1" applyFill="1"/>
    <xf numFmtId="0" fontId="44" fillId="13" borderId="0" xfId="0" applyFont="1" applyFill="1" applyAlignment="1">
      <alignment wrapText="1"/>
    </xf>
    <xf numFmtId="0" fontId="8" fillId="13" borderId="0" xfId="0" applyFont="1" applyFill="1" applyAlignment="1">
      <alignment horizontal="left" vertical="center"/>
    </xf>
    <xf numFmtId="4" fontId="8" fillId="13" borderId="0" xfId="0" applyNumberFormat="1" applyFont="1" applyFill="1" applyAlignment="1">
      <alignment horizontal="center" wrapText="1"/>
    </xf>
    <xf numFmtId="4" fontId="8" fillId="13" borderId="0" xfId="0" applyNumberFormat="1" applyFont="1" applyFill="1" applyAlignment="1">
      <alignment horizontal="center" vertical="center" wrapText="1"/>
    </xf>
    <xf numFmtId="0" fontId="44" fillId="13" borderId="0" xfId="0" applyFont="1" applyFill="1" applyAlignment="1">
      <alignment horizontal="left" vertical="top" wrapText="1"/>
    </xf>
    <xf numFmtId="0" fontId="44" fillId="13" borderId="0" xfId="0" applyFont="1" applyFill="1" applyAlignment="1">
      <alignment horizontal="center" vertical="top" wrapText="1"/>
    </xf>
    <xf numFmtId="0" fontId="44" fillId="0" borderId="0" xfId="0" applyFont="1" applyAlignment="1">
      <alignment horizontal="center" vertical="top"/>
    </xf>
    <xf numFmtId="166" fontId="8" fillId="0" borderId="0" xfId="0" applyNumberFormat="1" applyFont="1" applyAlignment="1">
      <alignment horizontal="center"/>
    </xf>
    <xf numFmtId="0" fontId="44" fillId="13" borderId="0" xfId="0" applyFont="1" applyFill="1" applyAlignment="1">
      <alignment horizontal="center" wrapText="1"/>
    </xf>
    <xf numFmtId="0" fontId="45" fillId="0" borderId="0" xfId="0" applyFont="1" applyAlignment="1">
      <alignment horizontal="center"/>
    </xf>
    <xf numFmtId="0" fontId="21" fillId="28" borderId="0" xfId="0" applyFont="1" applyFill="1" applyAlignment="1">
      <alignment horizontal="center"/>
    </xf>
    <xf numFmtId="0" fontId="21" fillId="0" borderId="0" xfId="0" applyFont="1" applyAlignment="1">
      <alignment horizontal="center" vertical="center"/>
    </xf>
    <xf numFmtId="0" fontId="44" fillId="13" borderId="0" xfId="0" applyFont="1" applyFill="1" applyAlignment="1">
      <alignment horizontal="center" vertical="center" wrapText="1"/>
    </xf>
    <xf numFmtId="43" fontId="17" fillId="0" borderId="0" xfId="1" applyFont="1" applyAlignment="1">
      <alignment vertical="center" wrapText="1"/>
    </xf>
    <xf numFmtId="166" fontId="17" fillId="0" borderId="0" xfId="0" applyNumberFormat="1" applyFont="1" applyAlignment="1">
      <alignment vertical="center" wrapText="1"/>
    </xf>
    <xf numFmtId="0" fontId="24" fillId="11" borderId="12" xfId="0" applyFont="1" applyFill="1" applyBorder="1" applyAlignment="1">
      <alignment vertical="center" wrapText="1"/>
    </xf>
    <xf numFmtId="43" fontId="2" fillId="21" borderId="14" xfId="1" applyFont="1" applyFill="1" applyBorder="1" applyAlignment="1">
      <alignment vertical="center" wrapText="1"/>
    </xf>
    <xf numFmtId="0" fontId="17" fillId="0" borderId="0" xfId="0" applyFont="1" applyAlignment="1">
      <alignment horizontal="center" vertical="center" wrapText="1"/>
    </xf>
    <xf numFmtId="0" fontId="17" fillId="25" borderId="12" xfId="0" applyFont="1" applyFill="1" applyBorder="1" applyAlignment="1">
      <alignment vertical="center" wrapText="1"/>
    </xf>
    <xf numFmtId="43" fontId="21" fillId="25" borderId="12" xfId="1" applyFont="1" applyFill="1" applyBorder="1" applyAlignment="1">
      <alignment vertical="center" wrapText="1"/>
    </xf>
    <xf numFmtId="0" fontId="2" fillId="24" borderId="12" xfId="0" applyFont="1" applyFill="1" applyBorder="1" applyAlignment="1">
      <alignment vertical="center" wrapText="1"/>
    </xf>
    <xf numFmtId="166" fontId="2" fillId="24" borderId="12" xfId="0" applyNumberFormat="1" applyFont="1" applyFill="1" applyBorder="1" applyAlignment="1">
      <alignment vertical="center" wrapText="1"/>
    </xf>
    <xf numFmtId="43" fontId="2" fillId="30" borderId="14" xfId="1" applyFont="1" applyFill="1" applyBorder="1" applyAlignment="1">
      <alignment vertical="center" wrapText="1"/>
    </xf>
    <xf numFmtId="43" fontId="2" fillId="31" borderId="14" xfId="1" applyFont="1" applyFill="1" applyBorder="1" applyAlignment="1">
      <alignment vertical="center" wrapText="1"/>
    </xf>
    <xf numFmtId="43" fontId="21" fillId="0" borderId="0" xfId="1" applyFont="1" applyFill="1" applyAlignment="1">
      <alignment horizontal="center" vertical="center" wrapText="1"/>
    </xf>
    <xf numFmtId="0" fontId="17" fillId="11" borderId="13" xfId="0" applyFont="1" applyFill="1" applyBorder="1" applyAlignment="1">
      <alignment vertical="center"/>
    </xf>
    <xf numFmtId="0" fontId="17" fillId="11" borderId="12" xfId="0" applyFont="1" applyFill="1" applyBorder="1" applyAlignment="1">
      <alignment horizontal="center" vertical="center" wrapText="1"/>
    </xf>
    <xf numFmtId="43" fontId="21" fillId="8" borderId="0" xfId="1" applyFont="1" applyFill="1" applyAlignment="1">
      <alignment horizontal="center" vertical="center" wrapText="1"/>
    </xf>
    <xf numFmtId="43" fontId="21" fillId="11" borderId="12" xfId="1" applyFont="1" applyFill="1" applyBorder="1" applyAlignment="1">
      <alignment vertical="center" wrapText="1"/>
    </xf>
    <xf numFmtId="0" fontId="17" fillId="25" borderId="12" xfId="0" applyFont="1" applyFill="1" applyBorder="1" applyAlignment="1">
      <alignment horizontal="center" vertical="center" wrapText="1"/>
    </xf>
    <xf numFmtId="171" fontId="11" fillId="10" borderId="0" xfId="0" applyNumberFormat="1" applyFont="1" applyFill="1" applyAlignment="1">
      <alignment horizontal="center"/>
    </xf>
    <xf numFmtId="0" fontId="17" fillId="10" borderId="0" xfId="0" applyFont="1" applyFill="1" applyAlignment="1">
      <alignment horizontal="center"/>
    </xf>
    <xf numFmtId="171" fontId="11" fillId="10" borderId="2" xfId="0" applyNumberFormat="1" applyFont="1" applyFill="1" applyBorder="1" applyAlignment="1">
      <alignment horizontal="center"/>
    </xf>
    <xf numFmtId="0" fontId="0" fillId="23" borderId="2" xfId="0" applyFill="1" applyBorder="1" applyAlignment="1">
      <alignment horizontal="center"/>
    </xf>
    <xf numFmtId="0" fontId="41" fillId="16" borderId="2" xfId="0" applyFont="1" applyFill="1" applyBorder="1" applyAlignment="1">
      <alignment horizontal="center" vertical="center" textRotation="90" wrapText="1"/>
    </xf>
    <xf numFmtId="43" fontId="21" fillId="8" borderId="12" xfId="1" applyFont="1" applyFill="1" applyBorder="1" applyAlignment="1">
      <alignment vertical="center" wrapText="1"/>
    </xf>
    <xf numFmtId="0" fontId="17" fillId="11" borderId="3" xfId="0" applyFont="1" applyFill="1" applyBorder="1" applyAlignment="1">
      <alignment vertical="center" wrapText="1"/>
    </xf>
    <xf numFmtId="0" fontId="41" fillId="16" borderId="12" xfId="0" applyFont="1" applyFill="1" applyBorder="1" applyAlignment="1">
      <alignment horizontal="center" vertical="center" textRotation="90" wrapText="1"/>
    </xf>
    <xf numFmtId="0" fontId="17" fillId="25" borderId="3" xfId="0" applyFont="1" applyFill="1" applyBorder="1" applyAlignment="1">
      <alignment vertical="center" wrapText="1"/>
    </xf>
    <xf numFmtId="0" fontId="3" fillId="0" borderId="2" xfId="0" applyFont="1" applyBorder="1" applyAlignment="1">
      <alignment horizontal="left" wrapText="1"/>
    </xf>
    <xf numFmtId="172" fontId="21" fillId="8" borderId="0" xfId="1" applyNumberFormat="1" applyFont="1" applyFill="1" applyAlignment="1">
      <alignment vertical="center" wrapText="1"/>
    </xf>
    <xf numFmtId="43" fontId="21" fillId="24" borderId="0" xfId="1" applyFont="1" applyFill="1" applyAlignment="1">
      <alignment vertical="center" wrapText="1"/>
    </xf>
    <xf numFmtId="43" fontId="40" fillId="10" borderId="0" xfId="1" applyFont="1" applyFill="1" applyAlignment="1">
      <alignment vertical="center" wrapText="1"/>
    </xf>
    <xf numFmtId="43" fontId="21" fillId="25" borderId="0" xfId="1" applyFont="1" applyFill="1" applyAlignment="1">
      <alignment vertical="center" wrapText="1"/>
    </xf>
    <xf numFmtId="43" fontId="21" fillId="2" borderId="0" xfId="1" applyFont="1" applyFill="1" applyAlignment="1">
      <alignment vertical="center" wrapText="1"/>
    </xf>
    <xf numFmtId="43" fontId="21" fillId="11" borderId="1" xfId="1" applyFont="1" applyFill="1" applyBorder="1" applyAlignment="1">
      <alignment vertical="center" wrapText="1"/>
    </xf>
    <xf numFmtId="0" fontId="7" fillId="26" borderId="1" xfId="0" applyFont="1" applyFill="1" applyBorder="1" applyAlignment="1">
      <alignment horizontal="center" vertical="center" textRotation="90" wrapText="1"/>
    </xf>
    <xf numFmtId="43" fontId="2" fillId="12" borderId="0" xfId="1" applyFont="1" applyFill="1" applyAlignment="1">
      <alignment vertical="center"/>
    </xf>
    <xf numFmtId="43" fontId="3" fillId="0" borderId="0" xfId="1" applyFont="1" applyAlignment="1">
      <alignment horizontal="center"/>
    </xf>
    <xf numFmtId="43" fontId="21" fillId="8" borderId="2" xfId="1" applyFont="1" applyFill="1" applyBorder="1" applyAlignment="1">
      <alignment horizontal="center" vertical="center"/>
    </xf>
    <xf numFmtId="43" fontId="21" fillId="8" borderId="1" xfId="1" applyFont="1" applyFill="1" applyBorder="1" applyAlignment="1">
      <alignment horizontal="center" vertical="center"/>
    </xf>
    <xf numFmtId="0" fontId="21" fillId="0" borderId="0" xfId="0" applyFont="1" applyAlignment="1">
      <alignment horizontal="center" wrapText="1"/>
    </xf>
    <xf numFmtId="0" fontId="25" fillId="0" borderId="0" xfId="0" applyFont="1" applyAlignment="1">
      <alignment horizontal="left"/>
    </xf>
    <xf numFmtId="0" fontId="25" fillId="0" borderId="2" xfId="0" applyFont="1" applyBorder="1" applyAlignment="1">
      <alignment horizontal="left"/>
    </xf>
    <xf numFmtId="0" fontId="25" fillId="0" borderId="1" xfId="0" applyFont="1" applyBorder="1" applyAlignment="1">
      <alignment horizontal="left" vertical="center"/>
    </xf>
    <xf numFmtId="0" fontId="25" fillId="0" borderId="2" xfId="0" applyFont="1" applyBorder="1" applyAlignment="1">
      <alignment horizontal="left" vertical="center"/>
    </xf>
    <xf numFmtId="0" fontId="25" fillId="0" borderId="1" xfId="0" applyFont="1" applyBorder="1" applyAlignment="1">
      <alignment horizontal="left"/>
    </xf>
    <xf numFmtId="0" fontId="25" fillId="0" borderId="0" xfId="0" applyFont="1" applyAlignment="1">
      <alignment horizontal="center"/>
    </xf>
    <xf numFmtId="0" fontId="25" fillId="0" borderId="2" xfId="0" applyFont="1" applyBorder="1" applyAlignment="1">
      <alignment horizontal="center"/>
    </xf>
    <xf numFmtId="0" fontId="25" fillId="0" borderId="1" xfId="0" applyFont="1" applyBorder="1" applyAlignment="1">
      <alignment horizontal="center" vertical="center"/>
    </xf>
    <xf numFmtId="0" fontId="25" fillId="0" borderId="2" xfId="0" applyFont="1" applyBorder="1" applyAlignment="1">
      <alignment horizontal="center" vertical="center"/>
    </xf>
    <xf numFmtId="0" fontId="25" fillId="0" borderId="1" xfId="0" applyFont="1" applyBorder="1" applyAlignment="1">
      <alignment horizontal="center"/>
    </xf>
    <xf numFmtId="43" fontId="5" fillId="8" borderId="0" xfId="1" applyFont="1" applyFill="1" applyBorder="1" applyAlignment="1">
      <alignment horizontal="center"/>
    </xf>
    <xf numFmtId="43" fontId="5" fillId="8" borderId="2" xfId="1" applyFont="1" applyFill="1" applyBorder="1" applyAlignment="1">
      <alignment horizontal="center"/>
    </xf>
    <xf numFmtId="43" fontId="5" fillId="8" borderId="0" xfId="1" applyFont="1" applyFill="1" applyAlignment="1">
      <alignment horizontal="center"/>
    </xf>
    <xf numFmtId="43" fontId="5" fillId="8" borderId="1" xfId="1" applyFont="1" applyFill="1" applyBorder="1" applyAlignment="1">
      <alignment horizontal="center" vertical="center"/>
    </xf>
    <xf numFmtId="43" fontId="5" fillId="8" borderId="2" xfId="1" applyFont="1" applyFill="1" applyBorder="1" applyAlignment="1">
      <alignment horizontal="center" vertical="center"/>
    </xf>
    <xf numFmtId="43" fontId="5" fillId="8" borderId="1" xfId="1" applyFont="1" applyFill="1" applyBorder="1" applyAlignment="1">
      <alignment horizontal="center"/>
    </xf>
    <xf numFmtId="43" fontId="31" fillId="4" borderId="0" xfId="1" applyFont="1" applyFill="1" applyBorder="1"/>
    <xf numFmtId="43" fontId="31" fillId="4" borderId="2" xfId="1" applyFont="1" applyFill="1" applyBorder="1"/>
    <xf numFmtId="43" fontId="31" fillId="4" borderId="0" xfId="1" applyFont="1" applyFill="1"/>
    <xf numFmtId="43" fontId="31" fillId="4" borderId="1" xfId="1" applyFont="1" applyFill="1" applyBorder="1" applyAlignment="1">
      <alignment vertical="center"/>
    </xf>
    <xf numFmtId="43" fontId="31" fillId="4" borderId="2" xfId="1" applyFont="1" applyFill="1" applyBorder="1" applyAlignment="1">
      <alignment vertical="center"/>
    </xf>
    <xf numFmtId="43" fontId="31" fillId="4" borderId="1" xfId="1" applyFont="1" applyFill="1" applyBorder="1"/>
    <xf numFmtId="0" fontId="7" fillId="12" borderId="0" xfId="0" applyFont="1" applyFill="1" applyAlignment="1">
      <alignment horizontal="center" vertical="center"/>
    </xf>
    <xf numFmtId="166" fontId="7" fillId="12" borderId="0" xfId="0" applyNumberFormat="1" applyFont="1" applyFill="1" applyAlignment="1">
      <alignment vertical="center"/>
    </xf>
    <xf numFmtId="0" fontId="15" fillId="2" borderId="0" xfId="0" applyFont="1" applyFill="1" applyAlignment="1">
      <alignment horizontal="center" vertical="center" wrapText="1"/>
    </xf>
    <xf numFmtId="43" fontId="1" fillId="18" borderId="0" xfId="1" applyFont="1" applyFill="1"/>
    <xf numFmtId="10" fontId="0" fillId="0" borderId="0" xfId="2" applyNumberFormat="1" applyFont="1"/>
    <xf numFmtId="10" fontId="0" fillId="0" borderId="0" xfId="0" applyNumberFormat="1"/>
    <xf numFmtId="0" fontId="50" fillId="0" borderId="0" xfId="3" applyAlignment="1">
      <alignment horizontal="center" wrapText="1"/>
    </xf>
    <xf numFmtId="0" fontId="0" fillId="0" borderId="0" xfId="0" applyAlignment="1">
      <alignment horizontal="left" wrapText="1"/>
    </xf>
    <xf numFmtId="0" fontId="44" fillId="13" borderId="0" xfId="0" applyFont="1" applyFill="1" applyAlignment="1">
      <alignment horizontal="left" vertical="center" wrapText="1"/>
    </xf>
    <xf numFmtId="0" fontId="50" fillId="0" borderId="0" xfId="3" applyAlignment="1">
      <alignment horizontal="left" wrapText="1"/>
    </xf>
    <xf numFmtId="0" fontId="3" fillId="0" borderId="13" xfId="0" applyFont="1" applyBorder="1" applyAlignment="1">
      <alignment wrapText="1"/>
    </xf>
    <xf numFmtId="0" fontId="3" fillId="10" borderId="12" xfId="0" applyFont="1" applyFill="1" applyBorder="1" applyAlignment="1">
      <alignment horizontal="center"/>
    </xf>
    <xf numFmtId="0" fontId="3" fillId="0" borderId="3" xfId="0" applyFont="1" applyBorder="1" applyAlignment="1">
      <alignment wrapText="1"/>
    </xf>
    <xf numFmtId="0" fontId="3" fillId="10" borderId="1" xfId="0" applyFont="1" applyFill="1" applyBorder="1" applyAlignment="1">
      <alignment horizontal="center"/>
    </xf>
    <xf numFmtId="43" fontId="3" fillId="19" borderId="4" xfId="1" applyFont="1" applyFill="1" applyBorder="1" applyAlignment="1">
      <alignment horizontal="center"/>
    </xf>
    <xf numFmtId="43" fontId="17" fillId="19" borderId="14" xfId="1" applyFont="1" applyFill="1" applyBorder="1" applyAlignment="1">
      <alignment horizontal="center"/>
    </xf>
    <xf numFmtId="2" fontId="5" fillId="0" borderId="0" xfId="0" applyNumberFormat="1" applyFont="1" applyAlignment="1">
      <alignment horizontal="center"/>
    </xf>
    <xf numFmtId="2" fontId="5" fillId="0" borderId="0" xfId="0" applyNumberFormat="1" applyFont="1" applyAlignment="1">
      <alignment horizontal="center" vertical="center"/>
    </xf>
    <xf numFmtId="0" fontId="3" fillId="10" borderId="0" xfId="0" applyFont="1" applyFill="1" applyAlignment="1">
      <alignment horizontal="center" vertical="center" wrapText="1"/>
    </xf>
    <xf numFmtId="0" fontId="15" fillId="8" borderId="0" xfId="0" applyFont="1" applyFill="1" applyAlignment="1">
      <alignment horizontal="center"/>
    </xf>
    <xf numFmtId="166" fontId="17" fillId="3" borderId="0" xfId="0" applyNumberFormat="1" applyFont="1" applyFill="1" applyAlignment="1">
      <alignment vertical="center"/>
    </xf>
    <xf numFmtId="0" fontId="2" fillId="12" borderId="0" xfId="0" applyFont="1" applyFill="1" applyAlignment="1">
      <alignment vertical="center" wrapText="1"/>
    </xf>
    <xf numFmtId="9" fontId="0" fillId="0" borderId="0" xfId="2" applyFont="1" applyAlignment="1">
      <alignment horizontal="center"/>
    </xf>
    <xf numFmtId="43" fontId="0" fillId="0" borderId="2" xfId="1" applyFont="1" applyBorder="1"/>
    <xf numFmtId="43" fontId="0" fillId="10" borderId="2" xfId="1" applyFont="1" applyFill="1" applyBorder="1"/>
    <xf numFmtId="43" fontId="0" fillId="32" borderId="0" xfId="0" applyNumberFormat="1" applyFill="1"/>
    <xf numFmtId="0" fontId="3" fillId="27" borderId="0" xfId="0" applyFont="1" applyFill="1" applyAlignment="1">
      <alignment horizontal="center" vertical="center" wrapText="1"/>
    </xf>
    <xf numFmtId="43" fontId="0" fillId="32" borderId="2" xfId="0" applyNumberFormat="1" applyFill="1" applyBorder="1"/>
    <xf numFmtId="43" fontId="0" fillId="32" borderId="1" xfId="0" applyNumberFormat="1" applyFill="1" applyBorder="1"/>
    <xf numFmtId="0" fontId="2" fillId="10" borderId="0" xfId="0" applyFont="1" applyFill="1" applyAlignment="1">
      <alignment horizontal="center" vertical="center"/>
    </xf>
    <xf numFmtId="0" fontId="24" fillId="0" borderId="0" xfId="0" applyFont="1" applyAlignment="1">
      <alignment horizontal="center" vertical="center" wrapText="1"/>
    </xf>
    <xf numFmtId="2" fontId="40" fillId="0" borderId="0" xfId="0" applyNumberFormat="1" applyFont="1"/>
    <xf numFmtId="0" fontId="51" fillId="0" borderId="0" xfId="0" applyFont="1" applyAlignment="1">
      <alignment horizontal="justify" vertical="center" wrapText="1"/>
    </xf>
    <xf numFmtId="0" fontId="51" fillId="0" borderId="0" xfId="0" applyFont="1" applyAlignment="1">
      <alignment horizontal="right" vertical="center" wrapText="1"/>
    </xf>
    <xf numFmtId="0" fontId="52" fillId="0" borderId="0" xfId="0" applyFont="1" applyAlignment="1">
      <alignment horizontal="center" vertical="center" wrapText="1"/>
    </xf>
    <xf numFmtId="0" fontId="53" fillId="0" borderId="0" xfId="0" applyFont="1" applyAlignment="1">
      <alignment horizontal="center" vertical="center" wrapText="1"/>
    </xf>
    <xf numFmtId="9" fontId="0" fillId="0" borderId="0" xfId="0" applyNumberFormat="1"/>
    <xf numFmtId="4" fontId="24" fillId="10" borderId="0" xfId="0" applyNumberFormat="1" applyFont="1" applyFill="1"/>
    <xf numFmtId="0" fontId="50" fillId="0" borderId="0" xfId="3"/>
    <xf numFmtId="174" fontId="0" fillId="0" borderId="0" xfId="0" applyNumberFormat="1" applyAlignment="1">
      <alignment horizontal="center" vertical="center"/>
    </xf>
    <xf numFmtId="0" fontId="3" fillId="2" borderId="0" xfId="0" applyFont="1" applyFill="1" applyAlignment="1">
      <alignment horizontal="right"/>
    </xf>
    <xf numFmtId="4" fontId="11" fillId="9" borderId="0" xfId="0" applyNumberFormat="1" applyFont="1" applyFill="1" applyAlignment="1">
      <alignment horizontal="right"/>
    </xf>
    <xf numFmtId="4" fontId="11" fillId="28" borderId="0" xfId="0" applyNumberFormat="1" applyFont="1" applyFill="1" applyAlignment="1">
      <alignment horizontal="right"/>
    </xf>
    <xf numFmtId="4" fontId="10" fillId="0" borderId="0" xfId="0" applyNumberFormat="1" applyFont="1" applyAlignment="1">
      <alignment horizontal="right"/>
    </xf>
    <xf numFmtId="4" fontId="11" fillId="9" borderId="0" xfId="0" applyNumberFormat="1" applyFont="1" applyFill="1" applyAlignment="1">
      <alignment horizontal="right" vertical="center"/>
    </xf>
    <xf numFmtId="0" fontId="0" fillId="0" borderId="0" xfId="0" applyAlignment="1">
      <alignment horizontal="right"/>
    </xf>
    <xf numFmtId="43" fontId="0" fillId="28" borderId="0" xfId="1" applyFont="1" applyFill="1" applyAlignment="1">
      <alignment horizontal="right" vertical="center"/>
    </xf>
    <xf numFmtId="9" fontId="0" fillId="28" borderId="0" xfId="2" applyFont="1" applyFill="1" applyAlignment="1">
      <alignment horizontal="right" vertical="center"/>
    </xf>
    <xf numFmtId="43" fontId="0" fillId="28" borderId="0" xfId="1" applyFont="1" applyFill="1" applyAlignment="1">
      <alignment horizontal="right"/>
    </xf>
    <xf numFmtId="9" fontId="0" fillId="28" borderId="0" xfId="2" applyFont="1" applyFill="1" applyAlignment="1">
      <alignment horizontal="right"/>
    </xf>
    <xf numFmtId="43" fontId="11" fillId="29" borderId="0" xfId="1" applyFont="1" applyFill="1" applyAlignment="1">
      <alignment horizontal="right" vertical="center"/>
    </xf>
    <xf numFmtId="173" fontId="11" fillId="29" borderId="0" xfId="2" applyNumberFormat="1" applyFont="1" applyFill="1" applyAlignment="1">
      <alignment horizontal="right" vertical="center"/>
    </xf>
    <xf numFmtId="11" fontId="11" fillId="29" borderId="0" xfId="1" applyNumberFormat="1" applyFont="1" applyFill="1" applyAlignment="1">
      <alignment horizontal="right" vertical="center"/>
    </xf>
    <xf numFmtId="168" fontId="0" fillId="28" borderId="0" xfId="1" applyNumberFormat="1" applyFont="1" applyFill="1" applyAlignment="1">
      <alignment horizontal="right" vertical="center"/>
    </xf>
    <xf numFmtId="169" fontId="0" fillId="28" borderId="0" xfId="1" applyNumberFormat="1" applyFont="1" applyFill="1" applyAlignment="1">
      <alignment horizontal="right" vertical="center"/>
    </xf>
    <xf numFmtId="0" fontId="0" fillId="28" borderId="0" xfId="0" applyFill="1" applyAlignment="1">
      <alignment horizontal="right" vertical="center"/>
    </xf>
    <xf numFmtId="0" fontId="21" fillId="28" borderId="0" xfId="0" applyFont="1" applyFill="1" applyAlignment="1">
      <alignment horizontal="right" vertical="center"/>
    </xf>
    <xf numFmtId="0" fontId="21" fillId="28" borderId="0" xfId="0" applyFont="1" applyFill="1" applyAlignment="1">
      <alignment horizontal="right"/>
    </xf>
    <xf numFmtId="2" fontId="21" fillId="28" borderId="0" xfId="0" applyNumberFormat="1" applyFont="1" applyFill="1" applyAlignment="1">
      <alignment horizontal="right" vertical="center"/>
    </xf>
    <xf numFmtId="0" fontId="0" fillId="28" borderId="0" xfId="0" applyFill="1" applyAlignment="1">
      <alignment horizontal="right"/>
    </xf>
    <xf numFmtId="2" fontId="0" fillId="28" borderId="0" xfId="0" applyNumberFormat="1" applyFill="1" applyAlignment="1">
      <alignment horizontal="right" vertical="center"/>
    </xf>
    <xf numFmtId="175" fontId="21" fillId="8" borderId="0" xfId="1" applyNumberFormat="1" applyFont="1" applyFill="1" applyAlignment="1">
      <alignment vertical="center" wrapText="1"/>
    </xf>
    <xf numFmtId="0" fontId="56" fillId="34" borderId="0" xfId="0" applyFont="1" applyFill="1" applyAlignment="1">
      <alignment horizontal="center" vertical="center" wrapText="1"/>
    </xf>
    <xf numFmtId="0" fontId="56" fillId="8" borderId="0" xfId="0" applyFont="1" applyFill="1" applyAlignment="1">
      <alignment horizontal="justify" vertical="center" wrapText="1"/>
    </xf>
    <xf numFmtId="0" fontId="60" fillId="11" borderId="1" xfId="0" applyFont="1" applyFill="1" applyBorder="1" applyAlignment="1">
      <alignment horizontal="justify" vertical="center" wrapText="1"/>
    </xf>
    <xf numFmtId="43" fontId="58" fillId="8" borderId="0" xfId="1" applyFont="1" applyFill="1" applyBorder="1" applyAlignment="1">
      <alignment horizontal="center" vertical="center" wrapText="1"/>
    </xf>
    <xf numFmtId="43" fontId="59" fillId="12" borderId="0" xfId="1" applyFont="1" applyFill="1" applyBorder="1" applyAlignment="1">
      <alignment horizontal="center" vertical="center" wrapText="1"/>
    </xf>
    <xf numFmtId="43" fontId="60" fillId="11" borderId="1" xfId="1" applyFont="1" applyFill="1" applyBorder="1" applyAlignment="1">
      <alignment horizontal="justify" vertical="center" wrapText="1"/>
    </xf>
    <xf numFmtId="0" fontId="56" fillId="8" borderId="0" xfId="0" applyFont="1" applyFill="1" applyAlignment="1">
      <alignment horizontal="left" vertical="center" wrapText="1"/>
    </xf>
    <xf numFmtId="0" fontId="60" fillId="11" borderId="1" xfId="0" applyFont="1" applyFill="1" applyBorder="1" applyAlignment="1">
      <alignment horizontal="left" vertical="center" wrapText="1"/>
    </xf>
    <xf numFmtId="0" fontId="0" fillId="0" borderId="0" xfId="0" applyAlignment="1">
      <alignment horizontal="left"/>
    </xf>
    <xf numFmtId="0" fontId="3" fillId="34" borderId="0" xfId="0" applyFont="1" applyFill="1" applyAlignment="1">
      <alignment horizontal="center"/>
    </xf>
    <xf numFmtId="43" fontId="21" fillId="8" borderId="0" xfId="1" applyFont="1" applyFill="1" applyAlignment="1">
      <alignment horizontal="center"/>
    </xf>
    <xf numFmtId="43" fontId="3" fillId="11" borderId="0" xfId="1" applyFont="1" applyFill="1"/>
    <xf numFmtId="0" fontId="44" fillId="13" borderId="0" xfId="0" applyFont="1" applyFill="1" applyAlignment="1">
      <alignment vertical="center" wrapText="1"/>
    </xf>
    <xf numFmtId="4" fontId="8" fillId="13" borderId="0" xfId="0" applyNumberFormat="1" applyFont="1" applyFill="1" applyAlignment="1">
      <alignment horizontal="left" wrapText="1"/>
    </xf>
    <xf numFmtId="0" fontId="62" fillId="35" borderId="15" xfId="0" applyFont="1" applyFill="1" applyBorder="1" applyAlignment="1">
      <alignment horizontal="center" vertical="center" wrapText="1"/>
    </xf>
    <xf numFmtId="0" fontId="62" fillId="35" borderId="17" xfId="0" applyFont="1" applyFill="1" applyBorder="1" applyAlignment="1">
      <alignment horizontal="center" vertical="center" wrapText="1"/>
    </xf>
    <xf numFmtId="0" fontId="62" fillId="35" borderId="18" xfId="0" applyFont="1" applyFill="1" applyBorder="1" applyAlignment="1">
      <alignment horizontal="center" vertical="center" wrapText="1"/>
    </xf>
    <xf numFmtId="0" fontId="64" fillId="36" borderId="16" xfId="0" applyFont="1" applyFill="1" applyBorder="1" applyAlignment="1">
      <alignment horizontal="center" vertical="center" wrapText="1"/>
    </xf>
    <xf numFmtId="43" fontId="64" fillId="36" borderId="18" xfId="0" applyNumberFormat="1" applyFont="1" applyFill="1" applyBorder="1" applyAlignment="1">
      <alignment horizontal="center" vertical="center" wrapText="1"/>
    </xf>
    <xf numFmtId="0" fontId="65" fillId="36" borderId="16" xfId="0" applyFont="1" applyFill="1" applyBorder="1" applyAlignment="1">
      <alignment horizontal="center" vertical="center" wrapText="1"/>
    </xf>
    <xf numFmtId="43" fontId="65" fillId="36" borderId="18" xfId="0" applyNumberFormat="1" applyFont="1" applyFill="1" applyBorder="1" applyAlignment="1">
      <alignment horizontal="center" vertical="center" wrapText="1"/>
    </xf>
    <xf numFmtId="0" fontId="41" fillId="37" borderId="1" xfId="0" applyFont="1" applyFill="1" applyBorder="1" applyAlignment="1">
      <alignment horizontal="center" vertical="center" textRotation="90" wrapText="1"/>
    </xf>
    <xf numFmtId="0" fontId="17" fillId="10" borderId="2" xfId="0" applyFont="1" applyFill="1" applyBorder="1" applyAlignment="1">
      <alignment vertical="center" wrapText="1"/>
    </xf>
    <xf numFmtId="0" fontId="24" fillId="10" borderId="2" xfId="0" applyFont="1" applyFill="1" applyBorder="1" applyAlignment="1">
      <alignment vertical="center" wrapText="1"/>
    </xf>
    <xf numFmtId="43" fontId="21" fillId="8" borderId="2" xfId="1" applyFont="1" applyFill="1" applyBorder="1" applyAlignment="1">
      <alignment vertical="center" wrapText="1"/>
    </xf>
    <xf numFmtId="0" fontId="17" fillId="25" borderId="7" xfId="0" applyFont="1" applyFill="1" applyBorder="1" applyAlignment="1">
      <alignment vertical="center" wrapText="1"/>
    </xf>
    <xf numFmtId="0" fontId="17" fillId="25" borderId="2" xfId="0" applyFont="1" applyFill="1" applyBorder="1" applyAlignment="1">
      <alignment vertical="center" wrapText="1"/>
    </xf>
    <xf numFmtId="43" fontId="21" fillId="25" borderId="2" xfId="1" applyFont="1" applyFill="1" applyBorder="1" applyAlignment="1">
      <alignment vertical="center" wrapText="1"/>
    </xf>
    <xf numFmtId="0" fontId="17" fillId="24" borderId="12" xfId="0" applyFont="1" applyFill="1" applyBorder="1" applyAlignment="1">
      <alignment vertical="center" wrapText="1"/>
    </xf>
    <xf numFmtId="166" fontId="17" fillId="24" borderId="12" xfId="0" applyNumberFormat="1" applyFont="1" applyFill="1" applyBorder="1" applyAlignment="1">
      <alignment vertical="center" wrapText="1"/>
    </xf>
    <xf numFmtId="43" fontId="17" fillId="31" borderId="14" xfId="1" applyFont="1" applyFill="1" applyBorder="1" applyAlignment="1">
      <alignment vertical="center" wrapText="1"/>
    </xf>
    <xf numFmtId="0" fontId="31" fillId="0" borderId="0" xfId="0" applyFont="1" applyAlignment="1">
      <alignment horizontal="left" wrapText="1"/>
    </xf>
    <xf numFmtId="0" fontId="31" fillId="0" borderId="2" xfId="0" applyFont="1" applyBorder="1" applyAlignment="1">
      <alignment horizontal="left" wrapText="1"/>
    </xf>
    <xf numFmtId="0" fontId="31" fillId="0" borderId="1" xfId="0" applyFont="1" applyBorder="1" applyAlignment="1">
      <alignment horizontal="left" vertical="center" wrapText="1"/>
    </xf>
    <xf numFmtId="0" fontId="31" fillId="0" borderId="2" xfId="0" applyFont="1" applyBorder="1" applyAlignment="1">
      <alignment horizontal="left" vertical="center" wrapText="1"/>
    </xf>
    <xf numFmtId="0" fontId="31" fillId="0" borderId="1" xfId="0" applyFont="1" applyBorder="1" applyAlignment="1">
      <alignment horizontal="left" wrapText="1"/>
    </xf>
    <xf numFmtId="166" fontId="2" fillId="12" borderId="0" xfId="0" applyNumberFormat="1" applyFont="1" applyFill="1" applyAlignment="1">
      <alignment vertical="center"/>
    </xf>
    <xf numFmtId="0" fontId="24" fillId="13" borderId="0" xfId="0" applyFont="1" applyFill="1" applyAlignment="1">
      <alignment vertical="center"/>
    </xf>
    <xf numFmtId="164" fontId="0" fillId="0" borderId="0" xfId="0" applyNumberFormat="1"/>
    <xf numFmtId="0" fontId="0" fillId="28" borderId="0" xfId="0" applyFill="1" applyAlignment="1">
      <alignment vertical="center"/>
    </xf>
    <xf numFmtId="43" fontId="0" fillId="0" borderId="0" xfId="0" applyNumberFormat="1" applyAlignment="1">
      <alignment horizontal="right"/>
    </xf>
    <xf numFmtId="43" fontId="15" fillId="8" borderId="1" xfId="1" applyFont="1" applyFill="1" applyBorder="1" applyAlignment="1">
      <alignment horizontal="center" vertical="center"/>
    </xf>
    <xf numFmtId="43" fontId="15" fillId="8" borderId="1" xfId="1" applyFont="1" applyFill="1" applyBorder="1" applyAlignment="1">
      <alignment horizontal="center"/>
    </xf>
    <xf numFmtId="43" fontId="21" fillId="0" borderId="0" xfId="1" applyFont="1" applyAlignment="1">
      <alignment horizontal="center"/>
    </xf>
    <xf numFmtId="166" fontId="0" fillId="0" borderId="0" xfId="0" applyNumberFormat="1" applyAlignment="1">
      <alignment horizontal="center"/>
    </xf>
    <xf numFmtId="2" fontId="0" fillId="0" borderId="0" xfId="0" applyNumberFormat="1" applyAlignment="1">
      <alignment horizontal="center"/>
    </xf>
    <xf numFmtId="2" fontId="0" fillId="0" borderId="0" xfId="0" applyNumberFormat="1"/>
    <xf numFmtId="43" fontId="0" fillId="0" borderId="0" xfId="0" applyNumberFormat="1" applyAlignment="1">
      <alignment vertical="center"/>
    </xf>
    <xf numFmtId="176" fontId="11" fillId="38" borderId="0" xfId="0" applyNumberFormat="1" applyFont="1" applyFill="1" applyAlignment="1">
      <alignment horizontal="right"/>
    </xf>
    <xf numFmtId="9" fontId="0" fillId="8" borderId="0" xfId="2" applyFont="1" applyFill="1" applyAlignment="1">
      <alignment horizontal="right"/>
    </xf>
    <xf numFmtId="177" fontId="21" fillId="8" borderId="0" xfId="1" applyNumberFormat="1" applyFont="1" applyFill="1" applyAlignment="1">
      <alignment horizontal="center"/>
    </xf>
    <xf numFmtId="177" fontId="3" fillId="11" borderId="0" xfId="1" applyNumberFormat="1" applyFont="1" applyFill="1"/>
    <xf numFmtId="177" fontId="64" fillId="36" borderId="18" xfId="0" applyNumberFormat="1" applyFont="1" applyFill="1" applyBorder="1" applyAlignment="1">
      <alignment horizontal="center" vertical="center" wrapText="1"/>
    </xf>
    <xf numFmtId="177" fontId="65" fillId="36" borderId="18" xfId="0" applyNumberFormat="1" applyFont="1" applyFill="1" applyBorder="1" applyAlignment="1">
      <alignment horizontal="center" vertical="center" wrapText="1"/>
    </xf>
    <xf numFmtId="0" fontId="66" fillId="39" borderId="19" xfId="0" applyFont="1" applyFill="1" applyBorder="1" applyAlignment="1">
      <alignment horizontal="justify" vertical="center" wrapText="1"/>
    </xf>
    <xf numFmtId="0" fontId="67" fillId="36" borderId="20" xfId="0" applyFont="1" applyFill="1" applyBorder="1" applyAlignment="1">
      <alignment horizontal="justify" vertical="center" wrapText="1"/>
    </xf>
    <xf numFmtId="4" fontId="68" fillId="39" borderId="16" xfId="0" applyNumberFormat="1" applyFont="1" applyFill="1" applyBorder="1" applyAlignment="1">
      <alignment horizontal="center" vertical="center" wrapText="1"/>
    </xf>
    <xf numFmtId="4" fontId="69" fillId="36" borderId="18" xfId="0" applyNumberFormat="1" applyFont="1" applyFill="1" applyBorder="1" applyAlignment="1">
      <alignment horizontal="center" vertical="center" wrapText="1"/>
    </xf>
    <xf numFmtId="10" fontId="69" fillId="36" borderId="18" xfId="2" applyNumberFormat="1" applyFont="1" applyFill="1" applyBorder="1" applyAlignment="1">
      <alignment horizontal="center" vertical="center" wrapText="1"/>
    </xf>
    <xf numFmtId="0" fontId="69" fillId="36" borderId="18" xfId="0" applyFont="1" applyFill="1" applyBorder="1" applyAlignment="1">
      <alignment horizontal="justify" vertical="center" wrapText="1"/>
    </xf>
    <xf numFmtId="0" fontId="0" fillId="0" borderId="0" xfId="0" applyAlignment="1">
      <alignment horizontal="center" vertical="center" wrapText="1"/>
    </xf>
    <xf numFmtId="0" fontId="2" fillId="12" borderId="0" xfId="0" applyFont="1" applyFill="1" applyAlignment="1">
      <alignment horizontal="center"/>
    </xf>
    <xf numFmtId="0" fontId="0" fillId="0" borderId="0" xfId="0" applyAlignment="1">
      <alignment horizontal="center" wrapText="1"/>
    </xf>
    <xf numFmtId="0" fontId="8" fillId="0" borderId="0" xfId="0" applyFont="1" applyAlignment="1">
      <alignment horizontal="left" vertical="center" wrapText="1"/>
    </xf>
    <xf numFmtId="0" fontId="8" fillId="0" borderId="6" xfId="0" applyFont="1" applyBorder="1" applyAlignment="1">
      <alignment horizontal="left" vertical="center" wrapText="1"/>
    </xf>
    <xf numFmtId="0" fontId="0" fillId="0" borderId="0" xfId="0" applyAlignment="1">
      <alignment horizontal="center"/>
    </xf>
    <xf numFmtId="0" fontId="8" fillId="0" borderId="2" xfId="0" applyFont="1" applyBorder="1" applyAlignment="1">
      <alignment horizontal="left" vertical="center" wrapText="1"/>
    </xf>
    <xf numFmtId="0" fontId="8" fillId="0" borderId="8" xfId="0" applyFont="1" applyBorder="1" applyAlignment="1">
      <alignment horizontal="left" vertical="center" wrapText="1"/>
    </xf>
    <xf numFmtId="0" fontId="7" fillId="12" borderId="3" xfId="0" applyFont="1" applyFill="1" applyBorder="1" applyAlignment="1">
      <alignment horizontal="center"/>
    </xf>
    <xf numFmtId="0" fontId="7" fillId="12" borderId="1" xfId="0" applyFont="1" applyFill="1" applyBorder="1" applyAlignment="1">
      <alignment horizontal="center"/>
    </xf>
    <xf numFmtId="0" fontId="7" fillId="12" borderId="4" xfId="0" applyFont="1" applyFill="1" applyBorder="1" applyAlignment="1">
      <alignment horizontal="center"/>
    </xf>
    <xf numFmtId="0" fontId="0" fillId="0" borderId="1"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8" fillId="0" borderId="0" xfId="0" applyFont="1" applyAlignment="1">
      <alignment horizontal="left" vertical="center"/>
    </xf>
    <xf numFmtId="0" fontId="8" fillId="0" borderId="6" xfId="0" applyFont="1" applyBorder="1" applyAlignment="1">
      <alignment horizontal="left" vertical="center"/>
    </xf>
    <xf numFmtId="14" fontId="0" fillId="0" borderId="0" xfId="0" applyNumberFormat="1" applyAlignment="1">
      <alignment horizontal="center"/>
    </xf>
    <xf numFmtId="0" fontId="2" fillId="12" borderId="0" xfId="0" applyFont="1" applyFill="1" applyAlignment="1">
      <alignment horizontal="center" vertical="center"/>
    </xf>
    <xf numFmtId="0" fontId="0" fillId="0" borderId="0" xfId="0" applyAlignment="1">
      <alignment horizontal="left" vertical="center" wrapText="1"/>
    </xf>
    <xf numFmtId="0" fontId="44" fillId="13" borderId="0" xfId="0" applyFont="1" applyFill="1" applyAlignment="1">
      <alignment horizontal="left" wrapText="1"/>
    </xf>
    <xf numFmtId="0" fontId="4" fillId="12" borderId="0" xfId="0" applyFont="1" applyFill="1"/>
    <xf numFmtId="0" fontId="25" fillId="0" borderId="0" xfId="0" applyFont="1" applyAlignment="1">
      <alignment horizontal="center" vertical="top" wrapText="1"/>
    </xf>
    <xf numFmtId="0" fontId="41" fillId="17" borderId="0" xfId="0" applyFont="1" applyFill="1" applyAlignment="1">
      <alignment horizontal="center" vertical="center" textRotation="90" wrapText="1"/>
    </xf>
    <xf numFmtId="0" fontId="41" fillId="13" borderId="0" xfId="0" applyFont="1" applyFill="1" applyAlignment="1">
      <alignment horizontal="center" vertical="center" textRotation="90" wrapText="1"/>
    </xf>
    <xf numFmtId="0" fontId="41" fillId="16" borderId="1" xfId="0" applyFont="1" applyFill="1" applyBorder="1" applyAlignment="1">
      <alignment horizontal="center" vertical="center" textRotation="90" wrapText="1"/>
    </xf>
    <xf numFmtId="0" fontId="41" fillId="16" borderId="0" xfId="0" applyFont="1" applyFill="1" applyAlignment="1">
      <alignment horizontal="center" vertical="center" textRotation="90" wrapText="1"/>
    </xf>
    <xf numFmtId="0" fontId="41" fillId="8" borderId="1" xfId="0" applyFont="1" applyFill="1" applyBorder="1" applyAlignment="1">
      <alignment horizontal="center" vertical="center" textRotation="90" wrapText="1"/>
    </xf>
    <xf numFmtId="0" fontId="41" fillId="8" borderId="0" xfId="0" applyFont="1" applyFill="1" applyAlignment="1">
      <alignment horizontal="center" vertical="center" textRotation="90" wrapText="1"/>
    </xf>
    <xf numFmtId="0" fontId="41" fillId="8" borderId="2" xfId="0" applyFont="1" applyFill="1" applyBorder="1" applyAlignment="1">
      <alignment horizontal="center" vertical="center" textRotation="90" wrapText="1"/>
    </xf>
    <xf numFmtId="0" fontId="41" fillId="5" borderId="0" xfId="0" applyFont="1" applyFill="1" applyAlignment="1">
      <alignment horizontal="center" vertical="center" textRotation="90" wrapText="1"/>
    </xf>
    <xf numFmtId="0" fontId="41" fillId="5" borderId="2" xfId="0" applyFont="1" applyFill="1" applyBorder="1" applyAlignment="1">
      <alignment horizontal="center" vertical="center" textRotation="90" wrapText="1"/>
    </xf>
    <xf numFmtId="0" fontId="2" fillId="12" borderId="0" xfId="0" applyFont="1" applyFill="1" applyAlignment="1">
      <alignment horizontal="center" vertical="center" wrapText="1"/>
    </xf>
    <xf numFmtId="0" fontId="2" fillId="21" borderId="0" xfId="0" applyFont="1" applyFill="1" applyAlignment="1">
      <alignment horizontal="center" vertical="center"/>
    </xf>
    <xf numFmtId="0" fontId="2" fillId="33" borderId="0" xfId="0" applyFont="1" applyFill="1" applyAlignment="1">
      <alignment horizontal="center" vertical="center" wrapText="1"/>
    </xf>
    <xf numFmtId="0" fontId="15" fillId="13" borderId="0" xfId="0" applyFont="1" applyFill="1" applyAlignment="1">
      <alignment horizontal="center"/>
    </xf>
    <xf numFmtId="0" fontId="37" fillId="12" borderId="0" xfId="0" applyFont="1" applyFill="1" applyAlignment="1">
      <alignment horizontal="center"/>
    </xf>
    <xf numFmtId="0" fontId="0" fillId="0" borderId="0" xfId="0" applyAlignment="1">
      <alignment horizontal="center" textRotation="90" wrapText="1"/>
    </xf>
    <xf numFmtId="0" fontId="3" fillId="2" borderId="0" xfId="0" applyFont="1" applyFill="1" applyAlignment="1">
      <alignment horizontal="center" vertical="center" wrapText="1"/>
    </xf>
    <xf numFmtId="0" fontId="3" fillId="2" borderId="2" xfId="0" applyFont="1" applyFill="1" applyBorder="1" applyAlignment="1">
      <alignment horizontal="center" vertical="center" wrapText="1"/>
    </xf>
    <xf numFmtId="0" fontId="2" fillId="15" borderId="0" xfId="0" applyFont="1" applyFill="1" applyAlignment="1">
      <alignment horizontal="center" vertical="center"/>
    </xf>
    <xf numFmtId="0" fontId="2" fillId="12" borderId="0" xfId="0" applyFont="1" applyFill="1" applyAlignment="1">
      <alignment horizontal="center" wrapText="1"/>
    </xf>
    <xf numFmtId="0" fontId="2" fillId="12" borderId="3" xfId="0" applyFont="1" applyFill="1" applyBorder="1" applyAlignment="1">
      <alignment horizontal="center" wrapText="1"/>
    </xf>
    <xf numFmtId="0" fontId="2" fillId="12" borderId="4" xfId="0" applyFont="1" applyFill="1" applyBorder="1" applyAlignment="1">
      <alignment horizontal="center" wrapText="1"/>
    </xf>
    <xf numFmtId="0" fontId="2" fillId="12" borderId="5" xfId="0" applyFont="1" applyFill="1" applyBorder="1" applyAlignment="1">
      <alignment horizontal="center" wrapText="1"/>
    </xf>
    <xf numFmtId="0" fontId="2" fillId="12" borderId="6" xfId="0" applyFont="1" applyFill="1" applyBorder="1" applyAlignment="1">
      <alignment horizontal="center" wrapText="1"/>
    </xf>
    <xf numFmtId="0" fontId="3" fillId="2" borderId="1" xfId="0" applyFont="1" applyFill="1" applyBorder="1" applyAlignment="1">
      <alignment horizontal="center" vertical="center" wrapText="1"/>
    </xf>
    <xf numFmtId="0" fontId="2" fillId="12" borderId="0" xfId="0" applyFont="1" applyFill="1" applyAlignment="1">
      <alignment horizontal="center" vertical="center" textRotation="90"/>
    </xf>
    <xf numFmtId="0" fontId="37" fillId="12" borderId="0" xfId="0" applyFont="1" applyFill="1" applyAlignment="1">
      <alignment horizontal="center" vertical="center" wrapText="1"/>
    </xf>
    <xf numFmtId="0" fontId="25" fillId="0" borderId="0" xfId="0" applyFont="1" applyAlignment="1">
      <alignment horizontal="center" vertical="center" wrapText="1"/>
    </xf>
    <xf numFmtId="0" fontId="25" fillId="22" borderId="1" xfId="0" applyFont="1" applyFill="1" applyBorder="1" applyAlignment="1">
      <alignment horizontal="center" vertical="center" wrapText="1"/>
    </xf>
    <xf numFmtId="0" fontId="25" fillId="22" borderId="2" xfId="0" applyFont="1" applyFill="1" applyBorder="1" applyAlignment="1">
      <alignment horizontal="center" vertical="center" wrapText="1"/>
    </xf>
    <xf numFmtId="0" fontId="25" fillId="19" borderId="1" xfId="0" applyFont="1" applyFill="1" applyBorder="1" applyAlignment="1">
      <alignment horizontal="center" vertical="center" wrapText="1"/>
    </xf>
    <xf numFmtId="0" fontId="25" fillId="19" borderId="2" xfId="0" applyFont="1" applyFill="1" applyBorder="1" applyAlignment="1">
      <alignment horizontal="center" vertical="center" wrapText="1"/>
    </xf>
    <xf numFmtId="0" fontId="25" fillId="20" borderId="1" xfId="0" applyFont="1" applyFill="1" applyBorder="1" applyAlignment="1">
      <alignment horizontal="center" vertical="center" wrapText="1"/>
    </xf>
    <xf numFmtId="0" fontId="25" fillId="20" borderId="2" xfId="0" applyFont="1" applyFill="1" applyBorder="1" applyAlignment="1">
      <alignment horizontal="center" vertical="center" wrapText="1"/>
    </xf>
    <xf numFmtId="0" fontId="25" fillId="17" borderId="1" xfId="0" applyFont="1" applyFill="1" applyBorder="1" applyAlignment="1">
      <alignment horizontal="center" vertical="center" wrapText="1"/>
    </xf>
    <xf numFmtId="0" fontId="25" fillId="17" borderId="2" xfId="0" applyFont="1" applyFill="1" applyBorder="1" applyAlignment="1">
      <alignment horizontal="center" vertical="center" wrapText="1"/>
    </xf>
    <xf numFmtId="0" fontId="25" fillId="18" borderId="1" xfId="0" applyFont="1" applyFill="1" applyBorder="1" applyAlignment="1">
      <alignment horizontal="center" vertical="center" wrapText="1"/>
    </xf>
    <xf numFmtId="0" fontId="25" fillId="18" borderId="2" xfId="0" applyFont="1" applyFill="1" applyBorder="1" applyAlignment="1">
      <alignment horizontal="center" vertical="center" wrapText="1"/>
    </xf>
    <xf numFmtId="0" fontId="25" fillId="13" borderId="1" xfId="0" applyFont="1" applyFill="1" applyBorder="1" applyAlignment="1">
      <alignment horizontal="center" vertical="center" wrapText="1"/>
    </xf>
    <xf numFmtId="0" fontId="25" fillId="13" borderId="2" xfId="0" applyFont="1" applyFill="1" applyBorder="1" applyAlignment="1">
      <alignment horizontal="center" vertical="center" wrapText="1"/>
    </xf>
    <xf numFmtId="0" fontId="3" fillId="19" borderId="1" xfId="0" applyFont="1" applyFill="1" applyBorder="1" applyAlignment="1">
      <alignment horizontal="center" vertical="center" wrapText="1"/>
    </xf>
    <xf numFmtId="0" fontId="3" fillId="19" borderId="0" xfId="0" applyFont="1" applyFill="1" applyAlignment="1">
      <alignment horizontal="center" vertical="center" wrapText="1"/>
    </xf>
    <xf numFmtId="0" fontId="3" fillId="19" borderId="2" xfId="0" applyFont="1" applyFill="1" applyBorder="1" applyAlignment="1">
      <alignment horizontal="center" vertical="center" wrapText="1"/>
    </xf>
    <xf numFmtId="0" fontId="2" fillId="21" borderId="0" xfId="0" applyFont="1" applyFill="1" applyAlignment="1">
      <alignment horizontal="center" vertical="center" wrapText="1"/>
    </xf>
    <xf numFmtId="0" fontId="3" fillId="13" borderId="0" xfId="0" applyFont="1" applyFill="1" applyAlignment="1">
      <alignment horizontal="center" vertical="center" wrapText="1"/>
    </xf>
    <xf numFmtId="0" fontId="15" fillId="10" borderId="1" xfId="0" applyFont="1" applyFill="1" applyBorder="1" applyAlignment="1">
      <alignment horizontal="center" vertical="center" wrapText="1"/>
    </xf>
    <xf numFmtId="0" fontId="3" fillId="13" borderId="0" xfId="0" applyFont="1" applyFill="1" applyAlignment="1">
      <alignment horizontal="center" vertical="center" textRotation="90" wrapText="1"/>
    </xf>
    <xf numFmtId="0" fontId="3" fillId="19" borderId="1" xfId="0" applyFont="1" applyFill="1" applyBorder="1" applyAlignment="1">
      <alignment horizontal="center" vertical="center" textRotation="90" wrapText="1"/>
    </xf>
    <xf numFmtId="0" fontId="3" fillId="19" borderId="0" xfId="0" applyFont="1" applyFill="1" applyAlignment="1">
      <alignment horizontal="center" vertical="center" textRotation="90" wrapText="1"/>
    </xf>
    <xf numFmtId="0" fontId="3" fillId="19" borderId="2" xfId="0" applyFont="1" applyFill="1" applyBorder="1" applyAlignment="1">
      <alignment horizontal="center" vertical="center" textRotation="90" wrapText="1"/>
    </xf>
    <xf numFmtId="0" fontId="3" fillId="27" borderId="0" xfId="0" applyFont="1" applyFill="1" applyAlignment="1">
      <alignment horizontal="center" vertical="center" textRotation="90" wrapText="1"/>
    </xf>
    <xf numFmtId="0" fontId="7" fillId="12" borderId="0" xfId="0" applyFont="1" applyFill="1" applyAlignment="1">
      <alignment horizontal="center" vertical="center" textRotation="90" wrapText="1"/>
    </xf>
    <xf numFmtId="0" fontId="7" fillId="17" borderId="0" xfId="0" applyFont="1" applyFill="1" applyAlignment="1">
      <alignment horizontal="center" vertical="center" textRotation="90" wrapText="1"/>
    </xf>
    <xf numFmtId="0" fontId="7" fillId="13" borderId="0" xfId="0" applyFont="1" applyFill="1" applyAlignment="1">
      <alignment horizontal="center" vertical="center" textRotation="90" wrapText="1"/>
    </xf>
    <xf numFmtId="0" fontId="7" fillId="13" borderId="2" xfId="0" applyFont="1" applyFill="1" applyBorder="1" applyAlignment="1">
      <alignment horizontal="center" vertical="center" textRotation="90" wrapText="1"/>
    </xf>
    <xf numFmtId="0" fontId="37" fillId="12" borderId="0" xfId="0" applyFont="1" applyFill="1" applyAlignment="1">
      <alignment horizontal="center" vertical="center" textRotation="90"/>
    </xf>
    <xf numFmtId="0" fontId="41" fillId="4" borderId="1" xfId="0" applyFont="1" applyFill="1" applyBorder="1" applyAlignment="1">
      <alignment horizontal="center" vertical="center" textRotation="90" wrapText="1"/>
    </xf>
    <xf numFmtId="0" fontId="41" fillId="4" borderId="2" xfId="0" applyFont="1" applyFill="1" applyBorder="1" applyAlignment="1">
      <alignment horizontal="center" vertical="center" textRotation="90" wrapText="1"/>
    </xf>
    <xf numFmtId="0" fontId="41" fillId="19" borderId="1" xfId="0" applyFont="1" applyFill="1" applyBorder="1" applyAlignment="1">
      <alignment horizontal="center" vertical="center" textRotation="90" wrapText="1"/>
    </xf>
    <xf numFmtId="0" fontId="41" fillId="19" borderId="0" xfId="0" applyFont="1" applyFill="1" applyAlignment="1">
      <alignment horizontal="center" vertical="center" textRotation="90" wrapText="1"/>
    </xf>
    <xf numFmtId="0" fontId="41" fillId="19" borderId="2" xfId="0" applyFont="1" applyFill="1" applyBorder="1" applyAlignment="1">
      <alignment horizontal="center" vertical="center" textRotation="90" wrapText="1"/>
    </xf>
    <xf numFmtId="0" fontId="17" fillId="24" borderId="1" xfId="0" applyFont="1" applyFill="1" applyBorder="1" applyAlignment="1">
      <alignment horizontal="left" vertical="center" wrapText="1"/>
    </xf>
    <xf numFmtId="0" fontId="41" fillId="25" borderId="1" xfId="0" applyFont="1" applyFill="1" applyBorder="1" applyAlignment="1">
      <alignment horizontal="center" vertical="center" textRotation="90" wrapText="1"/>
    </xf>
    <xf numFmtId="0" fontId="41" fillId="25" borderId="0" xfId="0" applyFont="1" applyFill="1" applyAlignment="1">
      <alignment horizontal="center" vertical="center" textRotation="90" wrapText="1"/>
    </xf>
    <xf numFmtId="0" fontId="41" fillId="25" borderId="2" xfId="0" applyFont="1" applyFill="1" applyBorder="1" applyAlignment="1">
      <alignment horizontal="center" vertical="center" textRotation="90" wrapText="1"/>
    </xf>
    <xf numFmtId="0" fontId="41" fillId="5" borderId="1" xfId="0" applyFont="1" applyFill="1" applyBorder="1" applyAlignment="1">
      <alignment horizontal="center" vertical="center" textRotation="90" wrapText="1"/>
    </xf>
    <xf numFmtId="0" fontId="41" fillId="37" borderId="1" xfId="0" applyFont="1" applyFill="1" applyBorder="1" applyAlignment="1">
      <alignment horizontal="center" vertical="center" textRotation="90" wrapText="1"/>
    </xf>
    <xf numFmtId="0" fontId="41" fillId="37" borderId="0" xfId="0" applyFont="1" applyFill="1" applyAlignment="1">
      <alignment horizontal="center" vertical="center" textRotation="90" wrapText="1"/>
    </xf>
    <xf numFmtId="0" fontId="41" fillId="37" borderId="2" xfId="0" applyFont="1" applyFill="1" applyBorder="1" applyAlignment="1">
      <alignment horizontal="center" vertical="center" textRotation="90" wrapText="1"/>
    </xf>
    <xf numFmtId="0" fontId="37" fillId="12" borderId="0" xfId="0" applyFont="1" applyFill="1" applyAlignment="1">
      <alignment horizontal="center" vertical="center" textRotation="90" wrapText="1"/>
    </xf>
    <xf numFmtId="0" fontId="2" fillId="24" borderId="13" xfId="0" applyFont="1" applyFill="1" applyBorder="1" applyAlignment="1">
      <alignment horizontal="center" vertical="center" wrapText="1"/>
    </xf>
    <xf numFmtId="0" fontId="2" fillId="24" borderId="12" xfId="0" applyFont="1" applyFill="1" applyBorder="1" applyAlignment="1">
      <alignment horizontal="center" vertical="center" wrapText="1"/>
    </xf>
    <xf numFmtId="0" fontId="24" fillId="0" borderId="0" xfId="0" applyFont="1" applyAlignment="1">
      <alignment horizontal="center" vertical="center"/>
    </xf>
    <xf numFmtId="0" fontId="54" fillId="33" borderId="0" xfId="0" applyFont="1" applyFill="1" applyAlignment="1">
      <alignment horizontal="left" vertical="center" wrapText="1"/>
    </xf>
    <xf numFmtId="0" fontId="54" fillId="33" borderId="0" xfId="0" applyFont="1" applyFill="1" applyAlignment="1">
      <alignment horizontal="center" vertical="center" wrapText="1"/>
    </xf>
    <xf numFmtId="0" fontId="55" fillId="33" borderId="0" xfId="0" applyFont="1" applyFill="1" applyAlignment="1">
      <alignment horizontal="center" vertical="center" wrapText="1"/>
    </xf>
    <xf numFmtId="0" fontId="3" fillId="0" borderId="0" xfId="0" applyFont="1" applyAlignment="1">
      <alignment horizontal="left" vertical="center"/>
    </xf>
    <xf numFmtId="0" fontId="2" fillId="12" borderId="0" xfId="0" applyFont="1" applyFill="1" applyAlignment="1">
      <alignment horizontal="left" vertical="center" wrapText="1"/>
    </xf>
    <xf numFmtId="0" fontId="62" fillId="35" borderId="15" xfId="0" applyFont="1" applyFill="1" applyBorder="1" applyAlignment="1">
      <alignment horizontal="center" vertical="center" wrapText="1"/>
    </xf>
    <xf numFmtId="0" fontId="62" fillId="35" borderId="16" xfId="0" applyFont="1" applyFill="1" applyBorder="1" applyAlignment="1">
      <alignment horizontal="center" vertical="center" wrapText="1"/>
    </xf>
  </cellXfs>
  <cellStyles count="4">
    <cellStyle name="Hiperlink" xfId="3" builtinId="8"/>
    <cellStyle name="Normal" xfId="0" builtinId="0"/>
    <cellStyle name="Porcentagem" xfId="2" builtinId="5"/>
    <cellStyle name="Vírgula" xfId="1" builtinId="3"/>
  </cellStyles>
  <dxfs count="8">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9" tint="-0.499984740745262"/>
      </font>
      <fill>
        <patternFill>
          <bgColor theme="9" tint="0.79998168889431442"/>
        </patternFill>
      </fill>
    </dxf>
    <dxf>
      <font>
        <color theme="7" tint="-0.499984740745262"/>
      </font>
      <fill>
        <patternFill>
          <bgColor theme="7" tint="0.79998168889431442"/>
        </patternFill>
      </fill>
    </dxf>
    <dxf>
      <font>
        <color theme="4" tint="-0.499984740745262"/>
      </font>
      <fill>
        <patternFill>
          <bgColor theme="4" tint="0.79998168889431442"/>
        </patternFill>
      </fill>
    </dxf>
    <dxf>
      <font>
        <color theme="0" tint="-0.499984740745262"/>
      </font>
      <fill>
        <patternFill>
          <bgColor theme="0" tint="-4.9989318521683403E-2"/>
        </patternFill>
      </fill>
    </dxf>
    <dxf>
      <font>
        <color theme="5" tint="-0.499984740745262"/>
      </font>
      <fill>
        <patternFill>
          <bgColor theme="5" tint="0.79998168889431442"/>
        </patternFill>
      </fill>
    </dxf>
  </dxfs>
  <tableStyles count="0" defaultTableStyle="TableStyleMedium2" defaultPivotStyle="PivotStyleLight16"/>
  <colors>
    <mruColors>
      <color rgb="FFDDEBF7"/>
      <color rgb="FF44546A"/>
      <color rgb="FFA9D08E"/>
      <color rgb="FF006699"/>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pt-PT" b="1"/>
              <a:t>Total Carbon Stock</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pt-BR"/>
        </a:p>
      </c:txPr>
    </c:title>
    <c:autoTitleDeleted val="0"/>
    <c:plotArea>
      <c:layout/>
      <c:barChart>
        <c:barDir val="col"/>
        <c:grouping val="clustered"/>
        <c:varyColors val="0"/>
        <c:ser>
          <c:idx val="0"/>
          <c:order val="0"/>
          <c:spPr>
            <a:pattFill prst="pct90">
              <a:fgClr>
                <a:schemeClr val="accent6"/>
              </a:fgClr>
              <a:bgClr>
                <a:schemeClr val="bg1"/>
              </a:bgClr>
            </a:pattFill>
            <a:ln>
              <a:solidFill>
                <a:schemeClr val="accent6">
                  <a:lumMod val="50000"/>
                </a:schemeClr>
              </a:solidFill>
            </a:ln>
            <a:effectLst/>
          </c:spPr>
          <c:invertIfNegative val="0"/>
          <c:cat>
            <c:strRef>
              <c:f>Biomass!$C$6:$F$6</c:f>
              <c:strCache>
                <c:ptCount val="4"/>
                <c:pt idx="0">
                  <c:v>Aluvial</c:v>
                </c:pt>
                <c:pt idx="1">
                  <c:v>Encosta</c:v>
                </c:pt>
                <c:pt idx="2">
                  <c:v>FOB Densa Submontana</c:v>
                </c:pt>
                <c:pt idx="3">
                  <c:v>FOB submontana</c:v>
                </c:pt>
              </c:strCache>
            </c:strRef>
          </c:cat>
          <c:val>
            <c:numRef>
              <c:f>Biomass!$C$11:$F$11</c:f>
              <c:numCache>
                <c:formatCode>_(* #,##0.00_);_(* \(#,##0.00\);_(* "-"??_);_(@_)</c:formatCode>
                <c:ptCount val="4"/>
                <c:pt idx="0">
                  <c:v>470.09177813954449</c:v>
                </c:pt>
                <c:pt idx="1">
                  <c:v>478.76992451386366</c:v>
                </c:pt>
                <c:pt idx="2">
                  <c:v>494.74584576811208</c:v>
                </c:pt>
                <c:pt idx="3">
                  <c:v>455.546916816909</c:v>
                </c:pt>
              </c:numCache>
            </c:numRef>
          </c:val>
          <c:extLst>
            <c:ext xmlns:c16="http://schemas.microsoft.com/office/drawing/2014/chart" uri="{C3380CC4-5D6E-409C-BE32-E72D297353CC}">
              <c16:uniqueId val="{00000000-0DF7-4BE7-9469-34239F1FD711}"/>
            </c:ext>
          </c:extLst>
        </c:ser>
        <c:dLbls>
          <c:showLegendKey val="0"/>
          <c:showVal val="0"/>
          <c:showCatName val="0"/>
          <c:showSerName val="0"/>
          <c:showPercent val="0"/>
          <c:showBubbleSize val="0"/>
        </c:dLbls>
        <c:gapWidth val="219"/>
        <c:overlap val="-27"/>
        <c:axId val="198471535"/>
        <c:axId val="198469039"/>
      </c:barChart>
      <c:catAx>
        <c:axId val="198471535"/>
        <c:scaling>
          <c:orientation val="minMax"/>
        </c:scaling>
        <c:delete val="0"/>
        <c:axPos val="b"/>
        <c:title>
          <c:tx>
            <c:rich>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pt-PT" b="1"/>
                  <a:t>Stratum</a:t>
                </a:r>
              </a:p>
            </c:rich>
          </c:tx>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pt-BR"/>
            </a:p>
          </c:txPr>
        </c:title>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crossAx val="198469039"/>
        <c:crosses val="autoZero"/>
        <c:auto val="1"/>
        <c:lblAlgn val="ctr"/>
        <c:lblOffset val="100"/>
        <c:noMultiLvlLbl val="0"/>
      </c:catAx>
      <c:valAx>
        <c:axId val="198469039"/>
        <c:scaling>
          <c:orientation val="minMax"/>
        </c:scaling>
        <c:delete val="0"/>
        <c:axPos val="l"/>
        <c:title>
          <c:tx>
            <c:rich>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pt-PT" b="1"/>
                  <a:t>Total Carbon Stock (tCO</a:t>
                </a:r>
                <a:r>
                  <a:rPr lang="pt-PT" b="1" baseline="-25000"/>
                  <a:t>2</a:t>
                </a:r>
                <a:r>
                  <a:rPr lang="pt-PT" b="1"/>
                  <a:t>-e ha</a:t>
                </a:r>
                <a:r>
                  <a:rPr lang="pt-PT" b="1" baseline="30000"/>
                  <a:t>-1</a:t>
                </a:r>
                <a:r>
                  <a:rPr lang="pt-PT" b="1"/>
                  <a:t>)</a:t>
                </a:r>
              </a:p>
            </c:rich>
          </c:tx>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pt-BR"/>
            </a:p>
          </c:txPr>
        </c:title>
        <c:numFmt formatCode="_(* #,##0.00_);_(* \(#,##0.00\);_(* &quot;-&quot;??_);_(@_)"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crossAx val="198471535"/>
        <c:crosses val="autoZero"/>
        <c:crossBetween val="between"/>
      </c:valAx>
      <c:spPr>
        <a:noFill/>
        <a:ln>
          <a:solidFill>
            <a:sysClr val="windowText" lastClr="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defRPr>
      </a:pPr>
      <a:endParaRPr lang="pt-BR"/>
    </a:p>
  </c:txPr>
  <c:printSettings>
    <c:headerFooter/>
    <c:pageMargins b="0.78740157499999996" l="0.511811024" r="0.511811024" t="0.78740157499999996" header="0.31496062000000002" footer="0.3149606200000000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'Resume_Ex-post'!$A$9</c:f>
              <c:strCache>
                <c:ptCount val="1"/>
                <c:pt idx="0">
                  <c:v>Baseline emissions</c:v>
                </c:pt>
              </c:strCache>
            </c:strRef>
          </c:tx>
          <c:spPr>
            <a:pattFill prst="lgConfetti">
              <a:fgClr>
                <a:schemeClr val="accent6">
                  <a:lumMod val="60000"/>
                  <a:lumOff val="40000"/>
                </a:schemeClr>
              </a:fgClr>
              <a:bgClr>
                <a:schemeClr val="bg1"/>
              </a:bgClr>
            </a:pattFill>
            <a:ln>
              <a:solidFill>
                <a:schemeClr val="accent6">
                  <a:lumMod val="50000"/>
                </a:schemeClr>
              </a:solidFill>
            </a:ln>
            <a:effectLst/>
          </c:spPr>
          <c:invertIfNegative val="0"/>
          <c:cat>
            <c:strRef>
              <c:f>'Resume_Ex-post'!$C$6:$E$6</c:f>
              <c:strCache>
                <c:ptCount val="3"/>
                <c:pt idx="0">
                  <c:v>2019-2020</c:v>
                </c:pt>
                <c:pt idx="1">
                  <c:v>2020-2021</c:v>
                </c:pt>
                <c:pt idx="2">
                  <c:v>2021-2022</c:v>
                </c:pt>
              </c:strCache>
            </c:strRef>
          </c:cat>
          <c:val>
            <c:numRef>
              <c:f>'Resume_Ex-post'!$C$9:$E$9</c:f>
              <c:numCache>
                <c:formatCode>_(* #,##0.00_);_(* \(#,##0.00\);_(* "-"??_);_(@_)</c:formatCode>
                <c:ptCount val="3"/>
                <c:pt idx="0">
                  <c:v>72573.573868837717</c:v>
                </c:pt>
                <c:pt idx="1">
                  <c:v>112816.76363879994</c:v>
                </c:pt>
                <c:pt idx="2">
                  <c:v>243372.62448287685</c:v>
                </c:pt>
              </c:numCache>
            </c:numRef>
          </c:val>
          <c:extLst>
            <c:ext xmlns:c16="http://schemas.microsoft.com/office/drawing/2014/chart" uri="{C3380CC4-5D6E-409C-BE32-E72D297353CC}">
              <c16:uniqueId val="{00000000-55AF-43A3-804D-63F52552F2E5}"/>
            </c:ext>
          </c:extLst>
        </c:ser>
        <c:ser>
          <c:idx val="1"/>
          <c:order val="1"/>
          <c:tx>
            <c:strRef>
              <c:f>'Resume_Ex-post'!$A$10</c:f>
              <c:strCache>
                <c:ptCount val="1"/>
                <c:pt idx="0">
                  <c:v>Project emissions</c:v>
                </c:pt>
              </c:strCache>
            </c:strRef>
          </c:tx>
          <c:spPr>
            <a:pattFill prst="pct75">
              <a:fgClr>
                <a:schemeClr val="accent4">
                  <a:lumMod val="60000"/>
                  <a:lumOff val="40000"/>
                </a:schemeClr>
              </a:fgClr>
              <a:bgClr>
                <a:schemeClr val="bg1"/>
              </a:bgClr>
            </a:pattFill>
            <a:ln>
              <a:solidFill>
                <a:schemeClr val="accent4">
                  <a:lumMod val="50000"/>
                </a:schemeClr>
              </a:solidFill>
            </a:ln>
            <a:effectLst/>
          </c:spPr>
          <c:invertIfNegative val="0"/>
          <c:cat>
            <c:strRef>
              <c:f>'Resume_Ex-post'!$C$6:$E$6</c:f>
              <c:strCache>
                <c:ptCount val="3"/>
                <c:pt idx="0">
                  <c:v>2019-2020</c:v>
                </c:pt>
                <c:pt idx="1">
                  <c:v>2020-2021</c:v>
                </c:pt>
                <c:pt idx="2">
                  <c:v>2021-2022</c:v>
                </c:pt>
              </c:strCache>
            </c:strRef>
          </c:cat>
          <c:val>
            <c:numRef>
              <c:f>'Resume_Ex-post'!$C$10:$E$10</c:f>
              <c:numCache>
                <c:formatCode>_(* #,##0.00_);_(* \(#,##0.00\);_(* "-"??_);_(@_)</c:formatCode>
                <c:ptCount val="3"/>
                <c:pt idx="0">
                  <c:v>0</c:v>
                </c:pt>
                <c:pt idx="1">
                  <c:v>0</c:v>
                </c:pt>
                <c:pt idx="2">
                  <c:v>0</c:v>
                </c:pt>
              </c:numCache>
            </c:numRef>
          </c:val>
          <c:extLst>
            <c:ext xmlns:c16="http://schemas.microsoft.com/office/drawing/2014/chart" uri="{C3380CC4-5D6E-409C-BE32-E72D297353CC}">
              <c16:uniqueId val="{00000001-55AF-43A3-804D-63F52552F2E5}"/>
            </c:ext>
          </c:extLst>
        </c:ser>
        <c:ser>
          <c:idx val="2"/>
          <c:order val="2"/>
          <c:tx>
            <c:strRef>
              <c:f>'Resume_Ex-post'!$A$11</c:f>
              <c:strCache>
                <c:ptCount val="1"/>
                <c:pt idx="0">
                  <c:v>Leakage emissions</c:v>
                </c:pt>
              </c:strCache>
            </c:strRef>
          </c:tx>
          <c:spPr>
            <a:pattFill prst="trellis">
              <a:fgClr>
                <a:schemeClr val="accent2">
                  <a:lumMod val="60000"/>
                  <a:lumOff val="40000"/>
                </a:schemeClr>
              </a:fgClr>
              <a:bgClr>
                <a:schemeClr val="bg1"/>
              </a:bgClr>
            </a:pattFill>
            <a:ln>
              <a:solidFill>
                <a:schemeClr val="accent2">
                  <a:lumMod val="50000"/>
                </a:schemeClr>
              </a:solidFill>
            </a:ln>
            <a:effectLst/>
          </c:spPr>
          <c:invertIfNegative val="0"/>
          <c:cat>
            <c:strRef>
              <c:f>'Resume_Ex-post'!$C$6:$E$6</c:f>
              <c:strCache>
                <c:ptCount val="3"/>
                <c:pt idx="0">
                  <c:v>2019-2020</c:v>
                </c:pt>
                <c:pt idx="1">
                  <c:v>2020-2021</c:v>
                </c:pt>
                <c:pt idx="2">
                  <c:v>2021-2022</c:v>
                </c:pt>
              </c:strCache>
            </c:strRef>
          </c:cat>
          <c:val>
            <c:numRef>
              <c:f>'Resume_Ex-post'!$C$11:$E$11</c:f>
              <c:numCache>
                <c:formatCode>_(* #,##0.00_);_(* \(#,##0.00\);_(* "-"??_);_(@_)</c:formatCode>
                <c:ptCount val="3"/>
                <c:pt idx="0">
                  <c:v>4484.0540905687358</c:v>
                </c:pt>
                <c:pt idx="1">
                  <c:v>6923.5653833652523</c:v>
                </c:pt>
                <c:pt idx="2">
                  <c:v>15042.362225529192</c:v>
                </c:pt>
              </c:numCache>
            </c:numRef>
          </c:val>
          <c:extLst>
            <c:ext xmlns:c16="http://schemas.microsoft.com/office/drawing/2014/chart" uri="{C3380CC4-5D6E-409C-BE32-E72D297353CC}">
              <c16:uniqueId val="{00000002-55AF-43A3-804D-63F52552F2E5}"/>
            </c:ext>
          </c:extLst>
        </c:ser>
        <c:dLbls>
          <c:showLegendKey val="0"/>
          <c:showVal val="0"/>
          <c:showCatName val="0"/>
          <c:showSerName val="0"/>
          <c:showPercent val="0"/>
          <c:showBubbleSize val="0"/>
        </c:dLbls>
        <c:gapWidth val="75"/>
        <c:overlap val="-25"/>
        <c:axId val="198471535"/>
        <c:axId val="198469039"/>
      </c:barChart>
      <c:catAx>
        <c:axId val="198471535"/>
        <c:scaling>
          <c:orientation val="minMax"/>
        </c:scaling>
        <c:delete val="0"/>
        <c:axPos val="b"/>
        <c:title>
          <c:tx>
            <c:rich>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pt-PT" b="1"/>
                  <a:t>Time (years)</a:t>
                </a:r>
              </a:p>
            </c:rich>
          </c:tx>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pt-BR"/>
            </a:p>
          </c:txPr>
        </c:title>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crossAx val="198469039"/>
        <c:crosses val="autoZero"/>
        <c:auto val="1"/>
        <c:lblAlgn val="ctr"/>
        <c:lblOffset val="100"/>
        <c:noMultiLvlLbl val="0"/>
      </c:catAx>
      <c:valAx>
        <c:axId val="198469039"/>
        <c:scaling>
          <c:orientation val="minMax"/>
        </c:scaling>
        <c:delete val="0"/>
        <c:axPos val="l"/>
        <c:title>
          <c:tx>
            <c:rich>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pt-PT" b="1"/>
                  <a:t>Emission (tCO</a:t>
                </a:r>
                <a:r>
                  <a:rPr lang="pt-PT" b="1" baseline="-25000"/>
                  <a:t>2-e</a:t>
                </a:r>
                <a:r>
                  <a:rPr lang="pt-PT" b="1"/>
                  <a:t>)</a:t>
                </a:r>
              </a:p>
            </c:rich>
          </c:tx>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pt-BR"/>
            </a:p>
          </c:txPr>
        </c:title>
        <c:numFmt formatCode="_(* #,##0.00_);_(* \(#,##0.00\);_(* &quot;-&quot;??_);_(@_)" sourceLinked="1"/>
        <c:majorTickMark val="none"/>
        <c:minorTickMark val="none"/>
        <c:tickLblPos val="nextTo"/>
        <c:spPr>
          <a:noFill/>
          <a:ln w="25400">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crossAx val="198471535"/>
        <c:crosses val="autoZero"/>
        <c:crossBetween val="between"/>
      </c:valAx>
      <c:spPr>
        <a:noFill/>
        <a:ln>
          <a:solidFill>
            <a:sysClr val="windowText" lastClr="000000"/>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defRPr>
      </a:pPr>
      <a:endParaRPr lang="pt-BR"/>
    </a:p>
  </c:txPr>
  <c:printSettings>
    <c:headerFooter/>
    <c:pageMargins b="0.78740157499999996" l="0.511811024" r="0.511811024" t="0.78740157499999996" header="0.31496062000000002" footer="0.3149606200000000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'Resume_Ex-post'!$A$13</c:f>
              <c:strCache>
                <c:ptCount val="1"/>
                <c:pt idx="0">
                  <c:v>Net GHG emission reductions</c:v>
                </c:pt>
              </c:strCache>
            </c:strRef>
          </c:tx>
          <c:spPr>
            <a:pattFill prst="dkUpDiag">
              <a:fgClr>
                <a:schemeClr val="accent5">
                  <a:lumMod val="75000"/>
                </a:schemeClr>
              </a:fgClr>
              <a:bgClr>
                <a:schemeClr val="bg1"/>
              </a:bgClr>
            </a:pattFill>
            <a:ln>
              <a:solidFill>
                <a:schemeClr val="accent5">
                  <a:lumMod val="50000"/>
                </a:schemeClr>
              </a:solidFill>
            </a:ln>
            <a:effectLst/>
          </c:spPr>
          <c:invertIfNegative val="0"/>
          <c:cat>
            <c:strRef>
              <c:f>'Resume_Ex-post'!$C$6:$E$6</c:f>
              <c:strCache>
                <c:ptCount val="3"/>
                <c:pt idx="0">
                  <c:v>2019-2020</c:v>
                </c:pt>
                <c:pt idx="1">
                  <c:v>2020-2021</c:v>
                </c:pt>
                <c:pt idx="2">
                  <c:v>2021-2022</c:v>
                </c:pt>
              </c:strCache>
            </c:strRef>
          </c:cat>
          <c:val>
            <c:numRef>
              <c:f>'Resume_Ex-post'!$C$13:$E$13</c:f>
              <c:numCache>
                <c:formatCode>_(* #,##0.00_);_(* \(#,##0.00\);_(* "-"??_);_(@_)</c:formatCode>
                <c:ptCount val="3"/>
                <c:pt idx="0">
                  <c:v>68089.519778268979</c:v>
                </c:pt>
                <c:pt idx="1">
                  <c:v>105893.19825543469</c:v>
                </c:pt>
                <c:pt idx="2">
                  <c:v>228330.26225734767</c:v>
                </c:pt>
              </c:numCache>
            </c:numRef>
          </c:val>
          <c:extLst>
            <c:ext xmlns:c16="http://schemas.microsoft.com/office/drawing/2014/chart" uri="{C3380CC4-5D6E-409C-BE32-E72D297353CC}">
              <c16:uniqueId val="{00000000-64F4-46B1-8078-32A043619095}"/>
            </c:ext>
          </c:extLst>
        </c:ser>
        <c:ser>
          <c:idx val="1"/>
          <c:order val="1"/>
          <c:tx>
            <c:strRef>
              <c:f>'Resume_Ex-post'!$A$14</c:f>
              <c:strCache>
                <c:ptCount val="1"/>
                <c:pt idx="0">
                  <c:v>Buffer pool allocation</c:v>
                </c:pt>
              </c:strCache>
            </c:strRef>
          </c:tx>
          <c:spPr>
            <a:pattFill prst="pct60">
              <a:fgClr>
                <a:schemeClr val="accent2">
                  <a:lumMod val="75000"/>
                </a:schemeClr>
              </a:fgClr>
              <a:bgClr>
                <a:schemeClr val="bg1"/>
              </a:bgClr>
            </a:pattFill>
            <a:ln>
              <a:solidFill>
                <a:schemeClr val="accent2">
                  <a:lumMod val="50000"/>
                </a:schemeClr>
              </a:solidFill>
            </a:ln>
            <a:effectLst/>
          </c:spPr>
          <c:invertIfNegative val="0"/>
          <c:cat>
            <c:strRef>
              <c:f>'Resume_Ex-post'!$C$6:$E$6</c:f>
              <c:strCache>
                <c:ptCount val="3"/>
                <c:pt idx="0">
                  <c:v>2019-2020</c:v>
                </c:pt>
                <c:pt idx="1">
                  <c:v>2020-2021</c:v>
                </c:pt>
                <c:pt idx="2">
                  <c:v>2021-2022</c:v>
                </c:pt>
              </c:strCache>
            </c:strRef>
          </c:cat>
          <c:val>
            <c:numRef>
              <c:f>'Resume_Ex-post'!$C$14:$E$14</c:f>
              <c:numCache>
                <c:formatCode>_(* #,##0.00_);_(* \(#,##0.00\);_(* "-"??_);_(@_)</c:formatCode>
                <c:ptCount val="3"/>
                <c:pt idx="0">
                  <c:v>6808.9519778268987</c:v>
                </c:pt>
                <c:pt idx="1">
                  <c:v>10589.319825543469</c:v>
                </c:pt>
                <c:pt idx="2">
                  <c:v>22833.026225734768</c:v>
                </c:pt>
              </c:numCache>
            </c:numRef>
          </c:val>
          <c:extLst>
            <c:ext xmlns:c16="http://schemas.microsoft.com/office/drawing/2014/chart" uri="{C3380CC4-5D6E-409C-BE32-E72D297353CC}">
              <c16:uniqueId val="{00000001-64F4-46B1-8078-32A043619095}"/>
            </c:ext>
          </c:extLst>
        </c:ser>
        <c:dLbls>
          <c:showLegendKey val="0"/>
          <c:showVal val="0"/>
          <c:showCatName val="0"/>
          <c:showSerName val="0"/>
          <c:showPercent val="0"/>
          <c:showBubbleSize val="0"/>
        </c:dLbls>
        <c:gapWidth val="75"/>
        <c:overlap val="-25"/>
        <c:axId val="198471535"/>
        <c:axId val="198469039"/>
      </c:barChart>
      <c:catAx>
        <c:axId val="198471535"/>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pt-PT" b="1"/>
                  <a:t>Time</a:t>
                </a:r>
                <a:r>
                  <a:rPr lang="pt-PT" b="1" baseline="0"/>
                  <a:t> (years)</a:t>
                </a:r>
                <a:endParaRPr lang="pt-PT" b="1"/>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pt-PT"/>
            </a:p>
          </c:txPr>
        </c:title>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crossAx val="198469039"/>
        <c:crosses val="autoZero"/>
        <c:auto val="1"/>
        <c:lblAlgn val="ctr"/>
        <c:lblOffset val="100"/>
        <c:noMultiLvlLbl val="0"/>
      </c:catAx>
      <c:valAx>
        <c:axId val="198469039"/>
        <c:scaling>
          <c:orientation val="minMax"/>
        </c:scaling>
        <c:delete val="0"/>
        <c:axPos val="l"/>
        <c:title>
          <c:tx>
            <c:rich>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r>
                  <a:rPr lang="pt-PT" sz="1050" b="1" i="0" baseline="0">
                    <a:effectLst/>
                  </a:rPr>
                  <a:t>Emission (tCO</a:t>
                </a:r>
                <a:r>
                  <a:rPr lang="pt-PT" sz="1050" b="1" i="0" baseline="-25000">
                    <a:effectLst/>
                  </a:rPr>
                  <a:t>2-e</a:t>
                </a:r>
                <a:r>
                  <a:rPr lang="pt-PT" sz="1050" b="1" i="0" baseline="0">
                    <a:effectLst/>
                  </a:rPr>
                  <a:t>)</a:t>
                </a:r>
                <a:endParaRPr lang="pt-PT" sz="1050">
                  <a:effectLst/>
                </a:endParaRPr>
              </a:p>
            </c:rich>
          </c:tx>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pt-PT"/>
            </a:p>
          </c:txPr>
        </c:title>
        <c:numFmt formatCode="_(* #,##0.00_);_(* \(#,##0.00\);_(* &quot;-&quot;??_);_(@_)" sourceLinked="1"/>
        <c:majorTickMark val="none"/>
        <c:minorTickMark val="none"/>
        <c:tickLblPos val="nextTo"/>
        <c:spPr>
          <a:noFill/>
          <a:ln w="25400">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crossAx val="198471535"/>
        <c:crosses val="autoZero"/>
        <c:crossBetween val="between"/>
      </c:valAx>
      <c:spPr>
        <a:noFill/>
        <a:ln>
          <a:solidFill>
            <a:sysClr val="windowText" lastClr="000000"/>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defRPr>
      </a:pPr>
      <a:endParaRPr lang="pt-BR"/>
    </a:p>
  </c:txPr>
  <c:printSettings>
    <c:headerFooter/>
    <c:pageMargins b="0.78740157499999996" l="0.511811024" r="0.511811024" t="0.78740157499999996" header="0.31496062000000002" footer="0.3149606200000000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'Resume_Ex-post'!$A$15</c:f>
              <c:strCache>
                <c:ptCount val="1"/>
                <c:pt idx="0">
                  <c:v>VCUs eligible for issuance</c:v>
                </c:pt>
              </c:strCache>
            </c:strRef>
          </c:tx>
          <c:spPr>
            <a:pattFill prst="dkUpDiag">
              <a:fgClr>
                <a:schemeClr val="accent6"/>
              </a:fgClr>
              <a:bgClr>
                <a:schemeClr val="bg1"/>
              </a:bgClr>
            </a:pattFill>
            <a:ln>
              <a:solidFill>
                <a:schemeClr val="accent6">
                  <a:lumMod val="50000"/>
                </a:schemeClr>
              </a:solidFill>
            </a:ln>
            <a:effectLst/>
          </c:spPr>
          <c:invertIfNegative val="0"/>
          <c:cat>
            <c:strRef>
              <c:f>'Resume_Ex-post'!$C$6:$E$6</c:f>
              <c:strCache>
                <c:ptCount val="3"/>
                <c:pt idx="0">
                  <c:v>2019-2020</c:v>
                </c:pt>
                <c:pt idx="1">
                  <c:v>2020-2021</c:v>
                </c:pt>
                <c:pt idx="2">
                  <c:v>2021-2022</c:v>
                </c:pt>
              </c:strCache>
            </c:strRef>
          </c:cat>
          <c:val>
            <c:numRef>
              <c:f>'Resume_Ex-post'!$C$15:$E$15</c:f>
              <c:numCache>
                <c:formatCode>_-* #,##0_-;\-* #,##0_-;_-* "-"??_-;_-@_-</c:formatCode>
                <c:ptCount val="3"/>
                <c:pt idx="0">
                  <c:v>61280</c:v>
                </c:pt>
                <c:pt idx="1">
                  <c:v>95303</c:v>
                </c:pt>
                <c:pt idx="2">
                  <c:v>205497</c:v>
                </c:pt>
              </c:numCache>
            </c:numRef>
          </c:val>
          <c:extLst>
            <c:ext xmlns:c16="http://schemas.microsoft.com/office/drawing/2014/chart" uri="{C3380CC4-5D6E-409C-BE32-E72D297353CC}">
              <c16:uniqueId val="{00000000-94FA-4F79-B957-15D066E12743}"/>
            </c:ext>
          </c:extLst>
        </c:ser>
        <c:dLbls>
          <c:showLegendKey val="0"/>
          <c:showVal val="0"/>
          <c:showCatName val="0"/>
          <c:showSerName val="0"/>
          <c:showPercent val="0"/>
          <c:showBubbleSize val="0"/>
        </c:dLbls>
        <c:gapWidth val="75"/>
        <c:axId val="198471535"/>
        <c:axId val="198469039"/>
      </c:barChart>
      <c:catAx>
        <c:axId val="198471535"/>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pt-PT" b="1"/>
                  <a:t>Time (years)</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pt-BR"/>
            </a:p>
          </c:txPr>
        </c:title>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crossAx val="198469039"/>
        <c:crosses val="autoZero"/>
        <c:auto val="1"/>
        <c:lblAlgn val="ctr"/>
        <c:lblOffset val="100"/>
        <c:noMultiLvlLbl val="0"/>
      </c:catAx>
      <c:valAx>
        <c:axId val="198469039"/>
        <c:scaling>
          <c:orientation val="minMax"/>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pt-PT" sz="1000" b="1" i="0" baseline="0">
                    <a:effectLst/>
                  </a:rPr>
                  <a:t>VCUs (tCO</a:t>
                </a:r>
                <a:r>
                  <a:rPr lang="pt-PT" sz="1000" b="1" i="0" baseline="-25000">
                    <a:effectLst/>
                  </a:rPr>
                  <a:t>2-e</a:t>
                </a:r>
                <a:r>
                  <a:rPr lang="pt-PT" sz="1000" b="1" i="0" baseline="0">
                    <a:effectLst/>
                  </a:rPr>
                  <a:t>)</a:t>
                </a:r>
                <a:endParaRPr lang="pt-PT" sz="1000">
                  <a:effectLst/>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pt-PT"/>
            </a:p>
          </c:txPr>
        </c:title>
        <c:numFmt formatCode="_-* #,##0_-;\-* #,##0_-;_-* &quot;-&quot;??_-;_-@_-" sourceLinked="1"/>
        <c:majorTickMark val="none"/>
        <c:minorTickMark val="none"/>
        <c:tickLblPos val="nextTo"/>
        <c:spPr>
          <a:noFill/>
          <a:ln w="25400">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crossAx val="198471535"/>
        <c:crosses val="autoZero"/>
        <c:crossBetween val="between"/>
      </c:valAx>
      <c:spPr>
        <a:noFill/>
        <a:ln>
          <a:solidFill>
            <a:sysClr val="windowText" lastClr="000000"/>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ysClr val="windowText" lastClr="000000"/>
                </a:solidFill>
                <a:latin typeface="+mn-lt"/>
                <a:ea typeface="+mn-ea"/>
                <a:cs typeface="+mn-cs"/>
              </a:defRPr>
            </a:pPr>
            <a:r>
              <a:rPr lang="pt-PT"/>
              <a:t>Total Carbon Stock</a:t>
            </a:r>
          </a:p>
        </c:rich>
      </c:tx>
      <c:layout>
        <c:manualLayout>
          <c:xMode val="edge"/>
          <c:yMode val="edge"/>
          <c:x val="0.34272379982139545"/>
          <c:y val="3.4104465738103211E-2"/>
        </c:manualLayout>
      </c:layout>
      <c:overlay val="0"/>
      <c:spPr>
        <a:noFill/>
        <a:ln>
          <a:noFill/>
        </a:ln>
        <a:effectLst/>
      </c:spPr>
      <c:txPr>
        <a:bodyPr rot="0" spcFirstLastPara="1" vertOverflow="ellipsis" vert="horz" wrap="square" anchor="ctr" anchorCtr="1"/>
        <a:lstStyle/>
        <a:p>
          <a:pPr>
            <a:defRPr sz="1260" b="0" i="0" u="none" strike="noStrike" kern="1200" spc="0" baseline="0">
              <a:solidFill>
                <a:sysClr val="windowText" lastClr="000000"/>
              </a:solidFill>
              <a:latin typeface="+mn-lt"/>
              <a:ea typeface="+mn-ea"/>
              <a:cs typeface="+mn-cs"/>
            </a:defRPr>
          </a:pPr>
          <a:endParaRPr lang="pt-BR"/>
        </a:p>
      </c:txPr>
    </c:title>
    <c:autoTitleDeleted val="0"/>
    <c:plotArea>
      <c:layout/>
      <c:barChart>
        <c:barDir val="col"/>
        <c:grouping val="clustered"/>
        <c:varyColors val="0"/>
        <c:ser>
          <c:idx val="0"/>
          <c:order val="0"/>
          <c:tx>
            <c:strRef>
              <c:f>Biomass!$B$37</c:f>
              <c:strCache>
                <c:ptCount val="1"/>
                <c:pt idx="0">
                  <c:v>First Forest Inventory (2010)</c:v>
                </c:pt>
              </c:strCache>
            </c:strRef>
          </c:tx>
          <c:spPr>
            <a:pattFill prst="pct80">
              <a:fgClr>
                <a:schemeClr val="accent6">
                  <a:lumMod val="50000"/>
                </a:schemeClr>
              </a:fgClr>
              <a:bgClr>
                <a:schemeClr val="bg1"/>
              </a:bgClr>
            </a:pattFill>
            <a:ln>
              <a:noFill/>
            </a:ln>
            <a:effectLst/>
          </c:spPr>
          <c:invertIfNegative val="0"/>
          <c:cat>
            <c:strRef>
              <c:f>Biomass!$A$40:$A$43</c:f>
              <c:strCache>
                <c:ptCount val="4"/>
                <c:pt idx="0">
                  <c:v>Aluvial</c:v>
                </c:pt>
                <c:pt idx="1">
                  <c:v>Encosta</c:v>
                </c:pt>
                <c:pt idx="2">
                  <c:v>FOB Densa Submontana</c:v>
                </c:pt>
                <c:pt idx="3">
                  <c:v>FOB submontana</c:v>
                </c:pt>
              </c:strCache>
            </c:strRef>
          </c:cat>
          <c:val>
            <c:numRef>
              <c:f>Biomass!$D$40:$D$43</c:f>
              <c:numCache>
                <c:formatCode>General</c:formatCode>
                <c:ptCount val="4"/>
                <c:pt idx="0">
                  <c:v>307.79999999999995</c:v>
                </c:pt>
                <c:pt idx="1">
                  <c:v>367.6</c:v>
                </c:pt>
                <c:pt idx="2">
                  <c:v>306.7</c:v>
                </c:pt>
                <c:pt idx="3">
                  <c:v>327</c:v>
                </c:pt>
              </c:numCache>
            </c:numRef>
          </c:val>
          <c:extLst>
            <c:ext xmlns:c16="http://schemas.microsoft.com/office/drawing/2014/chart" uri="{C3380CC4-5D6E-409C-BE32-E72D297353CC}">
              <c16:uniqueId val="{00000000-27D0-48DA-8A1E-63E6B37A1467}"/>
            </c:ext>
          </c:extLst>
        </c:ser>
        <c:ser>
          <c:idx val="1"/>
          <c:order val="1"/>
          <c:tx>
            <c:strRef>
              <c:f>Biomass!$E$37</c:f>
              <c:strCache>
                <c:ptCount val="1"/>
                <c:pt idx="0">
                  <c:v>Second Forest Inventory (2022)</c:v>
                </c:pt>
              </c:strCache>
            </c:strRef>
          </c:tx>
          <c:spPr>
            <a:pattFill prst="pct30">
              <a:fgClr>
                <a:schemeClr val="accent6">
                  <a:lumMod val="75000"/>
                </a:schemeClr>
              </a:fgClr>
              <a:bgClr>
                <a:schemeClr val="bg1"/>
              </a:bgClr>
            </a:pattFill>
            <a:ln>
              <a:noFill/>
            </a:ln>
            <a:effectLst/>
          </c:spPr>
          <c:invertIfNegative val="0"/>
          <c:val>
            <c:numRef>
              <c:f>Biomass!$G$40:$G$43</c:f>
              <c:numCache>
                <c:formatCode>0.00</c:formatCode>
                <c:ptCount val="4"/>
                <c:pt idx="0">
                  <c:v>272.78052890108967</c:v>
                </c:pt>
                <c:pt idx="1">
                  <c:v>277.81620377980488</c:v>
                </c:pt>
                <c:pt idx="2">
                  <c:v>287.08656427550028</c:v>
                </c:pt>
                <c:pt idx="3">
                  <c:v>264.34057068679442</c:v>
                </c:pt>
              </c:numCache>
            </c:numRef>
          </c:val>
          <c:extLst>
            <c:ext xmlns:c16="http://schemas.microsoft.com/office/drawing/2014/chart" uri="{C3380CC4-5D6E-409C-BE32-E72D297353CC}">
              <c16:uniqueId val="{00000001-27D0-48DA-8A1E-63E6B37A1467}"/>
            </c:ext>
          </c:extLst>
        </c:ser>
        <c:dLbls>
          <c:showLegendKey val="0"/>
          <c:showVal val="0"/>
          <c:showCatName val="0"/>
          <c:showSerName val="0"/>
          <c:showPercent val="0"/>
          <c:showBubbleSize val="0"/>
        </c:dLbls>
        <c:gapWidth val="219"/>
        <c:overlap val="-27"/>
        <c:axId val="198471535"/>
        <c:axId val="198469039"/>
      </c:barChart>
      <c:catAx>
        <c:axId val="198471535"/>
        <c:scaling>
          <c:orientation val="minMax"/>
        </c:scaling>
        <c:delete val="0"/>
        <c:axPos val="b"/>
        <c:title>
          <c:tx>
            <c:rich>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r>
                  <a:rPr lang="pt-PT"/>
                  <a:t>Stratum</a:t>
                </a:r>
              </a:p>
            </c:rich>
          </c:tx>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pt-BR"/>
            </a:p>
          </c:txPr>
        </c:title>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pt-BR"/>
          </a:p>
        </c:txPr>
        <c:crossAx val="198469039"/>
        <c:crosses val="autoZero"/>
        <c:auto val="1"/>
        <c:lblAlgn val="ctr"/>
        <c:lblOffset val="100"/>
        <c:noMultiLvlLbl val="0"/>
      </c:catAx>
      <c:valAx>
        <c:axId val="198469039"/>
        <c:scaling>
          <c:orientation val="minMax"/>
        </c:scaling>
        <c:delete val="0"/>
        <c:axPos val="l"/>
        <c:title>
          <c:tx>
            <c:rich>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r>
                  <a:rPr lang="pt-PT"/>
                  <a:t>Total Carbon Stock (t ha-1)</a:t>
                </a:r>
              </a:p>
            </c:rich>
          </c:tx>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pt-BR"/>
            </a:p>
          </c:txPr>
        </c:title>
        <c:numFmt formatCode="General"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pt-BR"/>
          </a:p>
        </c:txPr>
        <c:crossAx val="198471535"/>
        <c:crosses val="autoZero"/>
        <c:crossBetween val="between"/>
      </c:valAx>
      <c:spPr>
        <a:noFill/>
        <a:ln>
          <a:solidFill>
            <a:sysClr val="windowText" lastClr="000000"/>
          </a:solidFill>
        </a:ln>
        <a:effectLst/>
      </c:spPr>
    </c:plotArea>
    <c:legend>
      <c:legendPos val="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solidFill>
            <a:sysClr val="windowText" lastClr="000000"/>
          </a:solidFill>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pt-PT" b="1"/>
              <a:t>Total Accumulated</a:t>
            </a:r>
          </a:p>
        </c:rich>
      </c:tx>
      <c:layout>
        <c:manualLayout>
          <c:xMode val="edge"/>
          <c:yMode val="edge"/>
          <c:x val="0.36606269697337396"/>
          <c:y val="2.3180343069077423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pt-BR"/>
        </a:p>
      </c:txPr>
    </c:title>
    <c:autoTitleDeleted val="0"/>
    <c:plotArea>
      <c:layout/>
      <c:scatterChart>
        <c:scatterStyle val="lineMarker"/>
        <c:varyColors val="0"/>
        <c:ser>
          <c:idx val="0"/>
          <c:order val="0"/>
          <c:tx>
            <c:strRef>
              <c:f>'BL-ED'!$B$7:$B$10</c:f>
              <c:strCache>
                <c:ptCount val="1"/>
                <c:pt idx="0">
                  <c:v>Aluvial</c:v>
                </c:pt>
              </c:strCache>
            </c:strRef>
          </c:tx>
          <c:spPr>
            <a:ln w="19050" cap="rnd">
              <a:noFill/>
              <a:round/>
            </a:ln>
            <a:effectLst/>
          </c:spPr>
          <c:marker>
            <c:symbol val="square"/>
            <c:size val="7"/>
            <c:spPr>
              <a:solidFill>
                <a:schemeClr val="accent6">
                  <a:tint val="54000"/>
                </a:schemeClr>
              </a:solidFill>
              <a:ln w="9525">
                <a:solidFill>
                  <a:schemeClr val="accent6">
                    <a:lumMod val="50000"/>
                  </a:schemeClr>
                </a:solidFill>
              </a:ln>
              <a:effectLst/>
            </c:spPr>
          </c:marker>
          <c:xVal>
            <c:numRef>
              <c:f>'BL-ED'!$E$6:$G$6</c:f>
              <c:numCache>
                <c:formatCode>General</c:formatCode>
                <c:ptCount val="3"/>
                <c:pt idx="0">
                  <c:v>2019</c:v>
                </c:pt>
                <c:pt idx="1">
                  <c:v>2020</c:v>
                </c:pt>
                <c:pt idx="2">
                  <c:v>2021</c:v>
                </c:pt>
              </c:numCache>
            </c:numRef>
          </c:xVal>
          <c:yVal>
            <c:numRef>
              <c:f>'BL-ED'!$E$10:$G$10</c:f>
              <c:numCache>
                <c:formatCode>_(* #,##0.00_);_(* \(#,##0.00\);_(* "-"??_);_(@_)</c:formatCode>
                <c:ptCount val="3"/>
                <c:pt idx="0">
                  <c:v>0</c:v>
                </c:pt>
                <c:pt idx="1">
                  <c:v>676.93216052094408</c:v>
                </c:pt>
                <c:pt idx="2">
                  <c:v>43027.50045311245</c:v>
                </c:pt>
              </c:numCache>
            </c:numRef>
          </c:yVal>
          <c:smooth val="0"/>
          <c:extLst>
            <c:ext xmlns:c16="http://schemas.microsoft.com/office/drawing/2014/chart" uri="{C3380CC4-5D6E-409C-BE32-E72D297353CC}">
              <c16:uniqueId val="{00000000-C8C9-4BCC-93F2-EAF2D0A0838D}"/>
            </c:ext>
          </c:extLst>
        </c:ser>
        <c:ser>
          <c:idx val="1"/>
          <c:order val="1"/>
          <c:tx>
            <c:strRef>
              <c:f>'BL-ED'!$B$11:$B$14</c:f>
              <c:strCache>
                <c:ptCount val="1"/>
                <c:pt idx="0">
                  <c:v>Encosta</c:v>
                </c:pt>
              </c:strCache>
            </c:strRef>
          </c:tx>
          <c:spPr>
            <a:ln w="19050" cap="rnd">
              <a:noFill/>
              <a:round/>
            </a:ln>
            <a:effectLst/>
          </c:spPr>
          <c:marker>
            <c:symbol val="circle"/>
            <c:size val="7"/>
            <c:spPr>
              <a:solidFill>
                <a:schemeClr val="accent6">
                  <a:tint val="77000"/>
                </a:schemeClr>
              </a:solidFill>
              <a:ln w="9525">
                <a:solidFill>
                  <a:schemeClr val="accent6">
                    <a:lumMod val="50000"/>
                  </a:schemeClr>
                </a:solidFill>
              </a:ln>
              <a:effectLst/>
            </c:spPr>
          </c:marker>
          <c:xVal>
            <c:numRef>
              <c:f>'BL-ED'!$E$6:$G$6</c:f>
              <c:numCache>
                <c:formatCode>General</c:formatCode>
                <c:ptCount val="3"/>
                <c:pt idx="0">
                  <c:v>2019</c:v>
                </c:pt>
                <c:pt idx="1">
                  <c:v>2020</c:v>
                </c:pt>
                <c:pt idx="2">
                  <c:v>2021</c:v>
                </c:pt>
              </c:numCache>
            </c:numRef>
          </c:xVal>
          <c:yVal>
            <c:numRef>
              <c:f>'BL-ED'!$E$14:$G$14</c:f>
              <c:numCache>
                <c:formatCode>_(* #,##0.00_);_(* \(#,##0.00\);_(* "-"??_);_(@_)</c:formatCode>
                <c:ptCount val="3"/>
                <c:pt idx="0">
                  <c:v>12668.252202636786</c:v>
                </c:pt>
                <c:pt idx="1">
                  <c:v>41581.16794402901</c:v>
                </c:pt>
                <c:pt idx="2">
                  <c:v>77560.727771245816</c:v>
                </c:pt>
              </c:numCache>
            </c:numRef>
          </c:yVal>
          <c:smooth val="0"/>
          <c:extLst>
            <c:ext xmlns:c16="http://schemas.microsoft.com/office/drawing/2014/chart" uri="{C3380CC4-5D6E-409C-BE32-E72D297353CC}">
              <c16:uniqueId val="{00000001-C8C9-4BCC-93F2-EAF2D0A0838D}"/>
            </c:ext>
          </c:extLst>
        </c:ser>
        <c:ser>
          <c:idx val="2"/>
          <c:order val="2"/>
          <c:tx>
            <c:strRef>
              <c:f>'BL-ED'!$B$15:$B$18</c:f>
              <c:strCache>
                <c:ptCount val="1"/>
                <c:pt idx="0">
                  <c:v>FOB Densa Submontana</c:v>
                </c:pt>
              </c:strCache>
            </c:strRef>
          </c:tx>
          <c:spPr>
            <a:ln w="19050" cap="rnd">
              <a:noFill/>
              <a:round/>
            </a:ln>
            <a:effectLst/>
          </c:spPr>
          <c:marker>
            <c:symbol val="diamond"/>
            <c:size val="7"/>
            <c:spPr>
              <a:solidFill>
                <a:schemeClr val="accent6"/>
              </a:solidFill>
              <a:ln w="9525">
                <a:solidFill>
                  <a:schemeClr val="accent6">
                    <a:lumMod val="50000"/>
                  </a:schemeClr>
                </a:solidFill>
              </a:ln>
              <a:effectLst/>
            </c:spPr>
          </c:marker>
          <c:xVal>
            <c:numRef>
              <c:f>'BL-ED'!$E$6:$G$6</c:f>
              <c:numCache>
                <c:formatCode>General</c:formatCode>
                <c:ptCount val="3"/>
                <c:pt idx="0">
                  <c:v>2019</c:v>
                </c:pt>
                <c:pt idx="1">
                  <c:v>2020</c:v>
                </c:pt>
                <c:pt idx="2">
                  <c:v>2021</c:v>
                </c:pt>
              </c:numCache>
            </c:numRef>
          </c:xVal>
          <c:yVal>
            <c:numRef>
              <c:f>'BL-ED'!$E$18:$G$18</c:f>
              <c:numCache>
                <c:formatCode>_(* #,##0.00_);_(* \(#,##0.00\);_(* "-"??_);_(@_)</c:formatCode>
                <c:ptCount val="3"/>
                <c:pt idx="0">
                  <c:v>9662.3863678511807</c:v>
                </c:pt>
                <c:pt idx="1">
                  <c:v>28185.670833409295</c:v>
                </c:pt>
                <c:pt idx="2">
                  <c:v>46976.118055682193</c:v>
                </c:pt>
              </c:numCache>
            </c:numRef>
          </c:yVal>
          <c:smooth val="0"/>
          <c:extLst>
            <c:ext xmlns:c16="http://schemas.microsoft.com/office/drawing/2014/chart" uri="{C3380CC4-5D6E-409C-BE32-E72D297353CC}">
              <c16:uniqueId val="{00000002-C8C9-4BCC-93F2-EAF2D0A0838D}"/>
            </c:ext>
          </c:extLst>
        </c:ser>
        <c:ser>
          <c:idx val="3"/>
          <c:order val="3"/>
          <c:tx>
            <c:strRef>
              <c:f>'BL-ED'!$B$19:$B$22</c:f>
              <c:strCache>
                <c:ptCount val="1"/>
                <c:pt idx="0">
                  <c:v>FOB Submontana</c:v>
                </c:pt>
              </c:strCache>
            </c:strRef>
          </c:tx>
          <c:spPr>
            <a:ln w="19050" cap="rnd">
              <a:noFill/>
              <a:round/>
            </a:ln>
            <a:effectLst/>
          </c:spPr>
          <c:marker>
            <c:symbol val="triangle"/>
            <c:size val="7"/>
            <c:spPr>
              <a:solidFill>
                <a:schemeClr val="accent6">
                  <a:shade val="76000"/>
                </a:schemeClr>
              </a:solidFill>
              <a:ln w="9525">
                <a:solidFill>
                  <a:schemeClr val="accent6">
                    <a:lumMod val="50000"/>
                  </a:schemeClr>
                </a:solidFill>
              </a:ln>
              <a:effectLst/>
            </c:spPr>
          </c:marker>
          <c:xVal>
            <c:numRef>
              <c:f>'BL-ED'!$E$6:$G$6</c:f>
              <c:numCache>
                <c:formatCode>General</c:formatCode>
                <c:ptCount val="3"/>
                <c:pt idx="0">
                  <c:v>2019</c:v>
                </c:pt>
                <c:pt idx="1">
                  <c:v>2020</c:v>
                </c:pt>
                <c:pt idx="2">
                  <c:v>2021</c:v>
                </c:pt>
              </c:numCache>
            </c:numRef>
          </c:xVal>
          <c:yVal>
            <c:numRef>
              <c:f>'BL-ED'!$E$22:$G$22</c:f>
              <c:numCache>
                <c:formatCode>_(* #,##0.00_);_(* \(#,##0.00\);_(* "-"??_);_(@_)</c:formatCode>
                <c:ptCount val="3"/>
                <c:pt idx="0">
                  <c:v>50265.046801577279</c:v>
                </c:pt>
                <c:pt idx="1">
                  <c:v>115002.8191504282</c:v>
                </c:pt>
                <c:pt idx="2">
                  <c:v>261329.04430118747</c:v>
                </c:pt>
              </c:numCache>
            </c:numRef>
          </c:yVal>
          <c:smooth val="0"/>
          <c:extLst>
            <c:ext xmlns:c16="http://schemas.microsoft.com/office/drawing/2014/chart" uri="{C3380CC4-5D6E-409C-BE32-E72D297353CC}">
              <c16:uniqueId val="{00000003-C8C9-4BCC-93F2-EAF2D0A0838D}"/>
            </c:ext>
          </c:extLst>
        </c:ser>
        <c:ser>
          <c:idx val="4"/>
          <c:order val="4"/>
          <c:tx>
            <c:strRef>
              <c:f>'BL-ED'!$F$28</c:f>
              <c:strCache>
                <c:ptCount val="1"/>
                <c:pt idx="0">
                  <c:v>Total Accumulative</c:v>
                </c:pt>
              </c:strCache>
            </c:strRef>
          </c:tx>
          <c:spPr>
            <a:ln w="25400" cap="rnd">
              <a:noFill/>
              <a:round/>
            </a:ln>
            <a:effectLst/>
          </c:spPr>
          <c:marker>
            <c:symbol val="x"/>
            <c:size val="7"/>
            <c:spPr>
              <a:noFill/>
              <a:ln w="9525">
                <a:solidFill>
                  <a:schemeClr val="accent6">
                    <a:shade val="53000"/>
                  </a:schemeClr>
                </a:solidFill>
              </a:ln>
              <a:effectLst/>
            </c:spPr>
          </c:marker>
          <c:xVal>
            <c:numRef>
              <c:f>'BL-ED'!$B$30:$B$32</c:f>
              <c:numCache>
                <c:formatCode>General</c:formatCode>
                <c:ptCount val="3"/>
                <c:pt idx="0">
                  <c:v>2019</c:v>
                </c:pt>
                <c:pt idx="1">
                  <c:v>2020</c:v>
                </c:pt>
                <c:pt idx="2">
                  <c:v>2021</c:v>
                </c:pt>
              </c:numCache>
            </c:numRef>
          </c:xVal>
          <c:yVal>
            <c:numRef>
              <c:f>'BL-ED'!$F$30:$F$32</c:f>
              <c:numCache>
                <c:formatCode>_(* #,##0.00_);_(* \(#,##0.00\);_(* "-"??_);_(@_)</c:formatCode>
                <c:ptCount val="3"/>
                <c:pt idx="0">
                  <c:v>72595.685372065243</c:v>
                </c:pt>
                <c:pt idx="1">
                  <c:v>185446.59008838746</c:v>
                </c:pt>
                <c:pt idx="2">
                  <c:v>428893.39058122796</c:v>
                </c:pt>
              </c:numCache>
            </c:numRef>
          </c:yVal>
          <c:smooth val="0"/>
          <c:extLst>
            <c:ext xmlns:c16="http://schemas.microsoft.com/office/drawing/2014/chart" uri="{C3380CC4-5D6E-409C-BE32-E72D297353CC}">
              <c16:uniqueId val="{00000004-C8C9-4BCC-93F2-EAF2D0A0838D}"/>
            </c:ext>
          </c:extLst>
        </c:ser>
        <c:dLbls>
          <c:showLegendKey val="0"/>
          <c:showVal val="0"/>
          <c:showCatName val="0"/>
          <c:showSerName val="0"/>
          <c:showPercent val="0"/>
          <c:showBubbleSize val="0"/>
        </c:dLbls>
        <c:axId val="224646783"/>
        <c:axId val="224646367"/>
      </c:scatterChart>
      <c:valAx>
        <c:axId val="224646783"/>
        <c:scaling>
          <c:orientation val="minMax"/>
          <c:max val="2021"/>
          <c:min val="2019"/>
        </c:scaling>
        <c:delete val="0"/>
        <c:axPos val="b"/>
        <c:title>
          <c:tx>
            <c:rich>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pt-PT" b="1"/>
                  <a:t>Time</a:t>
                </a:r>
                <a:r>
                  <a:rPr lang="pt-PT" b="1" baseline="0"/>
                  <a:t> (year)</a:t>
                </a:r>
                <a:endParaRPr lang="pt-PT" b="1"/>
              </a:p>
            </c:rich>
          </c:tx>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pt-PT"/>
            </a:p>
          </c:txPr>
        </c:title>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crossAx val="224646367"/>
        <c:crosses val="autoZero"/>
        <c:crossBetween val="midCat"/>
      </c:valAx>
      <c:valAx>
        <c:axId val="224646367"/>
        <c:scaling>
          <c:orientation val="minMax"/>
        </c:scaling>
        <c:delete val="0"/>
        <c:axPos val="l"/>
        <c:title>
          <c:tx>
            <c:rich>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pt-PT" b="1"/>
                  <a:t>Total Accumulated (tCO</a:t>
                </a:r>
                <a:r>
                  <a:rPr lang="pt-PT" b="1" baseline="-25000"/>
                  <a:t>2</a:t>
                </a:r>
                <a:r>
                  <a:rPr lang="pt-PT" b="1"/>
                  <a:t>-e)</a:t>
                </a:r>
              </a:p>
            </c:rich>
          </c:tx>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pt-BR"/>
            </a:p>
          </c:txPr>
        </c:title>
        <c:numFmt formatCode="_(* #,##0.00_);_(* \(#,##0.00\);_(* &quot;-&quot;??_);_(@_)"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crossAx val="224646783"/>
        <c:crosses val="autoZero"/>
        <c:crossBetween val="midCat"/>
      </c:valAx>
      <c:spPr>
        <a:noFill/>
        <a:ln>
          <a:solidFill>
            <a:sysClr val="windowText" lastClr="000000"/>
          </a:solid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'BL-GHG'!$A$6:$A$7</c:f>
              <c:strCache>
                <c:ptCount val="1"/>
                <c:pt idx="0">
                  <c:v>Baseline Emissions</c:v>
                </c:pt>
              </c:strCache>
            </c:strRef>
          </c:tx>
          <c:spPr>
            <a:solidFill>
              <a:schemeClr val="accent6"/>
            </a:solidFill>
            <a:ln>
              <a:noFill/>
            </a:ln>
            <a:effectLst/>
          </c:spPr>
          <c:invertIfNegative val="0"/>
          <c:cat>
            <c:numRef>
              <c:f>'BL-GHG'!$D$5:$F$5</c:f>
              <c:numCache>
                <c:formatCode>General</c:formatCode>
                <c:ptCount val="3"/>
                <c:pt idx="0">
                  <c:v>2019</c:v>
                </c:pt>
                <c:pt idx="1">
                  <c:v>2020</c:v>
                </c:pt>
                <c:pt idx="2">
                  <c:v>2021</c:v>
                </c:pt>
              </c:numCache>
            </c:numRef>
          </c:cat>
          <c:val>
            <c:numRef>
              <c:f>'BL-GHG'!$D$6:$F$6</c:f>
              <c:numCache>
                <c:formatCode>_(* #,##0.00_);_(* \(#,##0.00\);_(* "-"??_);_(@_)</c:formatCode>
                <c:ptCount val="3"/>
                <c:pt idx="0">
                  <c:v>72595.685372065243</c:v>
                </c:pt>
                <c:pt idx="1">
                  <c:v>112850.90471632221</c:v>
                </c:pt>
                <c:pt idx="2">
                  <c:v>243446.80049284047</c:v>
                </c:pt>
              </c:numCache>
            </c:numRef>
          </c:val>
          <c:extLst>
            <c:ext xmlns:c16="http://schemas.microsoft.com/office/drawing/2014/chart" uri="{C3380CC4-5D6E-409C-BE32-E72D297353CC}">
              <c16:uniqueId val="{00000000-BCB5-46E0-9426-72DFBBE53579}"/>
            </c:ext>
          </c:extLst>
        </c:ser>
        <c:ser>
          <c:idx val="1"/>
          <c:order val="1"/>
          <c:tx>
            <c:strRef>
              <c:f>'BL-GHG'!$A$10:$A$11</c:f>
              <c:strCache>
                <c:ptCount val="1"/>
                <c:pt idx="0">
                  <c:v>Biomass Burning Emissions (CH4)</c:v>
                </c:pt>
              </c:strCache>
            </c:strRef>
          </c:tx>
          <c:spPr>
            <a:solidFill>
              <a:schemeClr val="tx2"/>
            </a:solidFill>
            <a:ln>
              <a:noFill/>
            </a:ln>
            <a:effectLst/>
          </c:spPr>
          <c:invertIfNegative val="0"/>
          <c:cat>
            <c:numRef>
              <c:f>'BL-GHG'!$D$5:$F$5</c:f>
              <c:numCache>
                <c:formatCode>General</c:formatCode>
                <c:ptCount val="3"/>
                <c:pt idx="0">
                  <c:v>2019</c:v>
                </c:pt>
                <c:pt idx="1">
                  <c:v>2020</c:v>
                </c:pt>
                <c:pt idx="2">
                  <c:v>2021</c:v>
                </c:pt>
              </c:numCache>
            </c:numRef>
          </c:cat>
          <c:val>
            <c:numRef>
              <c:f>'BL-GHG'!$D$10:$F$10</c:f>
              <c:numCache>
                <c:formatCode>_(* #,##0.00_);_(* \(#,##0.00\);_(* "-"??_);_(@_)</c:formatCode>
                <c:ptCount val="3"/>
                <c:pt idx="0">
                  <c:v>2731.3671175448721</c:v>
                </c:pt>
                <c:pt idx="1">
                  <c:v>4217.3440467791606</c:v>
                </c:pt>
                <c:pt idx="2">
                  <c:v>9162.7381657651604</c:v>
                </c:pt>
              </c:numCache>
            </c:numRef>
          </c:val>
          <c:extLst>
            <c:ext xmlns:c16="http://schemas.microsoft.com/office/drawing/2014/chart" uri="{C3380CC4-5D6E-409C-BE32-E72D297353CC}">
              <c16:uniqueId val="{00000001-BCB5-46E0-9426-72DFBBE53579}"/>
            </c:ext>
          </c:extLst>
        </c:ser>
        <c:ser>
          <c:idx val="2"/>
          <c:order val="2"/>
          <c:tx>
            <c:strRef>
              <c:f>'BL-GHG'!$A$12:$A$13</c:f>
              <c:strCache>
                <c:ptCount val="1"/>
                <c:pt idx="0">
                  <c:v>Biomass Burning Emissions (N2O)</c:v>
                </c:pt>
              </c:strCache>
            </c:strRef>
          </c:tx>
          <c:spPr>
            <a:solidFill>
              <a:schemeClr val="bg1">
                <a:lumMod val="65000"/>
              </a:schemeClr>
            </a:solidFill>
            <a:ln>
              <a:solidFill>
                <a:schemeClr val="tx2">
                  <a:lumMod val="60000"/>
                  <a:lumOff val="40000"/>
                </a:schemeClr>
              </a:solidFill>
            </a:ln>
            <a:effectLst/>
          </c:spPr>
          <c:invertIfNegative val="0"/>
          <c:cat>
            <c:numRef>
              <c:f>'BL-GHG'!$D$5:$F$5</c:f>
              <c:numCache>
                <c:formatCode>General</c:formatCode>
                <c:ptCount val="3"/>
                <c:pt idx="0">
                  <c:v>2019</c:v>
                </c:pt>
                <c:pt idx="1">
                  <c:v>2020</c:v>
                </c:pt>
                <c:pt idx="2">
                  <c:v>2021</c:v>
                </c:pt>
              </c:numCache>
            </c:numRef>
          </c:cat>
          <c:val>
            <c:numRef>
              <c:f>'BL-GHG'!$D$12:$F$12</c:f>
              <c:numCache>
                <c:formatCode>_(* #,##0.00_);_(* \(#,##0.00\);_(* "-"??_);_(@_)</c:formatCode>
                <c:ptCount val="3"/>
                <c:pt idx="0">
                  <c:v>1077.1016162937367</c:v>
                </c:pt>
                <c:pt idx="1">
                  <c:v>1663.0895422566634</c:v>
                </c:pt>
                <c:pt idx="2">
                  <c:v>3613.2821635829878</c:v>
                </c:pt>
              </c:numCache>
            </c:numRef>
          </c:val>
          <c:extLst>
            <c:ext xmlns:c16="http://schemas.microsoft.com/office/drawing/2014/chart" uri="{C3380CC4-5D6E-409C-BE32-E72D297353CC}">
              <c16:uniqueId val="{00000002-BCB5-46E0-9426-72DFBBE53579}"/>
            </c:ext>
          </c:extLst>
        </c:ser>
        <c:dLbls>
          <c:showLegendKey val="0"/>
          <c:showVal val="0"/>
          <c:showCatName val="0"/>
          <c:showSerName val="0"/>
          <c:showPercent val="0"/>
          <c:showBubbleSize val="0"/>
        </c:dLbls>
        <c:gapWidth val="150"/>
        <c:overlap val="100"/>
        <c:axId val="916242143"/>
        <c:axId val="916242559"/>
      </c:barChart>
      <c:catAx>
        <c:axId val="916242143"/>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crossAx val="916242559"/>
        <c:crosses val="autoZero"/>
        <c:auto val="1"/>
        <c:lblAlgn val="ctr"/>
        <c:lblOffset val="100"/>
        <c:noMultiLvlLbl val="0"/>
      </c:catAx>
      <c:valAx>
        <c:axId val="916242559"/>
        <c:scaling>
          <c:orientation val="minMax"/>
        </c:scaling>
        <c:delete val="0"/>
        <c:axPos val="l"/>
        <c:numFmt formatCode="_(* #,##0.00_);_(* \(#,##0.00\);_(* &quot;-&quot;??_);_(@_)"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crossAx val="916242143"/>
        <c:crosses val="autoZero"/>
        <c:crossBetween val="between"/>
      </c:valAx>
      <c:spPr>
        <a:noFill/>
        <a:ln>
          <a:solidFill>
            <a:schemeClr val="tx1"/>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pt-BR"/>
    </a:p>
  </c:tx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'BL-GHG'!$A$15:$A$16</c:f>
              <c:strCache>
                <c:ptCount val="1"/>
                <c:pt idx="0">
                  <c:v>Wood products carbon pool</c:v>
                </c:pt>
              </c:strCache>
            </c:strRef>
          </c:tx>
          <c:spPr>
            <a:solidFill>
              <a:schemeClr val="accent1"/>
            </a:solidFill>
            <a:ln>
              <a:noFill/>
            </a:ln>
            <a:effectLst/>
          </c:spPr>
          <c:invertIfNegative val="0"/>
          <c:cat>
            <c:numRef>
              <c:f>'BL-GHG'!$D$5:$F$5</c:f>
              <c:numCache>
                <c:formatCode>General</c:formatCode>
                <c:ptCount val="3"/>
                <c:pt idx="0">
                  <c:v>2019</c:v>
                </c:pt>
                <c:pt idx="1">
                  <c:v>2020</c:v>
                </c:pt>
                <c:pt idx="2">
                  <c:v>2021</c:v>
                </c:pt>
              </c:numCache>
            </c:numRef>
          </c:cat>
          <c:val>
            <c:numRef>
              <c:f>'BL-GHG'!$D$15:$F$15</c:f>
              <c:numCache>
                <c:formatCode>_(* #,##0.00_);_(* \(#,##0.00\);_(* "-"??_);_(@_)</c:formatCode>
                <c:ptCount val="3"/>
                <c:pt idx="0">
                  <c:v>408.4592160661557</c:v>
                </c:pt>
                <c:pt idx="1">
                  <c:v>630.67796055811061</c:v>
                </c:pt>
                <c:pt idx="2">
                  <c:v>1370.2313483117478</c:v>
                </c:pt>
              </c:numCache>
            </c:numRef>
          </c:val>
          <c:extLst>
            <c:ext xmlns:c16="http://schemas.microsoft.com/office/drawing/2014/chart" uri="{C3380CC4-5D6E-409C-BE32-E72D297353CC}">
              <c16:uniqueId val="{00000000-AA8F-49D2-A7C3-449848D575E6}"/>
            </c:ext>
          </c:extLst>
        </c:ser>
        <c:ser>
          <c:idx val="1"/>
          <c:order val="1"/>
          <c:tx>
            <c:strRef>
              <c:f>'BL-GHG'!$A$17:$A$18</c:f>
              <c:strCache>
                <c:ptCount val="1"/>
                <c:pt idx="0">
                  <c:v>Pasture Carbon Pool</c:v>
                </c:pt>
              </c:strCache>
            </c:strRef>
          </c:tx>
          <c:spPr>
            <a:solidFill>
              <a:schemeClr val="accent2"/>
            </a:solidFill>
            <a:ln>
              <a:noFill/>
            </a:ln>
            <a:effectLst/>
          </c:spPr>
          <c:invertIfNegative val="0"/>
          <c:cat>
            <c:numRef>
              <c:f>'BL-GHG'!$D$5:$F$5</c:f>
              <c:numCache>
                <c:formatCode>General</c:formatCode>
                <c:ptCount val="3"/>
                <c:pt idx="0">
                  <c:v>2019</c:v>
                </c:pt>
                <c:pt idx="1">
                  <c:v>2020</c:v>
                </c:pt>
                <c:pt idx="2">
                  <c:v>2021</c:v>
                </c:pt>
              </c:numCache>
            </c:numRef>
          </c:cat>
          <c:val>
            <c:numRef>
              <c:f>'BL-GHG'!$D$17:$F$17</c:f>
              <c:numCache>
                <c:formatCode>_(* #,##0.00_);_(* \(#,##0.00\);_(* "-"??_);_(@_)</c:formatCode>
                <c:ptCount val="3"/>
                <c:pt idx="0">
                  <c:v>2109.4701209999835</c:v>
                </c:pt>
                <c:pt idx="1">
                  <c:v>3257.1093059999994</c:v>
                </c:pt>
                <c:pt idx="2">
                  <c:v>7076.5010909999937</c:v>
                </c:pt>
              </c:numCache>
            </c:numRef>
          </c:val>
          <c:extLst>
            <c:ext xmlns:c16="http://schemas.microsoft.com/office/drawing/2014/chart" uri="{C3380CC4-5D6E-409C-BE32-E72D297353CC}">
              <c16:uniqueId val="{00000001-AA8F-49D2-A7C3-449848D575E6}"/>
            </c:ext>
          </c:extLst>
        </c:ser>
        <c:ser>
          <c:idx val="2"/>
          <c:order val="2"/>
          <c:tx>
            <c:strRef>
              <c:f>'BL-GHG'!$A$19:$A$20</c:f>
              <c:strCache>
                <c:ptCount val="1"/>
                <c:pt idx="0">
                  <c:v>Coffee Carbon Pool</c:v>
                </c:pt>
              </c:strCache>
            </c:strRef>
          </c:tx>
          <c:spPr>
            <a:solidFill>
              <a:schemeClr val="accent4"/>
            </a:solidFill>
            <a:ln>
              <a:noFill/>
            </a:ln>
            <a:effectLst/>
          </c:spPr>
          <c:invertIfNegative val="0"/>
          <c:cat>
            <c:numRef>
              <c:f>'BL-GHG'!$D$5:$F$5</c:f>
              <c:numCache>
                <c:formatCode>General</c:formatCode>
                <c:ptCount val="3"/>
                <c:pt idx="0">
                  <c:v>2019</c:v>
                </c:pt>
                <c:pt idx="1">
                  <c:v>2020</c:v>
                </c:pt>
                <c:pt idx="2">
                  <c:v>2021</c:v>
                </c:pt>
              </c:numCache>
            </c:numRef>
          </c:cat>
          <c:val>
            <c:numRef>
              <c:f>'BL-GHG'!$D$19:$F$19</c:f>
              <c:numCache>
                <c:formatCode>_(* #,##0.00_);_(* \(#,##0.00\);_(* "-"??_);_(@_)</c:formatCode>
                <c:ptCount val="3"/>
                <c:pt idx="0">
                  <c:v>1312.6508999999896</c:v>
                </c:pt>
                <c:pt idx="1">
                  <c:v>2026.7873999999999</c:v>
                </c:pt>
                <c:pt idx="2">
                  <c:v>4403.4638999999961</c:v>
                </c:pt>
              </c:numCache>
            </c:numRef>
          </c:val>
          <c:extLst>
            <c:ext xmlns:c16="http://schemas.microsoft.com/office/drawing/2014/chart" uri="{C3380CC4-5D6E-409C-BE32-E72D297353CC}">
              <c16:uniqueId val="{00000002-AA8F-49D2-A7C3-449848D575E6}"/>
            </c:ext>
          </c:extLst>
        </c:ser>
        <c:dLbls>
          <c:showLegendKey val="0"/>
          <c:showVal val="0"/>
          <c:showCatName val="0"/>
          <c:showSerName val="0"/>
          <c:showPercent val="0"/>
          <c:showBubbleSize val="0"/>
        </c:dLbls>
        <c:gapWidth val="150"/>
        <c:overlap val="100"/>
        <c:axId val="916242143"/>
        <c:axId val="916242559"/>
      </c:barChart>
      <c:catAx>
        <c:axId val="916242143"/>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crossAx val="916242559"/>
        <c:crosses val="autoZero"/>
        <c:auto val="1"/>
        <c:lblAlgn val="ctr"/>
        <c:lblOffset val="100"/>
        <c:noMultiLvlLbl val="0"/>
      </c:catAx>
      <c:valAx>
        <c:axId val="916242559"/>
        <c:scaling>
          <c:orientation val="minMax"/>
        </c:scaling>
        <c:delete val="0"/>
        <c:axPos val="l"/>
        <c:numFmt formatCode="_(* #,##0.00_);_(* \(#,##0.00\);_(* &quot;-&quot;??_);_(@_)"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crossAx val="916242143"/>
        <c:crosses val="autoZero"/>
        <c:crossBetween val="between"/>
      </c:valAx>
      <c:spPr>
        <a:noFill/>
        <a:ln>
          <a:solidFill>
            <a:schemeClr val="tx1"/>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pt-BR"/>
    </a:p>
  </c:txPr>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0"/>
          <c:tx>
            <c:strRef>
              <c:f>'BL-GHG'!$A$17:$A$18</c:f>
              <c:strCache>
                <c:ptCount val="1"/>
                <c:pt idx="0">
                  <c:v>Pasture Carbon Pool</c:v>
                </c:pt>
              </c:strCache>
            </c:strRef>
          </c:tx>
          <c:spPr>
            <a:solidFill>
              <a:srgbClr val="002060"/>
            </a:solidFill>
            <a:ln>
              <a:noFill/>
            </a:ln>
            <a:effectLst/>
          </c:spPr>
          <c:invertIfNegative val="0"/>
          <c:cat>
            <c:numRef>
              <c:f>'BL-GHG'!$D$5:$F$5</c:f>
              <c:numCache>
                <c:formatCode>General</c:formatCode>
                <c:ptCount val="3"/>
                <c:pt idx="0">
                  <c:v>2019</c:v>
                </c:pt>
                <c:pt idx="1">
                  <c:v>2020</c:v>
                </c:pt>
                <c:pt idx="2">
                  <c:v>2021</c:v>
                </c:pt>
              </c:numCache>
            </c:numRef>
          </c:cat>
          <c:val>
            <c:numRef>
              <c:f>'BL-GHG'!$D$17:$F$17</c:f>
              <c:numCache>
                <c:formatCode>_(* #,##0.00_);_(* \(#,##0.00\);_(* "-"??_);_(@_)</c:formatCode>
                <c:ptCount val="3"/>
                <c:pt idx="0">
                  <c:v>2109.4701209999835</c:v>
                </c:pt>
                <c:pt idx="1">
                  <c:v>3257.1093059999994</c:v>
                </c:pt>
                <c:pt idx="2">
                  <c:v>7076.5010909999937</c:v>
                </c:pt>
              </c:numCache>
            </c:numRef>
          </c:val>
          <c:extLst>
            <c:ext xmlns:c16="http://schemas.microsoft.com/office/drawing/2014/chart" uri="{C3380CC4-5D6E-409C-BE32-E72D297353CC}">
              <c16:uniqueId val="{00000001-F201-427B-8729-322F2A2CAD40}"/>
            </c:ext>
          </c:extLst>
        </c:ser>
        <c:ser>
          <c:idx val="2"/>
          <c:order val="1"/>
          <c:tx>
            <c:strRef>
              <c:f>'BL-GHG'!$A$19:$A$20</c:f>
              <c:strCache>
                <c:ptCount val="1"/>
                <c:pt idx="0">
                  <c:v>Coffee Carbon Pool</c:v>
                </c:pt>
              </c:strCache>
            </c:strRef>
          </c:tx>
          <c:spPr>
            <a:solidFill>
              <a:schemeClr val="accent6"/>
            </a:solidFill>
            <a:ln>
              <a:noFill/>
            </a:ln>
            <a:effectLst/>
          </c:spPr>
          <c:invertIfNegative val="0"/>
          <c:cat>
            <c:numRef>
              <c:f>'BL-GHG'!$D$5:$F$5</c:f>
              <c:numCache>
                <c:formatCode>General</c:formatCode>
                <c:ptCount val="3"/>
                <c:pt idx="0">
                  <c:v>2019</c:v>
                </c:pt>
                <c:pt idx="1">
                  <c:v>2020</c:v>
                </c:pt>
                <c:pt idx="2">
                  <c:v>2021</c:v>
                </c:pt>
              </c:numCache>
            </c:numRef>
          </c:cat>
          <c:val>
            <c:numRef>
              <c:f>'BL-GHG'!$D$19:$F$19</c:f>
              <c:numCache>
                <c:formatCode>_(* #,##0.00_);_(* \(#,##0.00\);_(* "-"??_);_(@_)</c:formatCode>
                <c:ptCount val="3"/>
                <c:pt idx="0">
                  <c:v>1312.6508999999896</c:v>
                </c:pt>
                <c:pt idx="1">
                  <c:v>2026.7873999999999</c:v>
                </c:pt>
                <c:pt idx="2">
                  <c:v>4403.4638999999961</c:v>
                </c:pt>
              </c:numCache>
            </c:numRef>
          </c:val>
          <c:extLst>
            <c:ext xmlns:c16="http://schemas.microsoft.com/office/drawing/2014/chart" uri="{C3380CC4-5D6E-409C-BE32-E72D297353CC}">
              <c16:uniqueId val="{00000002-F201-427B-8729-322F2A2CAD40}"/>
            </c:ext>
          </c:extLst>
        </c:ser>
        <c:dLbls>
          <c:showLegendKey val="0"/>
          <c:showVal val="0"/>
          <c:showCatName val="0"/>
          <c:showSerName val="0"/>
          <c:showPercent val="0"/>
          <c:showBubbleSize val="0"/>
        </c:dLbls>
        <c:gapWidth val="150"/>
        <c:overlap val="100"/>
        <c:axId val="916242143"/>
        <c:axId val="916242559"/>
      </c:barChart>
      <c:catAx>
        <c:axId val="916242143"/>
        <c:scaling>
          <c:orientation val="minMax"/>
        </c:scaling>
        <c:delete val="0"/>
        <c:axPos val="b"/>
        <c:title>
          <c:tx>
            <c:rich>
              <a:bodyPr rot="0" spcFirstLastPara="1" vertOverflow="ellipsis" vert="horz" wrap="square" anchor="ctr" anchorCtr="1"/>
              <a:lstStyle/>
              <a:p>
                <a:pPr>
                  <a:defRPr sz="1100" b="1" i="0" u="none" strike="noStrike" kern="1200" baseline="0">
                    <a:solidFill>
                      <a:sysClr val="windowText" lastClr="000000"/>
                    </a:solidFill>
                    <a:latin typeface="Franklin Gothic Book" panose="020B0503020102020204" pitchFamily="34" charset="0"/>
                    <a:ea typeface="+mn-ea"/>
                    <a:cs typeface="+mn-cs"/>
                  </a:defRPr>
                </a:pPr>
                <a:r>
                  <a:rPr lang="pt-PT" b="1"/>
                  <a:t>Time (years)</a:t>
                </a:r>
              </a:p>
            </c:rich>
          </c:tx>
          <c:overlay val="0"/>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Franklin Gothic Book" panose="020B0503020102020204" pitchFamily="34" charset="0"/>
                  <a:ea typeface="+mn-ea"/>
                  <a:cs typeface="+mn-cs"/>
                </a:defRPr>
              </a:pPr>
              <a:endParaRPr lang="pt-BR"/>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Franklin Gothic Book" panose="020B0503020102020204" pitchFamily="34" charset="0"/>
                <a:ea typeface="+mn-ea"/>
                <a:cs typeface="+mn-cs"/>
              </a:defRPr>
            </a:pPr>
            <a:endParaRPr lang="pt-BR"/>
          </a:p>
        </c:txPr>
        <c:crossAx val="916242559"/>
        <c:crosses val="autoZero"/>
        <c:auto val="1"/>
        <c:lblAlgn val="ctr"/>
        <c:lblOffset val="100"/>
        <c:noMultiLvlLbl val="0"/>
      </c:catAx>
      <c:valAx>
        <c:axId val="916242559"/>
        <c:scaling>
          <c:orientation val="minMax"/>
        </c:scaling>
        <c:delete val="0"/>
        <c:axPos val="l"/>
        <c:title>
          <c:tx>
            <c:rich>
              <a:bodyPr rot="-5400000" spcFirstLastPara="1" vertOverflow="ellipsis" vert="horz" wrap="square" anchor="ctr" anchorCtr="1"/>
              <a:lstStyle/>
              <a:p>
                <a:pPr>
                  <a:defRPr sz="1100" b="1" i="0" u="none" strike="noStrike" kern="1200" baseline="0">
                    <a:solidFill>
                      <a:sysClr val="windowText" lastClr="000000"/>
                    </a:solidFill>
                    <a:latin typeface="Franklin Gothic Book" panose="020B0503020102020204" pitchFamily="34" charset="0"/>
                    <a:ea typeface="+mn-ea"/>
                    <a:cs typeface="+mn-cs"/>
                  </a:defRPr>
                </a:pPr>
                <a:r>
                  <a:rPr lang="pt-PT" b="1"/>
                  <a:t>tCO</a:t>
                </a:r>
                <a:r>
                  <a:rPr lang="pt-PT" b="1" baseline="-25000"/>
                  <a:t>2e</a:t>
                </a:r>
              </a:p>
            </c:rich>
          </c:tx>
          <c:overlay val="0"/>
          <c:spPr>
            <a:noFill/>
            <a:ln>
              <a:noFill/>
            </a:ln>
            <a:effectLst/>
          </c:spPr>
          <c:txPr>
            <a:bodyPr rot="-5400000" spcFirstLastPara="1" vertOverflow="ellipsis" vert="horz" wrap="square" anchor="ctr" anchorCtr="1"/>
            <a:lstStyle/>
            <a:p>
              <a:pPr>
                <a:defRPr sz="1100" b="1" i="0" u="none" strike="noStrike" kern="1200" baseline="0">
                  <a:solidFill>
                    <a:sysClr val="windowText" lastClr="000000"/>
                  </a:solidFill>
                  <a:latin typeface="Franklin Gothic Book" panose="020B0503020102020204" pitchFamily="34" charset="0"/>
                  <a:ea typeface="+mn-ea"/>
                  <a:cs typeface="+mn-cs"/>
                </a:defRPr>
              </a:pPr>
              <a:endParaRPr lang="pt-BR"/>
            </a:p>
          </c:txPr>
        </c:title>
        <c:numFmt formatCode="_(* #,##0_);_(* \(#,##0\);_(* &quot;-&quot;_);_(@_)"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Franklin Gothic Book" panose="020B0503020102020204" pitchFamily="34" charset="0"/>
                <a:ea typeface="+mn-ea"/>
                <a:cs typeface="+mn-cs"/>
              </a:defRPr>
            </a:pPr>
            <a:endParaRPr lang="pt-BR"/>
          </a:p>
        </c:txPr>
        <c:crossAx val="916242143"/>
        <c:crosses val="autoZero"/>
        <c:crossBetween val="between"/>
        <c:majorUnit val="2000"/>
      </c:valAx>
      <c:spPr>
        <a:noFill/>
        <a:ln>
          <a:solidFill>
            <a:schemeClr val="tx1"/>
          </a:solid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Franklin Gothic Book" panose="020B0503020102020204" pitchFamily="34" charset="0"/>
              <a:ea typeface="+mn-ea"/>
              <a:cs typeface="+mn-cs"/>
            </a:defRPr>
          </a:pPr>
          <a:endParaRPr lang="pt-BR"/>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Franklin Gothic Book" panose="020B05030201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'LK-GHG_ex_ante'!$A$6:$A$7</c:f>
              <c:strCache>
                <c:ptCount val="1"/>
                <c:pt idx="0">
                  <c:v>Baseline Emissions</c:v>
                </c:pt>
              </c:strCache>
            </c:strRef>
          </c:tx>
          <c:spPr>
            <a:solidFill>
              <a:schemeClr val="accent6"/>
            </a:solidFill>
            <a:ln>
              <a:noFill/>
            </a:ln>
            <a:effectLst/>
          </c:spPr>
          <c:invertIfNegative val="0"/>
          <c:cat>
            <c:numRef>
              <c:f>'LK-GHG_ex_ante'!$D$5:$F$5</c:f>
              <c:numCache>
                <c:formatCode>General</c:formatCode>
                <c:ptCount val="3"/>
                <c:pt idx="0">
                  <c:v>2025</c:v>
                </c:pt>
                <c:pt idx="1">
                  <c:v>2026</c:v>
                </c:pt>
                <c:pt idx="2">
                  <c:v>2027</c:v>
                </c:pt>
              </c:numCache>
            </c:numRef>
          </c:cat>
          <c:val>
            <c:numRef>
              <c:f>'LK-GHG_ex_ante'!$D$6:$F$6</c:f>
              <c:numCache>
                <c:formatCode>_(* #,##0.00_);_(* \(#,##0.00\);_(* "-"??_);_(@_)</c:formatCode>
                <c:ptCount val="3"/>
                <c:pt idx="0">
                  <c:v>0</c:v>
                </c:pt>
                <c:pt idx="1">
                  <c:v>11589.412291768811</c:v>
                </c:pt>
                <c:pt idx="2">
                  <c:v>50081.323152517209</c:v>
                </c:pt>
              </c:numCache>
            </c:numRef>
          </c:val>
          <c:extLst>
            <c:ext xmlns:c16="http://schemas.microsoft.com/office/drawing/2014/chart" uri="{C3380CC4-5D6E-409C-BE32-E72D297353CC}">
              <c16:uniqueId val="{00000000-0651-42EF-802F-22ED615BA4ED}"/>
            </c:ext>
          </c:extLst>
        </c:ser>
        <c:ser>
          <c:idx val="1"/>
          <c:order val="1"/>
          <c:tx>
            <c:strRef>
              <c:f>'LK-GHG_ex_ante'!$A$10:$A$11</c:f>
              <c:strCache>
                <c:ptCount val="1"/>
                <c:pt idx="0">
                  <c:v>Biomass Burning Emissions (CH4)</c:v>
                </c:pt>
              </c:strCache>
            </c:strRef>
          </c:tx>
          <c:spPr>
            <a:solidFill>
              <a:schemeClr val="tx2"/>
            </a:solidFill>
            <a:ln>
              <a:noFill/>
            </a:ln>
            <a:effectLst/>
          </c:spPr>
          <c:invertIfNegative val="0"/>
          <c:cat>
            <c:numRef>
              <c:f>'LK-GHG_ex_ante'!$D$5:$F$5</c:f>
              <c:numCache>
                <c:formatCode>General</c:formatCode>
                <c:ptCount val="3"/>
                <c:pt idx="0">
                  <c:v>2025</c:v>
                </c:pt>
                <c:pt idx="1">
                  <c:v>2026</c:v>
                </c:pt>
                <c:pt idx="2">
                  <c:v>2027</c:v>
                </c:pt>
              </c:numCache>
            </c:numRef>
          </c:cat>
          <c:val>
            <c:numRef>
              <c:f>'LK-GHG_ex_ante'!$D$10:$F$10</c:f>
              <c:numCache>
                <c:formatCode>_(* #,##0.00_);_(* \(#,##0.00\);_(* "-"??_);_(@_)</c:formatCode>
                <c:ptCount val="3"/>
                <c:pt idx="0">
                  <c:v>0</c:v>
                </c:pt>
                <c:pt idx="1">
                  <c:v>436.74479827776935</c:v>
                </c:pt>
                <c:pt idx="2">
                  <c:v>1887.3051391281228</c:v>
                </c:pt>
              </c:numCache>
            </c:numRef>
          </c:val>
          <c:extLst>
            <c:ext xmlns:c16="http://schemas.microsoft.com/office/drawing/2014/chart" uri="{C3380CC4-5D6E-409C-BE32-E72D297353CC}">
              <c16:uniqueId val="{00000001-0651-42EF-802F-22ED615BA4ED}"/>
            </c:ext>
          </c:extLst>
        </c:ser>
        <c:ser>
          <c:idx val="2"/>
          <c:order val="2"/>
          <c:tx>
            <c:strRef>
              <c:f>'LK-GHG_ex_ante'!$A$12:$A$13</c:f>
              <c:strCache>
                <c:ptCount val="1"/>
                <c:pt idx="0">
                  <c:v>Biomass Burning Emissions (N2O)</c:v>
                </c:pt>
              </c:strCache>
            </c:strRef>
          </c:tx>
          <c:spPr>
            <a:solidFill>
              <a:schemeClr val="bg1">
                <a:lumMod val="65000"/>
              </a:schemeClr>
            </a:solidFill>
            <a:ln>
              <a:solidFill>
                <a:schemeClr val="tx2">
                  <a:lumMod val="60000"/>
                  <a:lumOff val="40000"/>
                </a:schemeClr>
              </a:solidFill>
            </a:ln>
            <a:effectLst/>
          </c:spPr>
          <c:invertIfNegative val="0"/>
          <c:cat>
            <c:numRef>
              <c:f>'LK-GHG_ex_ante'!$D$5:$F$5</c:f>
              <c:numCache>
                <c:formatCode>General</c:formatCode>
                <c:ptCount val="3"/>
                <c:pt idx="0">
                  <c:v>2025</c:v>
                </c:pt>
                <c:pt idx="1">
                  <c:v>2026</c:v>
                </c:pt>
                <c:pt idx="2">
                  <c:v>2027</c:v>
                </c:pt>
              </c:numCache>
            </c:numRef>
          </c:cat>
          <c:val>
            <c:numRef>
              <c:f>'LK-GHG_ex_ante'!$D$12:$F$12</c:f>
              <c:numCache>
                <c:formatCode>_(* #,##0.00_);_(* \(#,##0.00\);_(* "-"??_);_(@_)</c:formatCode>
                <c:ptCount val="3"/>
                <c:pt idx="0">
                  <c:v>0</c:v>
                </c:pt>
                <c:pt idx="1">
                  <c:v>172.22823146370371</c:v>
                </c:pt>
                <c:pt idx="2">
                  <c:v>744.24979444784617</c:v>
                </c:pt>
              </c:numCache>
            </c:numRef>
          </c:val>
          <c:extLst>
            <c:ext xmlns:c16="http://schemas.microsoft.com/office/drawing/2014/chart" uri="{C3380CC4-5D6E-409C-BE32-E72D297353CC}">
              <c16:uniqueId val="{00000002-0651-42EF-802F-22ED615BA4ED}"/>
            </c:ext>
          </c:extLst>
        </c:ser>
        <c:dLbls>
          <c:showLegendKey val="0"/>
          <c:showVal val="0"/>
          <c:showCatName val="0"/>
          <c:showSerName val="0"/>
          <c:showPercent val="0"/>
          <c:showBubbleSize val="0"/>
        </c:dLbls>
        <c:gapWidth val="150"/>
        <c:overlap val="100"/>
        <c:axId val="916242143"/>
        <c:axId val="916242559"/>
      </c:barChart>
      <c:catAx>
        <c:axId val="916242143"/>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crossAx val="916242559"/>
        <c:crosses val="autoZero"/>
        <c:auto val="1"/>
        <c:lblAlgn val="ctr"/>
        <c:lblOffset val="100"/>
        <c:noMultiLvlLbl val="0"/>
      </c:catAx>
      <c:valAx>
        <c:axId val="916242559"/>
        <c:scaling>
          <c:orientation val="minMax"/>
        </c:scaling>
        <c:delete val="0"/>
        <c:axPos val="l"/>
        <c:numFmt formatCode="_(* #,##0.00_);_(* \(#,##0.00\);_(* &quot;-&quot;??_);_(@_)"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crossAx val="916242143"/>
        <c:crosses val="autoZero"/>
        <c:crossBetween val="between"/>
      </c:valAx>
      <c:spPr>
        <a:noFill/>
        <a:ln>
          <a:solidFill>
            <a:schemeClr val="tx1"/>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pt-BR"/>
    </a:p>
  </c:txPr>
  <c:printSettings>
    <c:headerFooter/>
    <c:pageMargins b="0.78740157499999996" l="0.511811024" r="0.511811024" t="0.78740157499999996" header="0.31496062000000002" footer="0.3149606200000000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'LK-GHG_ex_ante'!$A$15:$A$16</c:f>
              <c:strCache>
                <c:ptCount val="1"/>
                <c:pt idx="0">
                  <c:v>Wood products carbon pool</c:v>
                </c:pt>
              </c:strCache>
            </c:strRef>
          </c:tx>
          <c:spPr>
            <a:solidFill>
              <a:schemeClr val="accent1"/>
            </a:solidFill>
            <a:ln>
              <a:noFill/>
            </a:ln>
            <a:effectLst/>
          </c:spPr>
          <c:invertIfNegative val="0"/>
          <c:cat>
            <c:numRef>
              <c:f>'LK-GHG_ex_ante'!$D$5:$F$5</c:f>
              <c:numCache>
                <c:formatCode>General</c:formatCode>
                <c:ptCount val="3"/>
                <c:pt idx="0">
                  <c:v>2025</c:v>
                </c:pt>
                <c:pt idx="1">
                  <c:v>2026</c:v>
                </c:pt>
                <c:pt idx="2">
                  <c:v>2027</c:v>
                </c:pt>
              </c:numCache>
            </c:numRef>
          </c:cat>
          <c:val>
            <c:numRef>
              <c:f>'LK-GHG_ex_ante'!$D$15:$F$15</c:f>
              <c:numCache>
                <c:formatCode>_(* #,##0.00_);_(* \(#,##0.00\);_(* "-"??_);_(@_)</c:formatCode>
                <c:ptCount val="3"/>
                <c:pt idx="0">
                  <c:v>0</c:v>
                </c:pt>
                <c:pt idx="1">
                  <c:v>65.137134628857808</c:v>
                </c:pt>
                <c:pt idx="2">
                  <c:v>281.4770763564722</c:v>
                </c:pt>
              </c:numCache>
            </c:numRef>
          </c:val>
          <c:extLst>
            <c:ext xmlns:c16="http://schemas.microsoft.com/office/drawing/2014/chart" uri="{C3380CC4-5D6E-409C-BE32-E72D297353CC}">
              <c16:uniqueId val="{00000000-AE66-4C64-A7D0-3A19B0564F13}"/>
            </c:ext>
          </c:extLst>
        </c:ser>
        <c:ser>
          <c:idx val="1"/>
          <c:order val="1"/>
          <c:tx>
            <c:strRef>
              <c:f>'LK-GHG_ex_ante'!$A$17:$A$18</c:f>
              <c:strCache>
                <c:ptCount val="1"/>
                <c:pt idx="0">
                  <c:v>Pasture Carbon Pool</c:v>
                </c:pt>
              </c:strCache>
            </c:strRef>
          </c:tx>
          <c:spPr>
            <a:solidFill>
              <a:schemeClr val="accent2"/>
            </a:solidFill>
            <a:ln>
              <a:noFill/>
            </a:ln>
            <a:effectLst/>
          </c:spPr>
          <c:invertIfNegative val="0"/>
          <c:cat>
            <c:numRef>
              <c:f>'LK-GHG_ex_ante'!$D$5:$F$5</c:f>
              <c:numCache>
                <c:formatCode>General</c:formatCode>
                <c:ptCount val="3"/>
                <c:pt idx="0">
                  <c:v>2025</c:v>
                </c:pt>
                <c:pt idx="1">
                  <c:v>2026</c:v>
                </c:pt>
                <c:pt idx="2">
                  <c:v>2027</c:v>
                </c:pt>
              </c:numCache>
            </c:numRef>
          </c:cat>
          <c:val>
            <c:numRef>
              <c:f>'LK-GHG_ex_ante'!$D$17:$F$17</c:f>
              <c:numCache>
                <c:formatCode>_(* #,##0.00_);_(* \(#,##0.00\);_(* "-"??_);_(@_)</c:formatCode>
                <c:ptCount val="3"/>
                <c:pt idx="0">
                  <c:v>0</c:v>
                </c:pt>
                <c:pt idx="1">
                  <c:v>336.39794099999995</c:v>
                </c:pt>
                <c:pt idx="2">
                  <c:v>1453.6763009999997</c:v>
                </c:pt>
              </c:numCache>
            </c:numRef>
          </c:val>
          <c:extLst>
            <c:ext xmlns:c16="http://schemas.microsoft.com/office/drawing/2014/chart" uri="{C3380CC4-5D6E-409C-BE32-E72D297353CC}">
              <c16:uniqueId val="{00000001-AE66-4C64-A7D0-3A19B0564F13}"/>
            </c:ext>
          </c:extLst>
        </c:ser>
        <c:ser>
          <c:idx val="2"/>
          <c:order val="2"/>
          <c:tx>
            <c:strRef>
              <c:f>'LK-GHG_ex_ante'!$A$19:$A$20</c:f>
              <c:strCache>
                <c:ptCount val="1"/>
                <c:pt idx="0">
                  <c:v>Coffee Carbon Pool</c:v>
                </c:pt>
              </c:strCache>
            </c:strRef>
          </c:tx>
          <c:spPr>
            <a:solidFill>
              <a:schemeClr val="accent4"/>
            </a:solidFill>
            <a:ln>
              <a:noFill/>
            </a:ln>
            <a:effectLst/>
          </c:spPr>
          <c:invertIfNegative val="0"/>
          <c:cat>
            <c:numRef>
              <c:f>'LK-GHG_ex_ante'!$D$5:$F$5</c:f>
              <c:numCache>
                <c:formatCode>General</c:formatCode>
                <c:ptCount val="3"/>
                <c:pt idx="0">
                  <c:v>2025</c:v>
                </c:pt>
                <c:pt idx="1">
                  <c:v>2026</c:v>
                </c:pt>
                <c:pt idx="2">
                  <c:v>2027</c:v>
                </c:pt>
              </c:numCache>
            </c:numRef>
          </c:cat>
          <c:val>
            <c:numRef>
              <c:f>'LK-GHG_ex_ante'!$D$19:$F$19</c:f>
              <c:numCache>
                <c:formatCode>_(* #,##0.00_);_(* \(#,##0.00\);_(* "-"??_);_(@_)</c:formatCode>
                <c:ptCount val="3"/>
                <c:pt idx="0">
                  <c:v>0</c:v>
                </c:pt>
                <c:pt idx="1">
                  <c:v>209.3289</c:v>
                </c:pt>
                <c:pt idx="2">
                  <c:v>904.5729</c:v>
                </c:pt>
              </c:numCache>
            </c:numRef>
          </c:val>
          <c:extLst>
            <c:ext xmlns:c16="http://schemas.microsoft.com/office/drawing/2014/chart" uri="{C3380CC4-5D6E-409C-BE32-E72D297353CC}">
              <c16:uniqueId val="{00000002-AE66-4C64-A7D0-3A19B0564F13}"/>
            </c:ext>
          </c:extLst>
        </c:ser>
        <c:dLbls>
          <c:showLegendKey val="0"/>
          <c:showVal val="0"/>
          <c:showCatName val="0"/>
          <c:showSerName val="0"/>
          <c:showPercent val="0"/>
          <c:showBubbleSize val="0"/>
        </c:dLbls>
        <c:gapWidth val="150"/>
        <c:overlap val="100"/>
        <c:axId val="916242143"/>
        <c:axId val="916242559"/>
      </c:barChart>
      <c:catAx>
        <c:axId val="916242143"/>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crossAx val="916242559"/>
        <c:crosses val="autoZero"/>
        <c:auto val="1"/>
        <c:lblAlgn val="ctr"/>
        <c:lblOffset val="100"/>
        <c:noMultiLvlLbl val="0"/>
      </c:catAx>
      <c:valAx>
        <c:axId val="916242559"/>
        <c:scaling>
          <c:orientation val="minMax"/>
        </c:scaling>
        <c:delete val="0"/>
        <c:axPos val="l"/>
        <c:numFmt formatCode="_(* #,##0.00_);_(* \(#,##0.00\);_(* &quot;-&quot;??_);_(@_)"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crossAx val="916242143"/>
        <c:crosses val="autoZero"/>
        <c:crossBetween val="between"/>
      </c:valAx>
      <c:spPr>
        <a:noFill/>
        <a:ln>
          <a:solidFill>
            <a:schemeClr val="tx1"/>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pt-BR"/>
    </a:p>
  </c:txPr>
  <c:printSettings>
    <c:headerFooter/>
    <c:pageMargins b="0.78740157499999996" l="0.511811024" r="0.511811024" t="0.78740157499999996" header="0.31496062000000002" footer="0.3149606200000000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'LK-GHG_ex_post'!$A$6:$A$7</c:f>
              <c:strCache>
                <c:ptCount val="1"/>
                <c:pt idx="0">
                  <c:v>Baseline Emissions</c:v>
                </c:pt>
              </c:strCache>
            </c:strRef>
          </c:tx>
          <c:spPr>
            <a:solidFill>
              <a:schemeClr val="accent6"/>
            </a:solidFill>
            <a:ln>
              <a:noFill/>
            </a:ln>
            <a:effectLst/>
          </c:spPr>
          <c:invertIfNegative val="0"/>
          <c:cat>
            <c:numRef>
              <c:f>'LK-GHG_ex_post'!$D$5:$F$5</c:f>
              <c:numCache>
                <c:formatCode>General</c:formatCode>
                <c:ptCount val="3"/>
                <c:pt idx="0">
                  <c:v>2019</c:v>
                </c:pt>
                <c:pt idx="1">
                  <c:v>2020</c:v>
                </c:pt>
                <c:pt idx="2">
                  <c:v>2021</c:v>
                </c:pt>
              </c:numCache>
            </c:numRef>
          </c:cat>
          <c:val>
            <c:numRef>
              <c:f>'LK-GHG_ex_post'!$D$6:$F$6</c:f>
              <c:numCache>
                <c:formatCode>_(* #,##0.00_);_(* \(#,##0.00\);_(* "-"??_);_(@_)</c:formatCode>
                <c:ptCount val="3"/>
                <c:pt idx="0">
                  <c:v>0</c:v>
                </c:pt>
                <c:pt idx="1">
                  <c:v>0</c:v>
                </c:pt>
                <c:pt idx="2">
                  <c:v>0</c:v>
                </c:pt>
              </c:numCache>
            </c:numRef>
          </c:val>
          <c:extLst>
            <c:ext xmlns:c16="http://schemas.microsoft.com/office/drawing/2014/chart" uri="{C3380CC4-5D6E-409C-BE32-E72D297353CC}">
              <c16:uniqueId val="{00000000-467D-43CE-A2AC-F5EB7BBA5BC9}"/>
            </c:ext>
          </c:extLst>
        </c:ser>
        <c:ser>
          <c:idx val="1"/>
          <c:order val="1"/>
          <c:tx>
            <c:strRef>
              <c:f>'LK-GHG_ex_post'!$A$10:$A$11</c:f>
              <c:strCache>
                <c:ptCount val="1"/>
                <c:pt idx="0">
                  <c:v>Biomass Burning Emissions (CH4)</c:v>
                </c:pt>
              </c:strCache>
            </c:strRef>
          </c:tx>
          <c:spPr>
            <a:solidFill>
              <a:schemeClr val="tx2"/>
            </a:solidFill>
            <a:ln>
              <a:noFill/>
            </a:ln>
            <a:effectLst/>
          </c:spPr>
          <c:invertIfNegative val="0"/>
          <c:cat>
            <c:numRef>
              <c:f>'LK-GHG_ex_post'!$D$5:$F$5</c:f>
              <c:numCache>
                <c:formatCode>General</c:formatCode>
                <c:ptCount val="3"/>
                <c:pt idx="0">
                  <c:v>2019</c:v>
                </c:pt>
                <c:pt idx="1">
                  <c:v>2020</c:v>
                </c:pt>
                <c:pt idx="2">
                  <c:v>2021</c:v>
                </c:pt>
              </c:numCache>
            </c:numRef>
          </c:cat>
          <c:val>
            <c:numRef>
              <c:f>'LK-GHG_ex_post'!$D$10:$F$10</c:f>
              <c:numCache>
                <c:formatCode>_(* #,##0.00_);_(* \(#,##0.00\);_(* "-"??_);_(@_)</c:formatCode>
                <c:ptCount val="3"/>
                <c:pt idx="0">
                  <c:v>0</c:v>
                </c:pt>
                <c:pt idx="1">
                  <c:v>0</c:v>
                </c:pt>
                <c:pt idx="2">
                  <c:v>0</c:v>
                </c:pt>
              </c:numCache>
            </c:numRef>
          </c:val>
          <c:extLst>
            <c:ext xmlns:c16="http://schemas.microsoft.com/office/drawing/2014/chart" uri="{C3380CC4-5D6E-409C-BE32-E72D297353CC}">
              <c16:uniqueId val="{00000001-467D-43CE-A2AC-F5EB7BBA5BC9}"/>
            </c:ext>
          </c:extLst>
        </c:ser>
        <c:ser>
          <c:idx val="2"/>
          <c:order val="2"/>
          <c:tx>
            <c:strRef>
              <c:f>'LK-GHG_ex_post'!$A$12:$A$13</c:f>
              <c:strCache>
                <c:ptCount val="1"/>
                <c:pt idx="0">
                  <c:v>Biomass Burning Emissions (N2O)</c:v>
                </c:pt>
              </c:strCache>
            </c:strRef>
          </c:tx>
          <c:spPr>
            <a:solidFill>
              <a:schemeClr val="bg1">
                <a:lumMod val="65000"/>
              </a:schemeClr>
            </a:solidFill>
            <a:ln>
              <a:solidFill>
                <a:schemeClr val="tx2">
                  <a:lumMod val="60000"/>
                  <a:lumOff val="40000"/>
                </a:schemeClr>
              </a:solidFill>
            </a:ln>
            <a:effectLst/>
          </c:spPr>
          <c:invertIfNegative val="0"/>
          <c:cat>
            <c:numRef>
              <c:f>'LK-GHG_ex_post'!$D$5:$F$5</c:f>
              <c:numCache>
                <c:formatCode>General</c:formatCode>
                <c:ptCount val="3"/>
                <c:pt idx="0">
                  <c:v>2019</c:v>
                </c:pt>
                <c:pt idx="1">
                  <c:v>2020</c:v>
                </c:pt>
                <c:pt idx="2">
                  <c:v>2021</c:v>
                </c:pt>
              </c:numCache>
            </c:numRef>
          </c:cat>
          <c:val>
            <c:numRef>
              <c:f>'LK-GHG_ex_post'!$D$12:$F$12</c:f>
              <c:numCache>
                <c:formatCode>_(* #,##0.00_);_(* \(#,##0.00\);_(* "-"??_);_(@_)</c:formatCode>
                <c:ptCount val="3"/>
                <c:pt idx="0">
                  <c:v>0</c:v>
                </c:pt>
                <c:pt idx="1">
                  <c:v>0</c:v>
                </c:pt>
                <c:pt idx="2">
                  <c:v>0</c:v>
                </c:pt>
              </c:numCache>
            </c:numRef>
          </c:val>
          <c:extLst>
            <c:ext xmlns:c16="http://schemas.microsoft.com/office/drawing/2014/chart" uri="{C3380CC4-5D6E-409C-BE32-E72D297353CC}">
              <c16:uniqueId val="{00000002-467D-43CE-A2AC-F5EB7BBA5BC9}"/>
            </c:ext>
          </c:extLst>
        </c:ser>
        <c:dLbls>
          <c:showLegendKey val="0"/>
          <c:showVal val="0"/>
          <c:showCatName val="0"/>
          <c:showSerName val="0"/>
          <c:showPercent val="0"/>
          <c:showBubbleSize val="0"/>
        </c:dLbls>
        <c:gapWidth val="150"/>
        <c:overlap val="100"/>
        <c:axId val="916242143"/>
        <c:axId val="916242559"/>
      </c:barChart>
      <c:catAx>
        <c:axId val="916242143"/>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crossAx val="916242559"/>
        <c:crosses val="autoZero"/>
        <c:auto val="1"/>
        <c:lblAlgn val="ctr"/>
        <c:lblOffset val="100"/>
        <c:noMultiLvlLbl val="0"/>
      </c:catAx>
      <c:valAx>
        <c:axId val="916242559"/>
        <c:scaling>
          <c:orientation val="minMax"/>
        </c:scaling>
        <c:delete val="0"/>
        <c:axPos val="l"/>
        <c:numFmt formatCode="_(* #,##0.00_);_(* \(#,##0.00\);_(* &quot;-&quot;??_);_(@_)"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crossAx val="916242143"/>
        <c:crosses val="autoZero"/>
        <c:crossBetween val="between"/>
      </c:valAx>
      <c:spPr>
        <a:noFill/>
        <a:ln>
          <a:solidFill>
            <a:schemeClr val="tx1"/>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Reversed" id="26">
  <a:schemeClr val="accent6"/>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image" Target="../media/image1.png"/><Relationship Id="rId4"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image" Target="../media/image1.png"/><Relationship Id="rId4"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11</xdr:col>
      <xdr:colOff>453390</xdr:colOff>
      <xdr:row>0</xdr:row>
      <xdr:rowOff>0</xdr:rowOff>
    </xdr:from>
    <xdr:to>
      <xdr:col>12</xdr:col>
      <xdr:colOff>668655</xdr:colOff>
      <xdr:row>1</xdr:row>
      <xdr:rowOff>19050</xdr:rowOff>
    </xdr:to>
    <xdr:pic>
      <xdr:nvPicPr>
        <xdr:cNvPr id="3" name="Google Shape;57;p14">
          <a:extLst>
            <a:ext uri="{FF2B5EF4-FFF2-40B4-BE49-F238E27FC236}">
              <a16:creationId xmlns:a16="http://schemas.microsoft.com/office/drawing/2014/main" id="{B832C7BC-7812-4948-BD52-431C5884D770}"/>
            </a:ext>
          </a:extLst>
        </xdr:cNvPr>
        <xdr:cNvPicPr preferRelativeResize="0"/>
      </xdr:nvPicPr>
      <xdr:blipFill>
        <a:blip xmlns:r="http://schemas.openxmlformats.org/officeDocument/2006/relationships" r:embed="rId1">
          <a:clrChange>
            <a:clrFrom>
              <a:srgbClr val="065393"/>
            </a:clrFrom>
            <a:clrTo>
              <a:srgbClr val="065393">
                <a:alpha val="0"/>
              </a:srgbClr>
            </a:clrTo>
          </a:clrChange>
          <a:alphaModFix/>
        </a:blip>
        <a:stretch>
          <a:fillRect/>
        </a:stretch>
      </xdr:blipFill>
      <xdr:spPr>
        <a:xfrm>
          <a:off x="6501765" y="0"/>
          <a:ext cx="781050" cy="34290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704850</xdr:colOff>
      <xdr:row>0</xdr:row>
      <xdr:rowOff>15240</xdr:rowOff>
    </xdr:from>
    <xdr:to>
      <xdr:col>7</xdr:col>
      <xdr:colOff>552450</xdr:colOff>
      <xdr:row>1</xdr:row>
      <xdr:rowOff>53340</xdr:rowOff>
    </xdr:to>
    <xdr:pic>
      <xdr:nvPicPr>
        <xdr:cNvPr id="2" name="Google Shape;57;p14">
          <a:extLst>
            <a:ext uri="{FF2B5EF4-FFF2-40B4-BE49-F238E27FC236}">
              <a16:creationId xmlns:a16="http://schemas.microsoft.com/office/drawing/2014/main" id="{F15E465E-8BD8-43A4-BFF5-01B02E0363A1}"/>
            </a:ext>
          </a:extLst>
        </xdr:cNvPr>
        <xdr:cNvPicPr preferRelativeResize="0"/>
      </xdr:nvPicPr>
      <xdr:blipFill>
        <a:blip xmlns:r="http://schemas.openxmlformats.org/officeDocument/2006/relationships" r:embed="rId1">
          <a:clrChange>
            <a:clrFrom>
              <a:srgbClr val="065393"/>
            </a:clrFrom>
            <a:clrTo>
              <a:srgbClr val="065393">
                <a:alpha val="0"/>
              </a:srgbClr>
            </a:clrTo>
          </a:clrChange>
          <a:alphaModFix/>
        </a:blip>
        <a:stretch>
          <a:fillRect/>
        </a:stretch>
      </xdr:blipFill>
      <xdr:spPr>
        <a:xfrm>
          <a:off x="9902190" y="19050"/>
          <a:ext cx="794385" cy="361950"/>
        </a:xfrm>
        <a:prstGeom prst="rect">
          <a:avLst/>
        </a:prstGeom>
        <a:noFill/>
        <a:ln>
          <a:noFill/>
        </a:ln>
      </xdr:spPr>
    </xdr:pic>
    <xdr:clientData/>
  </xdr:twoCellAnchor>
  <xdr:twoCellAnchor>
    <xdr:from>
      <xdr:col>8</xdr:col>
      <xdr:colOff>464820</xdr:colOff>
      <xdr:row>2</xdr:row>
      <xdr:rowOff>38100</xdr:rowOff>
    </xdr:from>
    <xdr:to>
      <xdr:col>13</xdr:col>
      <xdr:colOff>53340</xdr:colOff>
      <xdr:row>16</xdr:row>
      <xdr:rowOff>0</xdr:rowOff>
    </xdr:to>
    <xdr:graphicFrame macro="">
      <xdr:nvGraphicFramePr>
        <xdr:cNvPr id="6" name="Gráfico 5">
          <a:extLst>
            <a:ext uri="{FF2B5EF4-FFF2-40B4-BE49-F238E27FC236}">
              <a16:creationId xmlns:a16="http://schemas.microsoft.com/office/drawing/2014/main" id="{22B92255-B749-4D4D-AB76-D54DC7B12C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342900</xdr:colOff>
      <xdr:row>15</xdr:row>
      <xdr:rowOff>76200</xdr:rowOff>
    </xdr:from>
    <xdr:to>
      <xdr:col>13</xdr:col>
      <xdr:colOff>38100</xdr:colOff>
      <xdr:row>26</xdr:row>
      <xdr:rowOff>160020</xdr:rowOff>
    </xdr:to>
    <xdr:graphicFrame macro="">
      <xdr:nvGraphicFramePr>
        <xdr:cNvPr id="7" name="Gráfico 6">
          <a:extLst>
            <a:ext uri="{FF2B5EF4-FFF2-40B4-BE49-F238E27FC236}">
              <a16:creationId xmlns:a16="http://schemas.microsoft.com/office/drawing/2014/main" id="{42E4427C-9128-4065-B335-13AFD45214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704850</xdr:colOff>
      <xdr:row>0</xdr:row>
      <xdr:rowOff>15240</xdr:rowOff>
    </xdr:from>
    <xdr:to>
      <xdr:col>7</xdr:col>
      <xdr:colOff>665284</xdr:colOff>
      <xdr:row>1</xdr:row>
      <xdr:rowOff>57150</xdr:rowOff>
    </xdr:to>
    <xdr:pic>
      <xdr:nvPicPr>
        <xdr:cNvPr id="2" name="Google Shape;57;p14">
          <a:extLst>
            <a:ext uri="{FF2B5EF4-FFF2-40B4-BE49-F238E27FC236}">
              <a16:creationId xmlns:a16="http://schemas.microsoft.com/office/drawing/2014/main" id="{F7E4F57E-D721-456A-84CF-2CFC4D40FE09}"/>
            </a:ext>
          </a:extLst>
        </xdr:cNvPr>
        <xdr:cNvPicPr preferRelativeResize="0"/>
      </xdr:nvPicPr>
      <xdr:blipFill>
        <a:blip xmlns:r="http://schemas.openxmlformats.org/officeDocument/2006/relationships" r:embed="rId1">
          <a:clrChange>
            <a:clrFrom>
              <a:srgbClr val="065393"/>
            </a:clrFrom>
            <a:clrTo>
              <a:srgbClr val="065393">
                <a:alpha val="0"/>
              </a:srgbClr>
            </a:clrTo>
          </a:clrChange>
          <a:alphaModFix/>
        </a:blip>
        <a:stretch>
          <a:fillRect/>
        </a:stretch>
      </xdr:blipFill>
      <xdr:spPr>
        <a:xfrm>
          <a:off x="8063865" y="19050"/>
          <a:ext cx="787205" cy="358140"/>
        </a:xfrm>
        <a:prstGeom prst="rect">
          <a:avLst/>
        </a:prstGeom>
        <a:noFill/>
        <a:ln>
          <a:noFill/>
        </a:ln>
      </xdr:spPr>
    </xdr:pic>
    <xdr:clientData/>
  </xdr:twoCellAnchor>
  <xdr:twoCellAnchor>
    <xdr:from>
      <xdr:col>8</xdr:col>
      <xdr:colOff>466725</xdr:colOff>
      <xdr:row>2</xdr:row>
      <xdr:rowOff>38100</xdr:rowOff>
    </xdr:from>
    <xdr:to>
      <xdr:col>13</xdr:col>
      <xdr:colOff>57150</xdr:colOff>
      <xdr:row>14</xdr:row>
      <xdr:rowOff>73269</xdr:rowOff>
    </xdr:to>
    <xdr:graphicFrame macro="">
      <xdr:nvGraphicFramePr>
        <xdr:cNvPr id="3" name="Gráfico 2">
          <a:extLst>
            <a:ext uri="{FF2B5EF4-FFF2-40B4-BE49-F238E27FC236}">
              <a16:creationId xmlns:a16="http://schemas.microsoft.com/office/drawing/2014/main" id="{4A8256B0-8F10-4FAD-9031-273A2AA6CB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oneCell">
    <xdr:from>
      <xdr:col>11</xdr:col>
      <xdr:colOff>773430</xdr:colOff>
      <xdr:row>0</xdr:row>
      <xdr:rowOff>0</xdr:rowOff>
    </xdr:from>
    <xdr:to>
      <xdr:col>12</xdr:col>
      <xdr:colOff>590550</xdr:colOff>
      <xdr:row>1</xdr:row>
      <xdr:rowOff>53340</xdr:rowOff>
    </xdr:to>
    <xdr:pic>
      <xdr:nvPicPr>
        <xdr:cNvPr id="2" name="Google Shape;57;p14">
          <a:extLst>
            <a:ext uri="{FF2B5EF4-FFF2-40B4-BE49-F238E27FC236}">
              <a16:creationId xmlns:a16="http://schemas.microsoft.com/office/drawing/2014/main" id="{7C9D3754-4010-49D0-99EB-78FB6C92EACD}"/>
            </a:ext>
          </a:extLst>
        </xdr:cNvPr>
        <xdr:cNvPicPr preferRelativeResize="0"/>
      </xdr:nvPicPr>
      <xdr:blipFill>
        <a:blip xmlns:r="http://schemas.openxmlformats.org/officeDocument/2006/relationships" r:embed="rId1">
          <a:clrChange>
            <a:clrFrom>
              <a:srgbClr val="065393"/>
            </a:clrFrom>
            <a:clrTo>
              <a:srgbClr val="065393">
                <a:alpha val="0"/>
              </a:srgbClr>
            </a:clrTo>
          </a:clrChange>
          <a:alphaModFix/>
        </a:blip>
        <a:stretch>
          <a:fillRect/>
        </a:stretch>
      </xdr:blipFill>
      <xdr:spPr>
        <a:xfrm>
          <a:off x="14098905" y="0"/>
          <a:ext cx="769620" cy="38100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769620</xdr:colOff>
      <xdr:row>0</xdr:row>
      <xdr:rowOff>0</xdr:rowOff>
    </xdr:from>
    <xdr:to>
      <xdr:col>10</xdr:col>
      <xdr:colOff>588644</xdr:colOff>
      <xdr:row>1</xdr:row>
      <xdr:rowOff>57150</xdr:rowOff>
    </xdr:to>
    <xdr:pic>
      <xdr:nvPicPr>
        <xdr:cNvPr id="2" name="Google Shape;57;p14">
          <a:extLst>
            <a:ext uri="{FF2B5EF4-FFF2-40B4-BE49-F238E27FC236}">
              <a16:creationId xmlns:a16="http://schemas.microsoft.com/office/drawing/2014/main" id="{B38B4DD3-2B9C-4389-AF59-47BF3F15A203}"/>
            </a:ext>
          </a:extLst>
        </xdr:cNvPr>
        <xdr:cNvPicPr preferRelativeResize="0"/>
      </xdr:nvPicPr>
      <xdr:blipFill>
        <a:blip xmlns:r="http://schemas.openxmlformats.org/officeDocument/2006/relationships" r:embed="rId1">
          <a:clrChange>
            <a:clrFrom>
              <a:srgbClr val="065393"/>
            </a:clrFrom>
            <a:clrTo>
              <a:srgbClr val="065393">
                <a:alpha val="0"/>
              </a:srgbClr>
            </a:clrTo>
          </a:clrChange>
          <a:alphaModFix/>
        </a:blip>
        <a:stretch>
          <a:fillRect/>
        </a:stretch>
      </xdr:blipFill>
      <xdr:spPr>
        <a:xfrm>
          <a:off x="9658350" y="0"/>
          <a:ext cx="773430" cy="37719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8</xdr:col>
      <xdr:colOff>449580</xdr:colOff>
      <xdr:row>0</xdr:row>
      <xdr:rowOff>0</xdr:rowOff>
    </xdr:from>
    <xdr:to>
      <xdr:col>9</xdr:col>
      <xdr:colOff>517994</xdr:colOff>
      <xdr:row>2</xdr:row>
      <xdr:rowOff>19050</xdr:rowOff>
    </xdr:to>
    <xdr:pic>
      <xdr:nvPicPr>
        <xdr:cNvPr id="2" name="Google Shape;57;p14">
          <a:extLst>
            <a:ext uri="{FF2B5EF4-FFF2-40B4-BE49-F238E27FC236}">
              <a16:creationId xmlns:a16="http://schemas.microsoft.com/office/drawing/2014/main" id="{2D5CE8B9-F14B-4D89-BA25-684F149145C4}"/>
            </a:ext>
          </a:extLst>
        </xdr:cNvPr>
        <xdr:cNvPicPr preferRelativeResize="0"/>
      </xdr:nvPicPr>
      <xdr:blipFill>
        <a:blip xmlns:r="http://schemas.openxmlformats.org/officeDocument/2006/relationships" r:embed="rId1">
          <a:clrChange>
            <a:clrFrom>
              <a:srgbClr val="065393"/>
            </a:clrFrom>
            <a:clrTo>
              <a:srgbClr val="065393">
                <a:alpha val="0"/>
              </a:srgbClr>
            </a:clrTo>
          </a:clrChange>
          <a:alphaModFix/>
        </a:blip>
        <a:stretch>
          <a:fillRect/>
        </a:stretch>
      </xdr:blipFill>
      <xdr:spPr>
        <a:xfrm>
          <a:off x="12961620" y="0"/>
          <a:ext cx="771525" cy="377190"/>
        </a:xfrm>
        <a:prstGeom prst="rect">
          <a:avLst/>
        </a:prstGeom>
        <a:noFill/>
        <a:ln>
          <a:noFill/>
        </a:ln>
      </xdr:spPr>
    </xdr:pic>
    <xdr:clientData/>
  </xdr:twoCellAnchor>
  <xdr:twoCellAnchor>
    <xdr:from>
      <xdr:col>0</xdr:col>
      <xdr:colOff>234648</xdr:colOff>
      <xdr:row>17</xdr:row>
      <xdr:rowOff>180893</xdr:rowOff>
    </xdr:from>
    <xdr:to>
      <xdr:col>2</xdr:col>
      <xdr:colOff>729947</xdr:colOff>
      <xdr:row>34</xdr:row>
      <xdr:rowOff>4977</xdr:rowOff>
    </xdr:to>
    <xdr:graphicFrame macro="">
      <xdr:nvGraphicFramePr>
        <xdr:cNvPr id="3" name="Gráfico 2">
          <a:extLst>
            <a:ext uri="{FF2B5EF4-FFF2-40B4-BE49-F238E27FC236}">
              <a16:creationId xmlns:a16="http://schemas.microsoft.com/office/drawing/2014/main" id="{EDA8D80F-EA0F-4349-AC33-30C7C2AAEF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809046</xdr:colOff>
      <xdr:row>17</xdr:row>
      <xdr:rowOff>174764</xdr:rowOff>
    </xdr:from>
    <xdr:to>
      <xdr:col>6</xdr:col>
      <xdr:colOff>160765</xdr:colOff>
      <xdr:row>33</xdr:row>
      <xdr:rowOff>102374</xdr:rowOff>
    </xdr:to>
    <xdr:graphicFrame macro="">
      <xdr:nvGraphicFramePr>
        <xdr:cNvPr id="4" name="Gráfico 3">
          <a:extLst>
            <a:ext uri="{FF2B5EF4-FFF2-40B4-BE49-F238E27FC236}">
              <a16:creationId xmlns:a16="http://schemas.microsoft.com/office/drawing/2014/main" id="{332FAA72-F13C-4869-869B-6EB3822A8D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198285</xdr:colOff>
      <xdr:row>17</xdr:row>
      <xdr:rowOff>125732</xdr:rowOff>
    </xdr:from>
    <xdr:to>
      <xdr:col>10</xdr:col>
      <xdr:colOff>588230</xdr:colOff>
      <xdr:row>33</xdr:row>
      <xdr:rowOff>62867</xdr:rowOff>
    </xdr:to>
    <xdr:graphicFrame macro="">
      <xdr:nvGraphicFramePr>
        <xdr:cNvPr id="5" name="Gráfico 4">
          <a:extLst>
            <a:ext uri="{FF2B5EF4-FFF2-40B4-BE49-F238E27FC236}">
              <a16:creationId xmlns:a16="http://schemas.microsoft.com/office/drawing/2014/main" id="{07701722-FF90-4EF6-88D5-06BB8220D2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453390</xdr:colOff>
      <xdr:row>0</xdr:row>
      <xdr:rowOff>0</xdr:rowOff>
    </xdr:from>
    <xdr:to>
      <xdr:col>8</xdr:col>
      <xdr:colOff>288151</xdr:colOff>
      <xdr:row>1</xdr:row>
      <xdr:rowOff>15240</xdr:rowOff>
    </xdr:to>
    <xdr:pic>
      <xdr:nvPicPr>
        <xdr:cNvPr id="4" name="Google Shape;57;p14">
          <a:extLst>
            <a:ext uri="{FF2B5EF4-FFF2-40B4-BE49-F238E27FC236}">
              <a16:creationId xmlns:a16="http://schemas.microsoft.com/office/drawing/2014/main" id="{2D33B309-035C-9775-2467-93811B93DF3D}"/>
            </a:ext>
          </a:extLst>
        </xdr:cNvPr>
        <xdr:cNvPicPr preferRelativeResize="0"/>
      </xdr:nvPicPr>
      <xdr:blipFill>
        <a:blip xmlns:r="http://schemas.openxmlformats.org/officeDocument/2006/relationships" r:embed="rId1">
          <a:clrChange>
            <a:clrFrom>
              <a:srgbClr val="065393"/>
            </a:clrFrom>
            <a:clrTo>
              <a:srgbClr val="065393">
                <a:alpha val="0"/>
              </a:srgbClr>
            </a:clrTo>
          </a:clrChange>
          <a:alphaModFix/>
        </a:blip>
        <a:stretch>
          <a:fillRect/>
        </a:stretch>
      </xdr:blipFill>
      <xdr:spPr>
        <a:xfrm>
          <a:off x="6501765" y="0"/>
          <a:ext cx="773430" cy="33909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0</xdr:row>
      <xdr:rowOff>24765</xdr:rowOff>
    </xdr:from>
    <xdr:to>
      <xdr:col>7</xdr:col>
      <xdr:colOff>67387</xdr:colOff>
      <xdr:row>1</xdr:row>
      <xdr:rowOff>55245</xdr:rowOff>
    </xdr:to>
    <xdr:pic>
      <xdr:nvPicPr>
        <xdr:cNvPr id="2" name="Google Shape;57;p14">
          <a:extLst>
            <a:ext uri="{FF2B5EF4-FFF2-40B4-BE49-F238E27FC236}">
              <a16:creationId xmlns:a16="http://schemas.microsoft.com/office/drawing/2014/main" id="{C1218793-C195-48BD-AE14-ED49618545EF}"/>
            </a:ext>
          </a:extLst>
        </xdr:cNvPr>
        <xdr:cNvPicPr preferRelativeResize="0"/>
      </xdr:nvPicPr>
      <xdr:blipFill>
        <a:blip xmlns:r="http://schemas.openxmlformats.org/officeDocument/2006/relationships" r:embed="rId1">
          <a:clrChange>
            <a:clrFrom>
              <a:srgbClr val="065393"/>
            </a:clrFrom>
            <a:clrTo>
              <a:srgbClr val="065393">
                <a:alpha val="0"/>
              </a:srgbClr>
            </a:clrTo>
          </a:clrChange>
          <a:alphaModFix/>
        </a:blip>
        <a:stretch>
          <a:fillRect/>
        </a:stretch>
      </xdr:blipFill>
      <xdr:spPr>
        <a:xfrm>
          <a:off x="6086475" y="24765"/>
          <a:ext cx="771525" cy="36576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468630</xdr:colOff>
      <xdr:row>0</xdr:row>
      <xdr:rowOff>28575</xdr:rowOff>
    </xdr:from>
    <xdr:to>
      <xdr:col>11</xdr:col>
      <xdr:colOff>21751</xdr:colOff>
      <xdr:row>2</xdr:row>
      <xdr:rowOff>15240</xdr:rowOff>
    </xdr:to>
    <xdr:pic>
      <xdr:nvPicPr>
        <xdr:cNvPr id="2" name="Google Shape;57;p14">
          <a:extLst>
            <a:ext uri="{FF2B5EF4-FFF2-40B4-BE49-F238E27FC236}">
              <a16:creationId xmlns:a16="http://schemas.microsoft.com/office/drawing/2014/main" id="{A6ABF626-9D71-4F8D-8FA4-1870CAB94139}"/>
            </a:ext>
          </a:extLst>
        </xdr:cNvPr>
        <xdr:cNvPicPr preferRelativeResize="0"/>
      </xdr:nvPicPr>
      <xdr:blipFill>
        <a:blip xmlns:r="http://schemas.openxmlformats.org/officeDocument/2006/relationships" r:embed="rId1">
          <a:clrChange>
            <a:clrFrom>
              <a:srgbClr val="065393"/>
            </a:clrFrom>
            <a:clrTo>
              <a:srgbClr val="065393">
                <a:alpha val="0"/>
              </a:srgbClr>
            </a:clrTo>
          </a:clrChange>
          <a:alphaModFix/>
        </a:blip>
        <a:stretch>
          <a:fillRect/>
        </a:stretch>
      </xdr:blipFill>
      <xdr:spPr>
        <a:xfrm>
          <a:off x="11822430" y="28575"/>
          <a:ext cx="768511" cy="35052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769620</xdr:colOff>
      <xdr:row>0</xdr:row>
      <xdr:rowOff>0</xdr:rowOff>
    </xdr:from>
    <xdr:to>
      <xdr:col>16</xdr:col>
      <xdr:colOff>514034</xdr:colOff>
      <xdr:row>1</xdr:row>
      <xdr:rowOff>57150</xdr:rowOff>
    </xdr:to>
    <xdr:pic>
      <xdr:nvPicPr>
        <xdr:cNvPr id="3" name="Google Shape;57;p14">
          <a:extLst>
            <a:ext uri="{FF2B5EF4-FFF2-40B4-BE49-F238E27FC236}">
              <a16:creationId xmlns:a16="http://schemas.microsoft.com/office/drawing/2014/main" id="{3F6DD6A0-C3BA-4CC8-BF3B-9F71D885BEB1}"/>
            </a:ext>
          </a:extLst>
        </xdr:cNvPr>
        <xdr:cNvPicPr preferRelativeResize="0"/>
      </xdr:nvPicPr>
      <xdr:blipFill>
        <a:blip xmlns:r="http://schemas.openxmlformats.org/officeDocument/2006/relationships" r:embed="rId1">
          <a:clrChange>
            <a:clrFrom>
              <a:srgbClr val="065393"/>
            </a:clrFrom>
            <a:clrTo>
              <a:srgbClr val="065393">
                <a:alpha val="0"/>
              </a:srgbClr>
            </a:clrTo>
          </a:clrChange>
          <a:alphaModFix/>
        </a:blip>
        <a:stretch>
          <a:fillRect/>
        </a:stretch>
      </xdr:blipFill>
      <xdr:spPr>
        <a:xfrm>
          <a:off x="12456795" y="0"/>
          <a:ext cx="775335" cy="377190"/>
        </a:xfrm>
        <a:prstGeom prst="rect">
          <a:avLst/>
        </a:prstGeom>
        <a:noFill/>
        <a:ln>
          <a:noFill/>
        </a:ln>
      </xdr:spPr>
    </xdr:pic>
    <xdr:clientData/>
  </xdr:twoCellAnchor>
  <xdr:twoCellAnchor>
    <xdr:from>
      <xdr:col>0</xdr:col>
      <xdr:colOff>97321</xdr:colOff>
      <xdr:row>19</xdr:row>
      <xdr:rowOff>72934</xdr:rowOff>
    </xdr:from>
    <xdr:to>
      <xdr:col>4</xdr:col>
      <xdr:colOff>74543</xdr:colOff>
      <xdr:row>35</xdr:row>
      <xdr:rowOff>57025</xdr:rowOff>
    </xdr:to>
    <xdr:graphicFrame macro="">
      <xdr:nvGraphicFramePr>
        <xdr:cNvPr id="2" name="Gráfico 1">
          <a:extLst>
            <a:ext uri="{FF2B5EF4-FFF2-40B4-BE49-F238E27FC236}">
              <a16:creationId xmlns:a16="http://schemas.microsoft.com/office/drawing/2014/main" id="{363BCE68-0D0C-2C21-789A-0D9D3D62A35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656217</xdr:colOff>
      <xdr:row>24</xdr:row>
      <xdr:rowOff>89263</xdr:rowOff>
    </xdr:from>
    <xdr:to>
      <xdr:col>13</xdr:col>
      <xdr:colOff>743529</xdr:colOff>
      <xdr:row>53</xdr:row>
      <xdr:rowOff>105047</xdr:rowOff>
    </xdr:to>
    <xdr:graphicFrame macro="">
      <xdr:nvGraphicFramePr>
        <xdr:cNvPr id="4" name="Gráfico 3">
          <a:extLst>
            <a:ext uri="{FF2B5EF4-FFF2-40B4-BE49-F238E27FC236}">
              <a16:creationId xmlns:a16="http://schemas.microsoft.com/office/drawing/2014/main" id="{B7D034DC-5EFB-4715-B56A-EA3D9C894F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0</xdr:colOff>
      <xdr:row>0</xdr:row>
      <xdr:rowOff>24765</xdr:rowOff>
    </xdr:from>
    <xdr:to>
      <xdr:col>7</xdr:col>
      <xdr:colOff>781275</xdr:colOff>
      <xdr:row>1</xdr:row>
      <xdr:rowOff>59055</xdr:rowOff>
    </xdr:to>
    <xdr:pic>
      <xdr:nvPicPr>
        <xdr:cNvPr id="2" name="Google Shape;57;p14">
          <a:extLst>
            <a:ext uri="{FF2B5EF4-FFF2-40B4-BE49-F238E27FC236}">
              <a16:creationId xmlns:a16="http://schemas.microsoft.com/office/drawing/2014/main" id="{8CAE869C-1C12-4DB6-937E-CE02D7B351D3}"/>
            </a:ext>
          </a:extLst>
        </xdr:cNvPr>
        <xdr:cNvPicPr preferRelativeResize="0"/>
      </xdr:nvPicPr>
      <xdr:blipFill>
        <a:blip xmlns:r="http://schemas.openxmlformats.org/officeDocument/2006/relationships" r:embed="rId1">
          <a:clrChange>
            <a:clrFrom>
              <a:srgbClr val="065393"/>
            </a:clrFrom>
            <a:clrTo>
              <a:srgbClr val="065393">
                <a:alpha val="0"/>
              </a:srgbClr>
            </a:clrTo>
          </a:clrChange>
          <a:alphaModFix/>
        </a:blip>
        <a:stretch>
          <a:fillRect/>
        </a:stretch>
      </xdr:blipFill>
      <xdr:spPr>
        <a:xfrm>
          <a:off x="6084570" y="20955"/>
          <a:ext cx="773430" cy="367665"/>
        </a:xfrm>
        <a:prstGeom prst="rect">
          <a:avLst/>
        </a:prstGeom>
        <a:noFill/>
        <a:ln>
          <a:noFill/>
        </a:ln>
      </xdr:spPr>
    </xdr:pic>
    <xdr:clientData/>
  </xdr:twoCellAnchor>
  <xdr:twoCellAnchor>
    <xdr:from>
      <xdr:col>8</xdr:col>
      <xdr:colOff>450701</xdr:colOff>
      <xdr:row>3</xdr:row>
      <xdr:rowOff>175821</xdr:rowOff>
    </xdr:from>
    <xdr:to>
      <xdr:col>16</xdr:col>
      <xdr:colOff>177950</xdr:colOff>
      <xdr:row>22</xdr:row>
      <xdr:rowOff>174139</xdr:rowOff>
    </xdr:to>
    <xdr:graphicFrame macro="">
      <xdr:nvGraphicFramePr>
        <xdr:cNvPr id="3" name="Gráfico 2">
          <a:extLst>
            <a:ext uri="{FF2B5EF4-FFF2-40B4-BE49-F238E27FC236}">
              <a16:creationId xmlns:a16="http://schemas.microsoft.com/office/drawing/2014/main" id="{9CD04782-C512-7EF6-9F47-93973832B12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704850</xdr:colOff>
      <xdr:row>0</xdr:row>
      <xdr:rowOff>15240</xdr:rowOff>
    </xdr:from>
    <xdr:to>
      <xdr:col>10</xdr:col>
      <xdr:colOff>722598</xdr:colOff>
      <xdr:row>1</xdr:row>
      <xdr:rowOff>40640</xdr:rowOff>
    </xdr:to>
    <xdr:pic>
      <xdr:nvPicPr>
        <xdr:cNvPr id="2" name="Google Shape;57;p14">
          <a:extLst>
            <a:ext uri="{FF2B5EF4-FFF2-40B4-BE49-F238E27FC236}">
              <a16:creationId xmlns:a16="http://schemas.microsoft.com/office/drawing/2014/main" id="{35867A3D-4027-4166-99B4-5E58B185A3C1}"/>
            </a:ext>
          </a:extLst>
        </xdr:cNvPr>
        <xdr:cNvPicPr preferRelativeResize="0"/>
      </xdr:nvPicPr>
      <xdr:blipFill>
        <a:blip xmlns:r="http://schemas.openxmlformats.org/officeDocument/2006/relationships" r:embed="rId1">
          <a:clrChange>
            <a:clrFrom>
              <a:srgbClr val="065393"/>
            </a:clrFrom>
            <a:clrTo>
              <a:srgbClr val="065393">
                <a:alpha val="0"/>
              </a:srgbClr>
            </a:clrTo>
          </a:clrChange>
          <a:alphaModFix/>
        </a:blip>
        <a:stretch>
          <a:fillRect/>
        </a:stretch>
      </xdr:blipFill>
      <xdr:spPr>
        <a:xfrm>
          <a:off x="7343775" y="15240"/>
          <a:ext cx="781050" cy="361950"/>
        </a:xfrm>
        <a:prstGeom prst="rect">
          <a:avLst/>
        </a:prstGeom>
        <a:noFill/>
        <a:ln>
          <a:noFill/>
        </a:ln>
      </xdr:spPr>
    </xdr:pic>
    <xdr:clientData/>
  </xdr:twoCellAnchor>
  <xdr:twoCellAnchor>
    <xdr:from>
      <xdr:col>11</xdr:col>
      <xdr:colOff>464820</xdr:colOff>
      <xdr:row>2</xdr:row>
      <xdr:rowOff>38100</xdr:rowOff>
    </xdr:from>
    <xdr:to>
      <xdr:col>16</xdr:col>
      <xdr:colOff>53340</xdr:colOff>
      <xdr:row>16</xdr:row>
      <xdr:rowOff>0</xdr:rowOff>
    </xdr:to>
    <xdr:graphicFrame macro="">
      <xdr:nvGraphicFramePr>
        <xdr:cNvPr id="6" name="Gráfico 5">
          <a:extLst>
            <a:ext uri="{FF2B5EF4-FFF2-40B4-BE49-F238E27FC236}">
              <a16:creationId xmlns:a16="http://schemas.microsoft.com/office/drawing/2014/main" id="{B03675E5-F407-9CD3-814A-CC7210BC2EA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342900</xdr:colOff>
      <xdr:row>15</xdr:row>
      <xdr:rowOff>76200</xdr:rowOff>
    </xdr:from>
    <xdr:to>
      <xdr:col>16</xdr:col>
      <xdr:colOff>38100</xdr:colOff>
      <xdr:row>26</xdr:row>
      <xdr:rowOff>160020</xdr:rowOff>
    </xdr:to>
    <xdr:graphicFrame macro="">
      <xdr:nvGraphicFramePr>
        <xdr:cNvPr id="7" name="Gráfico 6">
          <a:extLst>
            <a:ext uri="{FF2B5EF4-FFF2-40B4-BE49-F238E27FC236}">
              <a16:creationId xmlns:a16="http://schemas.microsoft.com/office/drawing/2014/main" id="{E90204B4-8321-4CC7-AA9E-B58CDB6894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586161</xdr:colOff>
      <xdr:row>27</xdr:row>
      <xdr:rowOff>182217</xdr:rowOff>
    </xdr:from>
    <xdr:to>
      <xdr:col>16</xdr:col>
      <xdr:colOff>418161</xdr:colOff>
      <xdr:row>42</xdr:row>
      <xdr:rowOff>166617</xdr:rowOff>
    </xdr:to>
    <xdr:graphicFrame macro="">
      <xdr:nvGraphicFramePr>
        <xdr:cNvPr id="3" name="Gráfico 2">
          <a:extLst>
            <a:ext uri="{FF2B5EF4-FFF2-40B4-BE49-F238E27FC236}">
              <a16:creationId xmlns:a16="http://schemas.microsoft.com/office/drawing/2014/main" id="{5161BAD5-8BE7-45A9-A5BD-D8B0612561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oneCellAnchor>
    <xdr:from>
      <xdr:col>6</xdr:col>
      <xdr:colOff>160353</xdr:colOff>
      <xdr:row>0</xdr:row>
      <xdr:rowOff>0</xdr:rowOff>
    </xdr:from>
    <xdr:ext cx="778068" cy="383485"/>
    <xdr:pic>
      <xdr:nvPicPr>
        <xdr:cNvPr id="3" name="Google Shape;57;p14">
          <a:extLst>
            <a:ext uri="{FF2B5EF4-FFF2-40B4-BE49-F238E27FC236}">
              <a16:creationId xmlns:a16="http://schemas.microsoft.com/office/drawing/2014/main" id="{B540FFDD-043F-4DB3-A7BA-B116C1EBFC91}"/>
            </a:ext>
          </a:extLst>
        </xdr:cNvPr>
        <xdr:cNvPicPr preferRelativeResize="0"/>
      </xdr:nvPicPr>
      <xdr:blipFill>
        <a:blip xmlns:r="http://schemas.openxmlformats.org/officeDocument/2006/relationships" r:embed="rId1">
          <a:clrChange>
            <a:clrFrom>
              <a:srgbClr val="065393"/>
            </a:clrFrom>
            <a:clrTo>
              <a:srgbClr val="065393">
                <a:alpha val="0"/>
              </a:srgbClr>
            </a:clrTo>
          </a:clrChange>
          <a:alphaModFix/>
        </a:blip>
        <a:stretch>
          <a:fillRect/>
        </a:stretch>
      </xdr:blipFill>
      <xdr:spPr>
        <a:xfrm>
          <a:off x="5759396" y="0"/>
          <a:ext cx="778068" cy="383485"/>
        </a:xfrm>
        <a:prstGeom prst="rect">
          <a:avLst/>
        </a:prstGeom>
        <a:noFill/>
        <a:ln>
          <a:noFill/>
        </a:ln>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8</xdr:col>
      <xdr:colOff>769620</xdr:colOff>
      <xdr:row>0</xdr:row>
      <xdr:rowOff>0</xdr:rowOff>
    </xdr:from>
    <xdr:to>
      <xdr:col>8</xdr:col>
      <xdr:colOff>1509395</xdr:colOff>
      <xdr:row>1</xdr:row>
      <xdr:rowOff>57150</xdr:rowOff>
    </xdr:to>
    <xdr:pic>
      <xdr:nvPicPr>
        <xdr:cNvPr id="2" name="Google Shape;57;p14">
          <a:extLst>
            <a:ext uri="{FF2B5EF4-FFF2-40B4-BE49-F238E27FC236}">
              <a16:creationId xmlns:a16="http://schemas.microsoft.com/office/drawing/2014/main" id="{4665B288-A508-4D82-80C0-A59A4240909A}"/>
            </a:ext>
          </a:extLst>
        </xdr:cNvPr>
        <xdr:cNvPicPr preferRelativeResize="0"/>
      </xdr:nvPicPr>
      <xdr:blipFill>
        <a:blip xmlns:r="http://schemas.openxmlformats.org/officeDocument/2006/relationships" r:embed="rId1">
          <a:clrChange>
            <a:clrFrom>
              <a:srgbClr val="065393"/>
            </a:clrFrom>
            <a:clrTo>
              <a:srgbClr val="065393">
                <a:alpha val="0"/>
              </a:srgbClr>
            </a:clrTo>
          </a:clrChange>
          <a:alphaModFix/>
        </a:blip>
        <a:stretch>
          <a:fillRect/>
        </a:stretch>
      </xdr:blipFill>
      <xdr:spPr>
        <a:xfrm>
          <a:off x="13091160" y="0"/>
          <a:ext cx="771525" cy="37719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iscos%20partilhados\Projeto%20Santa%20Maria\3.%20Desenvolvimento\VCS\Novo%20estudo%20da%20Linha%20de%20Base%20-%20FSM\Calculadora%20de%20redu&#231;&#227;o%20de%20GEE\202208_FSM_PD2_AUD_VM0007+REDDMF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Default factors"/>
      <sheetName val="Deforestation"/>
      <sheetName val="Biomass inventory"/>
      <sheetName val="Biomass"/>
      <sheetName val="BL-ED"/>
      <sheetName val="BL-GHG"/>
      <sheetName val="PER"/>
      <sheetName val="Leakage_ME"/>
      <sheetName val="LK-GHG_ex_ante"/>
      <sheetName val="LK-GHG_ex_post"/>
      <sheetName val="Leakage_AS"/>
      <sheetName val="Leakage_Outside"/>
      <sheetName val="Total Leakage_Ex-ante"/>
      <sheetName val="Resume_Ex-ante"/>
      <sheetName val="Resume-Ex-post"/>
    </sheetNames>
    <sheetDataSet>
      <sheetData sheetId="0">
        <row r="5">
          <cell r="B5" t="str">
            <v>FLORESTAL SANTA MARIA - CARAGUA AGRONEGÓCIOS LTDA</v>
          </cell>
        </row>
      </sheetData>
      <sheetData sheetId="1">
        <row r="6">
          <cell r="D6">
            <v>1.66</v>
          </cell>
        </row>
        <row r="7">
          <cell r="D7">
            <v>0.37</v>
          </cell>
          <cell r="H7">
            <v>14.992999999999997</v>
          </cell>
          <cell r="I7">
            <v>0.9</v>
          </cell>
        </row>
        <row r="8">
          <cell r="D8">
            <v>0.47</v>
          </cell>
          <cell r="H8">
            <v>83.966666666666654</v>
          </cell>
          <cell r="I8">
            <v>0.1</v>
          </cell>
        </row>
        <row r="9">
          <cell r="D9">
            <v>3.6666666666666665</v>
          </cell>
        </row>
        <row r="11">
          <cell r="H11">
            <v>0.1</v>
          </cell>
        </row>
        <row r="13">
          <cell r="H13">
            <v>10</v>
          </cell>
        </row>
        <row r="14">
          <cell r="H14">
            <v>5.5</v>
          </cell>
        </row>
        <row r="15">
          <cell r="D15">
            <v>0.67</v>
          </cell>
        </row>
        <row r="16">
          <cell r="D16">
            <v>0.28999999999999998</v>
          </cell>
        </row>
        <row r="17">
          <cell r="D17">
            <v>0.59</v>
          </cell>
        </row>
        <row r="31">
          <cell r="D31">
            <v>0.7</v>
          </cell>
        </row>
        <row r="32">
          <cell r="D32">
            <v>37590.03</v>
          </cell>
        </row>
        <row r="43">
          <cell r="D43">
            <v>578.08666666666659</v>
          </cell>
        </row>
        <row r="44">
          <cell r="D44">
            <v>537.41313460751837</v>
          </cell>
        </row>
        <row r="46">
          <cell r="D46">
            <v>2.3351110431333449E-2</v>
          </cell>
        </row>
        <row r="51">
          <cell r="D51">
            <v>0.59</v>
          </cell>
        </row>
        <row r="52">
          <cell r="D52">
            <v>4.8</v>
          </cell>
        </row>
        <row r="53">
          <cell r="D53">
            <v>0.2</v>
          </cell>
        </row>
        <row r="54">
          <cell r="D54">
            <v>28</v>
          </cell>
        </row>
        <row r="55">
          <cell r="D55">
            <v>265</v>
          </cell>
        </row>
        <row r="56">
          <cell r="D56">
            <v>1E-3</v>
          </cell>
        </row>
        <row r="57">
          <cell r="D57">
            <v>0.1</v>
          </cell>
        </row>
        <row r="61">
          <cell r="D61">
            <v>250</v>
          </cell>
        </row>
        <row r="62">
          <cell r="D62">
            <v>3</v>
          </cell>
        </row>
        <row r="63">
          <cell r="D63">
            <v>0.28855337123593244</v>
          </cell>
        </row>
        <row r="64">
          <cell r="D64">
            <v>35.08</v>
          </cell>
        </row>
        <row r="67">
          <cell r="D67">
            <v>0.8</v>
          </cell>
        </row>
      </sheetData>
      <sheetData sheetId="2"/>
      <sheetData sheetId="3"/>
      <sheetData sheetId="4">
        <row r="20">
          <cell r="L20">
            <v>2.5697156626506019</v>
          </cell>
        </row>
      </sheetData>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ibge.gov.br/geociencias/cartas-e-mapas/mapas-regionais/15819-amazonia-legal.html?=&amp;t=acesso-ao-produto" TargetMode="External"/><Relationship Id="rId1" Type="http://schemas.openxmlformats.org/officeDocument/2006/relationships/hyperlink" Target="http://meioambiente.am.gov.br/unidade-de-conservacao/" TargetMode="External"/><Relationship Id="rId5" Type="http://schemas.openxmlformats.org/officeDocument/2006/relationships/vmlDrawing" Target="../drawings/vmlDrawing6.vml"/><Relationship Id="rId4"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ibge.gov.br/geociencias/cartas-e-mapas/mapas-regionais/15819-amazonia-legal.html?=&amp;t=acesso-ao-produto"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914AA-A40D-465C-86AC-433276A81B2E}">
  <sheetPr codeName="Planilha1">
    <tabColor theme="1"/>
  </sheetPr>
  <dimension ref="A1:M31"/>
  <sheetViews>
    <sheetView showGridLines="0" zoomScaleNormal="100" workbookViewId="0">
      <selection activeCell="F6" sqref="F6:F16"/>
    </sheetView>
  </sheetViews>
  <sheetFormatPr defaultRowHeight="14.5" x14ac:dyDescent="0.35"/>
  <cols>
    <col min="1" max="1" width="22.1796875" bestFit="1" customWidth="1"/>
    <col min="2" max="3" width="10.54296875" bestFit="1" customWidth="1"/>
    <col min="4" max="4" width="3.453125" customWidth="1"/>
    <col min="5" max="5" width="3.81640625" bestFit="1" customWidth="1"/>
    <col min="6" max="6" width="16.1796875" bestFit="1" customWidth="1"/>
    <col min="7" max="7" width="12.54296875" bestFit="1" customWidth="1"/>
    <col min="8" max="8" width="11.1796875" bestFit="1" customWidth="1"/>
    <col min="11" max="11" width="26.81640625" bestFit="1" customWidth="1"/>
    <col min="12" max="12" width="8.1796875" bestFit="1" customWidth="1"/>
    <col min="13" max="13" width="10.81640625" bestFit="1" customWidth="1"/>
  </cols>
  <sheetData>
    <row r="1" spans="1:13" ht="25.25" customHeight="1" x14ac:dyDescent="0.35">
      <c r="A1" s="40" t="s">
        <v>0</v>
      </c>
      <c r="B1" s="432" t="str">
        <f>Projeto</f>
        <v>FLORESTAL SANTA MARIA - CARAGUA AGRONEGÓCIOS LTDA</v>
      </c>
      <c r="C1" s="432"/>
      <c r="D1" s="432"/>
      <c r="E1" s="432"/>
      <c r="F1" s="432"/>
      <c r="G1" s="432"/>
      <c r="H1" s="432"/>
      <c r="I1" s="432"/>
      <c r="J1" s="432"/>
      <c r="K1" s="432"/>
      <c r="L1" s="41"/>
      <c r="M1" s="41"/>
    </row>
    <row r="2" spans="1:13" x14ac:dyDescent="0.35">
      <c r="A2" s="416" t="s">
        <v>1</v>
      </c>
      <c r="B2" s="416"/>
      <c r="C2" s="416"/>
      <c r="D2" s="416"/>
      <c r="E2" s="416"/>
      <c r="F2" s="416"/>
      <c r="G2" s="416"/>
      <c r="H2" s="416"/>
      <c r="I2" s="416"/>
      <c r="J2" s="416"/>
      <c r="K2" s="416"/>
      <c r="L2" s="416"/>
      <c r="M2" s="416"/>
    </row>
    <row r="4" spans="1:13" x14ac:dyDescent="0.35">
      <c r="A4" s="416" t="s">
        <v>2</v>
      </c>
      <c r="B4" s="416"/>
      <c r="C4" s="416"/>
      <c r="F4" s="38" t="s">
        <v>3</v>
      </c>
      <c r="G4" s="38" t="s">
        <v>4</v>
      </c>
      <c r="H4" s="38" t="s">
        <v>5</v>
      </c>
      <c r="K4" s="38" t="s">
        <v>6</v>
      </c>
      <c r="L4" s="38" t="s">
        <v>7</v>
      </c>
      <c r="M4" s="38" t="s">
        <v>8</v>
      </c>
    </row>
    <row r="5" spans="1:13" x14ac:dyDescent="0.35">
      <c r="A5" s="5" t="s">
        <v>9</v>
      </c>
      <c r="B5" s="417" t="s">
        <v>10</v>
      </c>
      <c r="C5" s="417"/>
      <c r="F5" s="7" t="s">
        <v>11</v>
      </c>
      <c r="G5" s="7" t="s">
        <v>12</v>
      </c>
      <c r="H5" s="7" t="s">
        <v>13</v>
      </c>
      <c r="I5" s="8"/>
      <c r="J5" s="8"/>
      <c r="K5" s="8" t="s">
        <v>14</v>
      </c>
      <c r="L5" s="8" t="s">
        <v>15</v>
      </c>
      <c r="M5" s="8"/>
    </row>
    <row r="6" spans="1:13" x14ac:dyDescent="0.35">
      <c r="A6" s="5" t="s">
        <v>16</v>
      </c>
      <c r="B6" s="420">
        <v>875</v>
      </c>
      <c r="C6" s="420"/>
      <c r="F6" s="426" t="s">
        <v>17</v>
      </c>
      <c r="G6" s="9" t="s">
        <v>18</v>
      </c>
      <c r="H6" s="9" t="s">
        <v>13</v>
      </c>
      <c r="I6" s="8"/>
      <c r="J6" s="8"/>
      <c r="K6" s="8" t="s">
        <v>19</v>
      </c>
      <c r="L6" s="8" t="s">
        <v>15</v>
      </c>
      <c r="M6" s="8"/>
    </row>
    <row r="7" spans="1:13" x14ac:dyDescent="0.35">
      <c r="A7" s="5" t="s">
        <v>20</v>
      </c>
      <c r="B7" s="431">
        <v>39916</v>
      </c>
      <c r="C7" s="420"/>
      <c r="F7" s="427"/>
      <c r="G7" s="7" t="s">
        <v>21</v>
      </c>
      <c r="H7" s="7" t="s">
        <v>13</v>
      </c>
      <c r="I7" s="8"/>
      <c r="J7" s="8"/>
      <c r="K7" s="8" t="s">
        <v>22</v>
      </c>
      <c r="L7" s="8" t="s">
        <v>15</v>
      </c>
      <c r="M7" s="8"/>
    </row>
    <row r="8" spans="1:13" x14ac:dyDescent="0.35">
      <c r="A8" s="5" t="s">
        <v>23</v>
      </c>
      <c r="B8" s="7">
        <v>1999</v>
      </c>
      <c r="C8" s="7">
        <v>2009</v>
      </c>
      <c r="F8" s="427"/>
      <c r="G8" s="7" t="s">
        <v>24</v>
      </c>
      <c r="H8" s="7" t="s">
        <v>13</v>
      </c>
      <c r="I8" s="8"/>
      <c r="J8" s="8"/>
      <c r="K8" s="8" t="s">
        <v>25</v>
      </c>
      <c r="L8" s="8" t="s">
        <v>26</v>
      </c>
      <c r="M8" s="8"/>
    </row>
    <row r="9" spans="1:13" x14ac:dyDescent="0.35">
      <c r="A9" s="5" t="s">
        <v>27</v>
      </c>
      <c r="B9" s="7">
        <v>2019</v>
      </c>
      <c r="C9" s="7">
        <v>2025</v>
      </c>
      <c r="F9" s="427"/>
      <c r="G9" s="7" t="s">
        <v>28</v>
      </c>
      <c r="H9" s="7" t="s">
        <v>29</v>
      </c>
      <c r="I9" s="8"/>
      <c r="J9" s="8"/>
      <c r="K9" s="8" t="s">
        <v>30</v>
      </c>
      <c r="L9" s="8" t="s">
        <v>26</v>
      </c>
      <c r="M9" s="8"/>
    </row>
    <row r="10" spans="1:13" x14ac:dyDescent="0.35">
      <c r="A10" s="5" t="s">
        <v>31</v>
      </c>
      <c r="B10" s="420">
        <f>713179800/10000</f>
        <v>71317.98</v>
      </c>
      <c r="C10" s="420"/>
      <c r="F10" s="427"/>
      <c r="G10" s="7" t="s">
        <v>32</v>
      </c>
      <c r="H10" s="7" t="s">
        <v>33</v>
      </c>
      <c r="I10" s="8"/>
      <c r="J10" s="8"/>
      <c r="K10" s="8" t="s">
        <v>34</v>
      </c>
      <c r="L10" s="8" t="s">
        <v>26</v>
      </c>
      <c r="M10" s="8"/>
    </row>
    <row r="11" spans="1:13" x14ac:dyDescent="0.35">
      <c r="A11" s="5" t="s">
        <v>35</v>
      </c>
      <c r="B11" s="185">
        <v>39916</v>
      </c>
      <c r="C11" s="185">
        <v>50873</v>
      </c>
      <c r="F11" s="427"/>
      <c r="G11" s="7" t="s">
        <v>36</v>
      </c>
      <c r="H11" s="7" t="s">
        <v>33</v>
      </c>
      <c r="I11" s="8"/>
      <c r="J11" s="8"/>
      <c r="K11" s="8" t="s">
        <v>37</v>
      </c>
      <c r="L11" s="8" t="s">
        <v>15</v>
      </c>
      <c r="M11" s="8"/>
    </row>
    <row r="12" spans="1:13" x14ac:dyDescent="0.35">
      <c r="A12" s="5" t="s">
        <v>38</v>
      </c>
      <c r="B12" s="420" t="s">
        <v>39</v>
      </c>
      <c r="C12" s="420"/>
      <c r="F12" s="427"/>
      <c r="G12" s="7" t="s">
        <v>40</v>
      </c>
      <c r="H12" s="7" t="s">
        <v>41</v>
      </c>
      <c r="I12" s="8"/>
      <c r="J12" s="8"/>
      <c r="K12" s="8"/>
      <c r="L12" s="8"/>
      <c r="M12" s="8"/>
    </row>
    <row r="13" spans="1:13" x14ac:dyDescent="0.35">
      <c r="A13" s="5" t="s">
        <v>42</v>
      </c>
      <c r="B13" s="420"/>
      <c r="C13" s="420"/>
      <c r="F13" s="427"/>
      <c r="G13" s="7" t="s">
        <v>43</v>
      </c>
      <c r="H13" s="7" t="s">
        <v>44</v>
      </c>
      <c r="I13" s="8"/>
      <c r="J13" s="8"/>
      <c r="K13" s="39" t="s">
        <v>45</v>
      </c>
      <c r="M13" s="8"/>
    </row>
    <row r="14" spans="1:13" x14ac:dyDescent="0.35">
      <c r="A14" s="5" t="s">
        <v>46</v>
      </c>
      <c r="B14" s="420"/>
      <c r="C14" s="420"/>
      <c r="F14" s="427"/>
      <c r="G14" s="7" t="s">
        <v>47</v>
      </c>
      <c r="H14" s="7" t="s">
        <v>33</v>
      </c>
      <c r="I14" s="8"/>
      <c r="J14" s="8"/>
      <c r="K14" s="36" t="s">
        <v>15</v>
      </c>
      <c r="M14" s="8"/>
    </row>
    <row r="15" spans="1:13" x14ac:dyDescent="0.35">
      <c r="A15" s="6" t="s">
        <v>48</v>
      </c>
      <c r="B15" s="415" t="s">
        <v>49</v>
      </c>
      <c r="C15" s="415"/>
      <c r="F15" s="427"/>
      <c r="G15" s="7" t="s">
        <v>50</v>
      </c>
      <c r="H15" s="7" t="s">
        <v>13</v>
      </c>
      <c r="I15" s="8"/>
      <c r="J15" s="8"/>
      <c r="K15" s="36" t="s">
        <v>26</v>
      </c>
      <c r="M15" s="8"/>
    </row>
    <row r="16" spans="1:13" ht="15" customHeight="1" x14ac:dyDescent="0.35">
      <c r="F16" s="428"/>
      <c r="G16" s="10" t="s">
        <v>51</v>
      </c>
      <c r="H16" s="10" t="s">
        <v>13</v>
      </c>
      <c r="I16" s="8"/>
      <c r="J16" s="8"/>
      <c r="K16" s="37" t="s">
        <v>52</v>
      </c>
      <c r="M16" s="8"/>
    </row>
    <row r="17" spans="5:13" x14ac:dyDescent="0.35">
      <c r="F17" s="426" t="s">
        <v>53</v>
      </c>
      <c r="G17" s="9" t="s">
        <v>54</v>
      </c>
      <c r="H17" s="9" t="s">
        <v>13</v>
      </c>
      <c r="I17" s="8"/>
      <c r="J17" s="8"/>
      <c r="K17" s="8"/>
      <c r="L17" s="8"/>
      <c r="M17" s="8"/>
    </row>
    <row r="18" spans="5:13" x14ac:dyDescent="0.35">
      <c r="F18" s="427"/>
      <c r="G18" s="7" t="s">
        <v>40</v>
      </c>
      <c r="H18" s="7" t="s">
        <v>41</v>
      </c>
      <c r="I18" s="8"/>
      <c r="J18" s="8"/>
      <c r="K18" s="8"/>
      <c r="L18" s="8"/>
      <c r="M18" s="8"/>
    </row>
    <row r="19" spans="5:13" x14ac:dyDescent="0.35">
      <c r="F19" s="427"/>
      <c r="G19" s="7" t="s">
        <v>12</v>
      </c>
      <c r="H19" s="7" t="s">
        <v>13</v>
      </c>
      <c r="I19" s="8"/>
      <c r="J19" s="8"/>
      <c r="K19" s="8"/>
      <c r="L19" s="8"/>
      <c r="M19" s="8"/>
    </row>
    <row r="20" spans="5:13" x14ac:dyDescent="0.35">
      <c r="F20" s="427"/>
      <c r="G20" s="7" t="s">
        <v>55</v>
      </c>
      <c r="H20" s="7" t="s">
        <v>13</v>
      </c>
      <c r="I20" s="8"/>
      <c r="J20" s="8"/>
      <c r="K20" s="8"/>
      <c r="L20" s="8"/>
      <c r="M20" s="8"/>
    </row>
    <row r="21" spans="5:13" x14ac:dyDescent="0.35">
      <c r="F21" s="428"/>
      <c r="G21" s="10" t="s">
        <v>21</v>
      </c>
      <c r="H21" s="10" t="s">
        <v>13</v>
      </c>
      <c r="I21" s="8"/>
      <c r="J21" s="8"/>
      <c r="K21" s="8"/>
      <c r="L21" s="8"/>
      <c r="M21" s="8"/>
    </row>
    <row r="22" spans="5:13" x14ac:dyDescent="0.35">
      <c r="F22" s="427" t="s">
        <v>56</v>
      </c>
      <c r="G22" s="7" t="s">
        <v>18</v>
      </c>
      <c r="H22" s="7" t="s">
        <v>13</v>
      </c>
      <c r="I22" s="8"/>
      <c r="J22" s="8"/>
      <c r="K22" s="8"/>
      <c r="L22" s="8"/>
      <c r="M22" s="8"/>
    </row>
    <row r="23" spans="5:13" x14ac:dyDescent="0.35">
      <c r="F23" s="427"/>
      <c r="G23" s="7" t="s">
        <v>51</v>
      </c>
      <c r="H23" s="7" t="s">
        <v>13</v>
      </c>
      <c r="I23" s="8"/>
      <c r="J23" s="8"/>
      <c r="K23" s="8"/>
      <c r="L23" s="8"/>
      <c r="M23" s="8"/>
    </row>
    <row r="24" spans="5:13" x14ac:dyDescent="0.35">
      <c r="F24" s="427"/>
      <c r="G24" s="7" t="s">
        <v>57</v>
      </c>
      <c r="H24" s="7" t="s">
        <v>41</v>
      </c>
      <c r="I24" s="8"/>
      <c r="J24" s="8"/>
      <c r="K24" s="8"/>
      <c r="L24" s="8"/>
      <c r="M24" s="8"/>
    </row>
    <row r="26" spans="5:13" x14ac:dyDescent="0.35">
      <c r="E26" s="423" t="s">
        <v>45</v>
      </c>
      <c r="F26" s="424"/>
      <c r="G26" s="424"/>
      <c r="H26" s="424"/>
      <c r="I26" s="424"/>
      <c r="J26" s="425"/>
    </row>
    <row r="27" spans="5:13" x14ac:dyDescent="0.35">
      <c r="E27" s="31" t="s">
        <v>13</v>
      </c>
      <c r="F27" s="429" t="s">
        <v>58</v>
      </c>
      <c r="G27" s="429"/>
      <c r="H27" s="429"/>
      <c r="I27" s="429"/>
      <c r="J27" s="430"/>
    </row>
    <row r="28" spans="5:13" ht="22.25" customHeight="1" x14ac:dyDescent="0.35">
      <c r="E28" s="32" t="s">
        <v>41</v>
      </c>
      <c r="F28" s="418" t="s">
        <v>59</v>
      </c>
      <c r="G28" s="418"/>
      <c r="H28" s="418"/>
      <c r="I28" s="418"/>
      <c r="J28" s="419"/>
    </row>
    <row r="29" spans="5:13" ht="34.25" customHeight="1" x14ac:dyDescent="0.35">
      <c r="E29" s="33" t="s">
        <v>29</v>
      </c>
      <c r="F29" s="418" t="s">
        <v>60</v>
      </c>
      <c r="G29" s="418"/>
      <c r="H29" s="418"/>
      <c r="I29" s="418"/>
      <c r="J29" s="419"/>
    </row>
    <row r="30" spans="5:13" ht="23.5" customHeight="1" x14ac:dyDescent="0.35">
      <c r="E30" s="34" t="s">
        <v>44</v>
      </c>
      <c r="F30" s="418" t="s">
        <v>61</v>
      </c>
      <c r="G30" s="418"/>
      <c r="H30" s="418"/>
      <c r="I30" s="418"/>
      <c r="J30" s="419"/>
    </row>
    <row r="31" spans="5:13" ht="34.25" customHeight="1" x14ac:dyDescent="0.35">
      <c r="E31" s="35" t="s">
        <v>33</v>
      </c>
      <c r="F31" s="421" t="s">
        <v>62</v>
      </c>
      <c r="G31" s="421"/>
      <c r="H31" s="421"/>
      <c r="I31" s="421"/>
      <c r="J31" s="422"/>
    </row>
  </sheetData>
  <sheetProtection sheet="1" objects="1" scenarios="1"/>
  <mergeCells count="20">
    <mergeCell ref="B1:K1"/>
    <mergeCell ref="F30:J30"/>
    <mergeCell ref="F31:J31"/>
    <mergeCell ref="E26:J26"/>
    <mergeCell ref="F6:F16"/>
    <mergeCell ref="F17:F21"/>
    <mergeCell ref="F22:F24"/>
    <mergeCell ref="F27:J27"/>
    <mergeCell ref="F28:J28"/>
    <mergeCell ref="B15:C15"/>
    <mergeCell ref="A4:C4"/>
    <mergeCell ref="B5:C5"/>
    <mergeCell ref="A2:M2"/>
    <mergeCell ref="F29:J29"/>
    <mergeCell ref="B14:C14"/>
    <mergeCell ref="B6:C6"/>
    <mergeCell ref="B7:C7"/>
    <mergeCell ref="B10:C10"/>
    <mergeCell ref="B12:C12"/>
    <mergeCell ref="B13:C13"/>
  </mergeCells>
  <conditionalFormatting sqref="H5:H24 E27:E31">
    <cfRule type="cellIs" dxfId="7" priority="7" operator="equal">
      <formula>"O"</formula>
    </cfRule>
    <cfRule type="cellIs" dxfId="6" priority="8" operator="equal">
      <formula>"M4"</formula>
    </cfRule>
    <cfRule type="cellIs" dxfId="5" priority="9" operator="equal">
      <formula>"M1"</formula>
    </cfRule>
    <cfRule type="cellIs" dxfId="4" priority="10" operator="equal">
      <formula>"M3"</formula>
    </cfRule>
  </conditionalFormatting>
  <conditionalFormatting sqref="H5:H24">
    <cfRule type="cellIs" dxfId="3" priority="11" operator="equal">
      <formula>"M"</formula>
    </cfRule>
  </conditionalFormatting>
  <conditionalFormatting sqref="L5:L11 K14:K16">
    <cfRule type="cellIs" dxfId="2" priority="1" operator="equal">
      <formula>$K$16</formula>
    </cfRule>
    <cfRule type="cellIs" dxfId="1" priority="2" operator="equal">
      <formula>$K$15</formula>
    </cfRule>
    <cfRule type="cellIs" dxfId="0" priority="3" operator="equal">
      <formula>$K$14</formula>
    </cfRule>
  </conditionalFormatting>
  <dataValidations count="2">
    <dataValidation type="list" allowBlank="1" showInputMessage="1" showErrorMessage="1" sqref="H5:H24" xr:uid="{5F8CF671-22E5-4011-A32C-2A08BCDAB5F2}">
      <formula1>$E$27:$E$31</formula1>
    </dataValidation>
    <dataValidation type="list" allowBlank="1" showInputMessage="1" showErrorMessage="1" sqref="L5:L11" xr:uid="{FB9AFA01-B321-4D30-92A0-C9B1100BEB7A}">
      <formula1>$K$14:$K$16</formula1>
    </dataValidation>
  </dataValidations>
  <pageMargins left="0.511811024" right="0.511811024" top="0.78740157499999996" bottom="0.78740157499999996" header="0.31496062000000002" footer="0.31496062000000002"/>
  <pageSetup paperSize="9" orientation="portrait" r:id="rId1"/>
  <headerFooter>
    <oddHeader>&amp;L&amp;G</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25322-629A-4782-BB99-39945BEBB0CD}">
  <sheetPr>
    <tabColor theme="5"/>
  </sheetPr>
  <dimension ref="A1:L31"/>
  <sheetViews>
    <sheetView showGridLines="0" zoomScale="115" zoomScaleNormal="115" workbookViewId="0">
      <selection activeCell="E27" sqref="E27"/>
    </sheetView>
  </sheetViews>
  <sheetFormatPr defaultRowHeight="14.5" x14ac:dyDescent="0.35"/>
  <cols>
    <col min="1" max="1" width="10.453125" customWidth="1"/>
    <col min="2" max="2" width="26" bestFit="1" customWidth="1"/>
    <col min="3" max="3" width="16" style="46" bestFit="1" customWidth="1"/>
    <col min="4" max="4" width="11.1796875" bestFit="1" customWidth="1"/>
    <col min="5" max="5" width="13.1796875" customWidth="1"/>
    <col min="6" max="7" width="13.81640625" bestFit="1" customWidth="1"/>
    <col min="8" max="8" width="12.1796875" bestFit="1" customWidth="1"/>
  </cols>
  <sheetData>
    <row r="1" spans="1:12" ht="25.25" customHeight="1" x14ac:dyDescent="0.35">
      <c r="A1" s="40" t="s">
        <v>0</v>
      </c>
      <c r="B1" s="40"/>
      <c r="C1" s="432" t="str">
        <f>Projeto</f>
        <v>FLORESTAL SANTA MARIA - CARAGUA AGRONEGÓCIOS LTDA</v>
      </c>
      <c r="D1" s="432"/>
      <c r="E1" s="432"/>
      <c r="F1" s="432"/>
      <c r="G1" s="432"/>
      <c r="H1" s="41"/>
    </row>
    <row r="2" spans="1:12" x14ac:dyDescent="0.35">
      <c r="A2" s="432" t="s">
        <v>421</v>
      </c>
      <c r="B2" s="432"/>
      <c r="C2" s="432"/>
      <c r="D2" s="432"/>
      <c r="E2" s="432"/>
      <c r="F2" s="432"/>
      <c r="G2" s="432"/>
      <c r="H2" s="432"/>
    </row>
    <row r="4" spans="1:12" x14ac:dyDescent="0.35">
      <c r="B4" s="446" t="s">
        <v>67</v>
      </c>
      <c r="C4" s="446" t="s">
        <v>69</v>
      </c>
      <c r="D4" s="446" t="s">
        <v>216</v>
      </c>
      <c r="E4" s="446"/>
      <c r="F4" s="446"/>
      <c r="G4" s="446" t="s">
        <v>217</v>
      </c>
      <c r="L4" s="24"/>
    </row>
    <row r="5" spans="1:12" x14ac:dyDescent="0.35">
      <c r="B5" s="446"/>
      <c r="C5" s="446"/>
      <c r="D5" s="30">
        <f>Overview!C9</f>
        <v>2025</v>
      </c>
      <c r="E5" s="30">
        <f>D5+1</f>
        <v>2026</v>
      </c>
      <c r="F5" s="30">
        <f t="shared" ref="F5" si="0">E5+1</f>
        <v>2027</v>
      </c>
      <c r="G5" s="446"/>
    </row>
    <row r="6" spans="1:12" x14ac:dyDescent="0.35">
      <c r="A6" s="474" t="s">
        <v>17</v>
      </c>
      <c r="B6" s="63" t="s">
        <v>90</v>
      </c>
      <c r="C6" s="16" t="s">
        <v>293</v>
      </c>
      <c r="D6" s="152">
        <f>Deforestation!D25*Biomass!$C$18</f>
        <v>0</v>
      </c>
      <c r="E6" s="152">
        <f>Deforestation!E25*Biomass!$C$18</f>
        <v>11589.412291768811</v>
      </c>
      <c r="F6" s="152">
        <f>Deforestation!F25*Biomass!$C$18</f>
        <v>50081.323152517209</v>
      </c>
      <c r="G6" s="98">
        <f>SUM(D6:F6)</f>
        <v>61670.735444286023</v>
      </c>
    </row>
    <row r="7" spans="1:12" x14ac:dyDescent="0.35">
      <c r="A7" s="475"/>
      <c r="B7" s="145" t="s">
        <v>301</v>
      </c>
      <c r="C7" s="146" t="s">
        <v>295</v>
      </c>
      <c r="D7" s="147">
        <f>D6</f>
        <v>0</v>
      </c>
      <c r="E7" s="147">
        <f>E6+D7</f>
        <v>11589.412291768811</v>
      </c>
      <c r="F7" s="147">
        <f t="shared" ref="F7" si="1">F6+E7</f>
        <v>61670.735444286023</v>
      </c>
      <c r="G7" s="148"/>
    </row>
    <row r="8" spans="1:12" ht="14.5" customHeight="1" x14ac:dyDescent="0.45">
      <c r="B8" s="5" t="s">
        <v>422</v>
      </c>
      <c r="C8" s="16" t="s">
        <v>126</v>
      </c>
      <c r="D8" s="91">
        <f>Deforestation!D25</f>
        <v>0</v>
      </c>
      <c r="E8" s="91">
        <f>Deforestation!E25</f>
        <v>24.93</v>
      </c>
      <c r="F8" s="91">
        <f>Deforestation!F25</f>
        <v>107.73</v>
      </c>
      <c r="G8" s="93">
        <f>SUM(D8:F8)</f>
        <v>132.66</v>
      </c>
    </row>
    <row r="9" spans="1:12" ht="16.5" x14ac:dyDescent="0.45">
      <c r="B9" s="5" t="s">
        <v>423</v>
      </c>
      <c r="C9" s="16" t="s">
        <v>126</v>
      </c>
      <c r="D9" s="91">
        <f>D8</f>
        <v>0</v>
      </c>
      <c r="E9" s="91">
        <f>D9+E8</f>
        <v>24.93</v>
      </c>
      <c r="F9" s="91">
        <f t="shared" ref="F9" si="2">E9+F8</f>
        <v>132.66</v>
      </c>
      <c r="G9" s="93"/>
    </row>
    <row r="10" spans="1:12" s="8" customFormat="1" ht="17" customHeight="1" x14ac:dyDescent="0.35">
      <c r="A10" s="464" t="s">
        <v>305</v>
      </c>
      <c r="B10" s="139" t="s">
        <v>424</v>
      </c>
      <c r="C10" s="140" t="s">
        <v>425</v>
      </c>
      <c r="D10" s="88">
        <f t="shared" ref="D10:F10" si="3">D8*COMFi*GgCH4*GWPgCH4*Conversion*(CLB/CF/tC_to_tCO2)</f>
        <v>0</v>
      </c>
      <c r="E10" s="88">
        <f t="shared" si="3"/>
        <v>436.74479827776935</v>
      </c>
      <c r="F10" s="88">
        <f t="shared" si="3"/>
        <v>1887.3051391281228</v>
      </c>
      <c r="G10" s="141">
        <f>SUM(D10:F10)</f>
        <v>2324.0499374058923</v>
      </c>
    </row>
    <row r="11" spans="1:12" s="8" customFormat="1" ht="17" customHeight="1" x14ac:dyDescent="0.35">
      <c r="A11" s="465"/>
      <c r="B11" s="136" t="s">
        <v>426</v>
      </c>
      <c r="C11" s="137" t="s">
        <v>425</v>
      </c>
      <c r="D11" s="87">
        <f>D10</f>
        <v>0</v>
      </c>
      <c r="E11" s="87">
        <f>D11+E10</f>
        <v>436.74479827776935</v>
      </c>
      <c r="F11" s="87">
        <f t="shared" ref="F11" si="4">E11+F10</f>
        <v>2324.0499374058923</v>
      </c>
      <c r="G11" s="138"/>
    </row>
    <row r="12" spans="1:12" ht="14.5" customHeight="1" x14ac:dyDescent="0.4">
      <c r="A12" s="466" t="s">
        <v>308</v>
      </c>
      <c r="B12" s="142" t="s">
        <v>427</v>
      </c>
      <c r="C12" s="73" t="s">
        <v>425</v>
      </c>
      <c r="D12" s="143">
        <f t="shared" ref="D12:F12" si="5">D8*COMFi*GgN2O*GWPgN2O*Conversion*(CLB/CF/tC_to_tCO2)</f>
        <v>0</v>
      </c>
      <c r="E12" s="143">
        <f t="shared" si="5"/>
        <v>172.22823146370371</v>
      </c>
      <c r="F12" s="143">
        <f t="shared" si="5"/>
        <v>744.24979444784617</v>
      </c>
      <c r="G12" s="144">
        <f>SUM(D12:F12)</f>
        <v>916.47802591154982</v>
      </c>
    </row>
    <row r="13" spans="1:12" ht="15" x14ac:dyDescent="0.4">
      <c r="A13" s="467"/>
      <c r="B13" s="145" t="s">
        <v>428</v>
      </c>
      <c r="C13" s="146" t="s">
        <v>425</v>
      </c>
      <c r="D13" s="147">
        <f>D12</f>
        <v>0</v>
      </c>
      <c r="E13" s="147">
        <f>E12+D13</f>
        <v>172.22823146370371</v>
      </c>
      <c r="F13" s="147">
        <f t="shared" ref="F13" si="6">F12+E13</f>
        <v>916.47802591154982</v>
      </c>
      <c r="G13" s="148"/>
    </row>
    <row r="14" spans="1:12" ht="15" x14ac:dyDescent="0.4">
      <c r="B14" s="63" t="s">
        <v>311</v>
      </c>
      <c r="C14" s="16" t="s">
        <v>425</v>
      </c>
      <c r="D14" s="91">
        <f>SUM(D10,D12)</f>
        <v>0</v>
      </c>
      <c r="E14" s="91">
        <f t="shared" ref="E14:F14" si="7">SUM(E10,E12)</f>
        <v>608.97302974147306</v>
      </c>
      <c r="F14" s="91">
        <f t="shared" si="7"/>
        <v>2631.5549335759688</v>
      </c>
      <c r="G14" s="93">
        <f>SUM(D14:F14)</f>
        <v>3240.5279633174418</v>
      </c>
    </row>
    <row r="15" spans="1:12" ht="15" x14ac:dyDescent="0.35">
      <c r="A15" s="468" t="s">
        <v>312</v>
      </c>
      <c r="B15" s="139" t="s">
        <v>313</v>
      </c>
      <c r="C15" s="140" t="s">
        <v>425</v>
      </c>
      <c r="D15" s="143">
        <f>D8*CWP_average</f>
        <v>0</v>
      </c>
      <c r="E15" s="143">
        <f t="shared" ref="E15:F15" si="8">E8*CWP_average</f>
        <v>65.137134628857808</v>
      </c>
      <c r="F15" s="143">
        <f t="shared" si="8"/>
        <v>281.4770763564722</v>
      </c>
      <c r="G15" s="144">
        <f>SUM(D15:F15)</f>
        <v>346.61421098533003</v>
      </c>
    </row>
    <row r="16" spans="1:12" ht="15" x14ac:dyDescent="0.35">
      <c r="A16" s="469"/>
      <c r="B16" s="136" t="s">
        <v>314</v>
      </c>
      <c r="C16" s="137" t="s">
        <v>425</v>
      </c>
      <c r="D16" s="147">
        <f>D15</f>
        <v>0</v>
      </c>
      <c r="E16" s="147">
        <f>E15+D16</f>
        <v>65.137134628857808</v>
      </c>
      <c r="F16" s="147">
        <f t="shared" ref="F16" si="9">F15+E16</f>
        <v>346.61421098533003</v>
      </c>
      <c r="G16" s="148"/>
    </row>
    <row r="17" spans="1:11" ht="15" x14ac:dyDescent="0.35">
      <c r="A17" s="470" t="s">
        <v>315</v>
      </c>
      <c r="B17" s="139" t="s">
        <v>316</v>
      </c>
      <c r="C17" s="140" t="s">
        <v>425</v>
      </c>
      <c r="D17" s="143">
        <f>D8*pasture_percentage*pasture_tco2ha</f>
        <v>0</v>
      </c>
      <c r="E17" s="143">
        <f t="shared" ref="E17:F17" si="10">E8*pasture_percentage*pasture_tco2ha</f>
        <v>336.39794099999995</v>
      </c>
      <c r="F17" s="143">
        <f t="shared" si="10"/>
        <v>1453.6763009999997</v>
      </c>
      <c r="G17" s="144">
        <f>SUM(D17:F17)</f>
        <v>1790.0742419999997</v>
      </c>
    </row>
    <row r="18" spans="1:11" ht="15" x14ac:dyDescent="0.35">
      <c r="A18" s="471"/>
      <c r="B18" s="136" t="s">
        <v>317</v>
      </c>
      <c r="C18" s="137" t="s">
        <v>425</v>
      </c>
      <c r="D18" s="147">
        <f>D17</f>
        <v>0</v>
      </c>
      <c r="E18" s="147">
        <f>E17+D18</f>
        <v>336.39794099999995</v>
      </c>
      <c r="F18" s="147">
        <f t="shared" ref="F18" si="11">F17+E18</f>
        <v>1790.0742419999997</v>
      </c>
      <c r="G18" s="148"/>
      <c r="H18" s="2"/>
      <c r="I18" s="2"/>
      <c r="J18" s="2"/>
      <c r="K18" s="2"/>
    </row>
    <row r="19" spans="1:11" ht="15" x14ac:dyDescent="0.35">
      <c r="A19" s="472" t="s">
        <v>318</v>
      </c>
      <c r="B19" s="139" t="s">
        <v>319</v>
      </c>
      <c r="C19" s="140" t="s">
        <v>425</v>
      </c>
      <c r="D19" s="143">
        <f>D8*coffee_percentage*coffee_tcoha</f>
        <v>0</v>
      </c>
      <c r="E19" s="143">
        <f>E8*coffee_percentage*coffee_tcoha</f>
        <v>209.3289</v>
      </c>
      <c r="F19" s="143">
        <f t="shared" ref="F19" si="12">F8*coffee_percentage*coffee_tcoha</f>
        <v>904.5729</v>
      </c>
      <c r="G19" s="144">
        <f>SUM(D19:F19)</f>
        <v>1113.9018000000001</v>
      </c>
      <c r="H19" s="2"/>
      <c r="I19" s="2"/>
      <c r="J19" s="2"/>
      <c r="K19" s="2"/>
    </row>
    <row r="20" spans="1:11" ht="15" x14ac:dyDescent="0.35">
      <c r="A20" s="473"/>
      <c r="B20" s="136" t="s">
        <v>320</v>
      </c>
      <c r="C20" s="137" t="s">
        <v>425</v>
      </c>
      <c r="D20" s="147">
        <f>D19</f>
        <v>0</v>
      </c>
      <c r="E20" s="147">
        <f>E19+D20</f>
        <v>209.3289</v>
      </c>
      <c r="F20" s="147">
        <f t="shared" ref="F20" si="13">F19+E20</f>
        <v>1113.9018000000001</v>
      </c>
      <c r="G20" s="148"/>
      <c r="H20" s="2"/>
      <c r="I20" s="2"/>
      <c r="J20" s="2"/>
      <c r="K20" s="2"/>
    </row>
    <row r="21" spans="1:11" x14ac:dyDescent="0.35">
      <c r="A21" s="135"/>
      <c r="B21" s="135"/>
      <c r="C21" s="205" t="s">
        <v>429</v>
      </c>
      <c r="D21" s="266">
        <f t="shared" ref="D21:F21" si="14">D6+D10+D12-(D15+D17+D19)</f>
        <v>0</v>
      </c>
      <c r="E21" s="266">
        <f>E6+E10+E12-(E15+E17+E19)</f>
        <v>11587.521345881425</v>
      </c>
      <c r="F21" s="266">
        <f t="shared" si="14"/>
        <v>50073.151808736708</v>
      </c>
      <c r="G21" s="267"/>
      <c r="H21" s="2"/>
      <c r="I21" s="2"/>
      <c r="J21" s="2"/>
      <c r="K21" s="2"/>
    </row>
    <row r="22" spans="1:11" x14ac:dyDescent="0.35">
      <c r="B22" s="5"/>
    </row>
    <row r="23" spans="1:11" ht="30" customHeight="1" x14ac:dyDescent="0.35"/>
    <row r="24" spans="1:11" x14ac:dyDescent="0.35">
      <c r="C24"/>
    </row>
    <row r="25" spans="1:11" x14ac:dyDescent="0.35">
      <c r="C25"/>
    </row>
    <row r="26" spans="1:11" ht="15.65" customHeight="1" x14ac:dyDescent="0.35">
      <c r="C26"/>
    </row>
    <row r="27" spans="1:11" x14ac:dyDescent="0.35">
      <c r="C27"/>
    </row>
    <row r="28" spans="1:11" x14ac:dyDescent="0.35">
      <c r="C28"/>
    </row>
    <row r="29" spans="1:11" x14ac:dyDescent="0.35">
      <c r="C29"/>
    </row>
    <row r="30" spans="1:11" x14ac:dyDescent="0.35">
      <c r="C30"/>
    </row>
    <row r="31" spans="1:11" x14ac:dyDescent="0.35">
      <c r="B31" s="71"/>
      <c r="C31" s="2"/>
      <c r="D31" s="23"/>
      <c r="E31" s="23"/>
      <c r="F31" s="23"/>
    </row>
  </sheetData>
  <mergeCells count="12">
    <mergeCell ref="A19:A20"/>
    <mergeCell ref="C1:G1"/>
    <mergeCell ref="A2:H2"/>
    <mergeCell ref="B4:B5"/>
    <mergeCell ref="C4:C5"/>
    <mergeCell ref="G4:G5"/>
    <mergeCell ref="A6:A7"/>
    <mergeCell ref="A10:A11"/>
    <mergeCell ref="A12:A13"/>
    <mergeCell ref="A15:A16"/>
    <mergeCell ref="A17:A18"/>
    <mergeCell ref="D4:F4"/>
  </mergeCells>
  <pageMargins left="0.511811024" right="0.511811024" top="0.78740157499999996" bottom="0.78740157499999996" header="0.31496062000000002" footer="0.31496062000000002"/>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A7655-E624-4264-897E-B1C7A3C637E0}">
  <sheetPr>
    <tabColor theme="5"/>
  </sheetPr>
  <dimension ref="A1:L24"/>
  <sheetViews>
    <sheetView showGridLines="0" zoomScale="130" zoomScaleNormal="130" workbookViewId="0">
      <selection activeCell="H9" sqref="H9"/>
    </sheetView>
  </sheetViews>
  <sheetFormatPr defaultRowHeight="14.5" x14ac:dyDescent="0.35"/>
  <cols>
    <col min="1" max="1" width="8.1796875" customWidth="1"/>
    <col min="2" max="2" width="18.1796875" customWidth="1"/>
    <col min="3" max="3" width="13.54296875" style="46" bestFit="1" customWidth="1"/>
    <col min="4" max="4" width="6.54296875" bestFit="1" customWidth="1"/>
    <col min="5" max="6" width="12.1796875" bestFit="1" customWidth="1"/>
    <col min="7" max="7" width="11.81640625" bestFit="1" customWidth="1"/>
    <col min="8" max="8" width="12.1796875" bestFit="1" customWidth="1"/>
  </cols>
  <sheetData>
    <row r="1" spans="1:12" ht="25.25" customHeight="1" x14ac:dyDescent="0.35">
      <c r="A1" s="40" t="s">
        <v>0</v>
      </c>
      <c r="B1" s="40"/>
      <c r="C1" s="432" t="s">
        <v>10</v>
      </c>
      <c r="D1" s="432"/>
      <c r="E1" s="432"/>
      <c r="F1" s="432"/>
      <c r="G1" s="432"/>
      <c r="H1" s="41"/>
    </row>
    <row r="2" spans="1:12" x14ac:dyDescent="0.35">
      <c r="A2" s="432" t="s">
        <v>430</v>
      </c>
      <c r="B2" s="432"/>
      <c r="C2" s="432"/>
      <c r="D2" s="432"/>
      <c r="E2" s="432"/>
      <c r="F2" s="432"/>
      <c r="G2" s="432"/>
      <c r="H2" s="432"/>
    </row>
    <row r="4" spans="1:12" x14ac:dyDescent="0.35">
      <c r="B4" s="446" t="s">
        <v>67</v>
      </c>
      <c r="C4" s="446" t="s">
        <v>69</v>
      </c>
      <c r="D4" s="446" t="s">
        <v>216</v>
      </c>
      <c r="E4" s="446"/>
      <c r="F4" s="446"/>
      <c r="G4" s="446" t="s">
        <v>217</v>
      </c>
      <c r="L4" s="24"/>
    </row>
    <row r="5" spans="1:12" x14ac:dyDescent="0.35">
      <c r="B5" s="446"/>
      <c r="C5" s="446"/>
      <c r="D5" s="30">
        <v>2019</v>
      </c>
      <c r="E5" s="30">
        <f>D5+1</f>
        <v>2020</v>
      </c>
      <c r="F5" s="30">
        <f t="shared" ref="F5" si="0">E5+1</f>
        <v>2021</v>
      </c>
      <c r="G5" s="446"/>
    </row>
    <row r="6" spans="1:12" x14ac:dyDescent="0.35">
      <c r="A6" s="474" t="s">
        <v>17</v>
      </c>
      <c r="B6" s="386" t="s">
        <v>90</v>
      </c>
      <c r="C6" s="16" t="s">
        <v>293</v>
      </c>
      <c r="D6" s="152">
        <f>Deforestation!D29*Biomass!$C$18</f>
        <v>0</v>
      </c>
      <c r="E6" s="152">
        <f>Deforestation!E29*Biomass!$C$18</f>
        <v>0</v>
      </c>
      <c r="F6" s="152">
        <f>Deforestation!F29*Biomass!$C$18</f>
        <v>0</v>
      </c>
      <c r="G6" s="98">
        <f>SUM(D6:F6)</f>
        <v>0</v>
      </c>
    </row>
    <row r="7" spans="1:12" x14ac:dyDescent="0.35">
      <c r="A7" s="475"/>
      <c r="B7" s="387" t="s">
        <v>301</v>
      </c>
      <c r="C7" s="146" t="s">
        <v>295</v>
      </c>
      <c r="D7" s="147">
        <f>D6</f>
        <v>0</v>
      </c>
      <c r="E7" s="147">
        <f>E6+D7</f>
        <v>0</v>
      </c>
      <c r="F7" s="147">
        <f>F6+E7</f>
        <v>0</v>
      </c>
      <c r="G7" s="148"/>
    </row>
    <row r="8" spans="1:12" ht="14.5" customHeight="1" x14ac:dyDescent="0.45">
      <c r="B8" s="113" t="s">
        <v>422</v>
      </c>
      <c r="C8" s="16" t="s">
        <v>126</v>
      </c>
      <c r="D8" s="91">
        <f>Deforestation!D29</f>
        <v>0</v>
      </c>
      <c r="E8" s="91">
        <f>Deforestation!E29</f>
        <v>0</v>
      </c>
      <c r="F8" s="91">
        <f>Deforestation!F29</f>
        <v>0</v>
      </c>
      <c r="G8" s="93">
        <f>SUM(D8:F8)</f>
        <v>0</v>
      </c>
    </row>
    <row r="9" spans="1:12" ht="16.5" x14ac:dyDescent="0.45">
      <c r="B9" s="113" t="s">
        <v>423</v>
      </c>
      <c r="C9" s="16" t="s">
        <v>126</v>
      </c>
      <c r="D9" s="91">
        <f>D8</f>
        <v>0</v>
      </c>
      <c r="E9" s="91">
        <f>D9+E8</f>
        <v>0</v>
      </c>
      <c r="F9" s="91">
        <f>E9+F8</f>
        <v>0</v>
      </c>
      <c r="G9" s="93"/>
    </row>
    <row r="10" spans="1:12" s="8" customFormat="1" ht="17" customHeight="1" x14ac:dyDescent="0.35">
      <c r="A10" s="464" t="s">
        <v>305</v>
      </c>
      <c r="B10" s="388" t="s">
        <v>424</v>
      </c>
      <c r="C10" s="140" t="s">
        <v>425</v>
      </c>
      <c r="D10" s="88">
        <f t="shared" ref="D10:F10" si="1">D8*COMFi*GgCH4*GWPgCH4*Conversion*(CLB/CF/tC_to_tCO2)</f>
        <v>0</v>
      </c>
      <c r="E10" s="88">
        <f t="shared" si="1"/>
        <v>0</v>
      </c>
      <c r="F10" s="88">
        <f t="shared" si="1"/>
        <v>0</v>
      </c>
      <c r="G10" s="141">
        <f>SUM(D10:F10)</f>
        <v>0</v>
      </c>
    </row>
    <row r="11" spans="1:12" s="8" customFormat="1" ht="26.5" customHeight="1" x14ac:dyDescent="0.35">
      <c r="A11" s="465"/>
      <c r="B11" s="389" t="s">
        <v>426</v>
      </c>
      <c r="C11" s="137" t="s">
        <v>425</v>
      </c>
      <c r="D11" s="87">
        <f>D10</f>
        <v>0</v>
      </c>
      <c r="E11" s="87">
        <f>D11+E10</f>
        <v>0</v>
      </c>
      <c r="F11" s="87">
        <f t="shared" ref="F11" si="2">E11+F10</f>
        <v>0</v>
      </c>
      <c r="G11" s="138"/>
    </row>
    <row r="12" spans="1:12" ht="14.5" customHeight="1" x14ac:dyDescent="0.4">
      <c r="A12" s="466" t="s">
        <v>308</v>
      </c>
      <c r="B12" s="390" t="s">
        <v>427</v>
      </c>
      <c r="C12" s="73" t="s">
        <v>425</v>
      </c>
      <c r="D12" s="143">
        <f t="shared" ref="D12:F12" si="3">D8*COMFi*GgN2O*GWPgN2O*Conversion*(CLB/CF/tC_to_tCO2)</f>
        <v>0</v>
      </c>
      <c r="E12" s="143">
        <f t="shared" si="3"/>
        <v>0</v>
      </c>
      <c r="F12" s="143">
        <f t="shared" si="3"/>
        <v>0</v>
      </c>
      <c r="G12" s="144">
        <f>SUM(D12:F12)</f>
        <v>0</v>
      </c>
    </row>
    <row r="13" spans="1:12" ht="33" customHeight="1" x14ac:dyDescent="0.4">
      <c r="A13" s="467"/>
      <c r="B13" s="387" t="s">
        <v>428</v>
      </c>
      <c r="C13" s="146" t="s">
        <v>425</v>
      </c>
      <c r="D13" s="147">
        <f>D12</f>
        <v>0</v>
      </c>
      <c r="E13" s="147">
        <f>E12+D13</f>
        <v>0</v>
      </c>
      <c r="F13" s="147">
        <f t="shared" ref="F13" si="4">F12+E13</f>
        <v>0</v>
      </c>
      <c r="G13" s="148"/>
    </row>
    <row r="14" spans="1:12" x14ac:dyDescent="0.35">
      <c r="A14" s="135"/>
      <c r="B14" s="135"/>
      <c r="C14" s="205" t="s">
        <v>429</v>
      </c>
      <c r="D14" s="391">
        <f>D6+D10+D12</f>
        <v>0</v>
      </c>
      <c r="E14" s="391">
        <f t="shared" ref="E14:F14" si="5">E6+E10+E12</f>
        <v>0</v>
      </c>
      <c r="F14" s="391">
        <f t="shared" si="5"/>
        <v>0</v>
      </c>
      <c r="G14" s="2"/>
      <c r="H14" s="2"/>
      <c r="I14" s="2"/>
      <c r="J14" s="2"/>
      <c r="K14" s="2"/>
    </row>
    <row r="15" spans="1:12" x14ac:dyDescent="0.35">
      <c r="B15" s="5"/>
    </row>
    <row r="16" spans="1:12" ht="30" customHeight="1" x14ac:dyDescent="0.35"/>
    <row r="17" spans="2:6" x14ac:dyDescent="0.35">
      <c r="C17"/>
    </row>
    <row r="18" spans="2:6" x14ac:dyDescent="0.35">
      <c r="C18"/>
    </row>
    <row r="19" spans="2:6" ht="15.65" customHeight="1" x14ac:dyDescent="0.35">
      <c r="C19"/>
    </row>
    <row r="20" spans="2:6" x14ac:dyDescent="0.35">
      <c r="C20"/>
    </row>
    <row r="21" spans="2:6" x14ac:dyDescent="0.35">
      <c r="C21"/>
    </row>
    <row r="22" spans="2:6" x14ac:dyDescent="0.35">
      <c r="C22"/>
    </row>
    <row r="23" spans="2:6" x14ac:dyDescent="0.35">
      <c r="C23"/>
    </row>
    <row r="24" spans="2:6" x14ac:dyDescent="0.35">
      <c r="B24" s="71"/>
      <c r="C24" s="2"/>
      <c r="D24" s="23"/>
      <c r="E24" s="23"/>
      <c r="F24" s="23"/>
    </row>
  </sheetData>
  <mergeCells count="9">
    <mergeCell ref="A6:A7"/>
    <mergeCell ref="A10:A11"/>
    <mergeCell ref="A12:A13"/>
    <mergeCell ref="C1:G1"/>
    <mergeCell ref="A2:H2"/>
    <mergeCell ref="B4:B5"/>
    <mergeCell ref="C4:C5"/>
    <mergeCell ref="D4:F4"/>
    <mergeCell ref="G4:G5"/>
  </mergeCells>
  <pageMargins left="0.511811024" right="0.511811024" top="0.78740157499999996" bottom="0.78740157499999996" header="0.31496062000000002" footer="0.31496062000000002"/>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4F1D2-D391-4A18-A4BB-2C06AFC20DCA}">
  <sheetPr>
    <tabColor theme="5"/>
  </sheetPr>
  <dimension ref="A1:S19"/>
  <sheetViews>
    <sheetView showGridLines="0" zoomScale="85" zoomScaleNormal="85" workbookViewId="0">
      <selection activeCell="H14" sqref="H14"/>
    </sheetView>
  </sheetViews>
  <sheetFormatPr defaultRowHeight="14.5" x14ac:dyDescent="0.35"/>
  <cols>
    <col min="1" max="1" width="3.1796875" customWidth="1"/>
    <col min="2" max="2" width="2.1796875" customWidth="1"/>
    <col min="3" max="3" width="4" customWidth="1"/>
    <col min="4" max="4" width="2.54296875" customWidth="1"/>
    <col min="5" max="5" width="18.1796875" style="1" customWidth="1"/>
    <col min="6" max="6" width="39" style="180" customWidth="1"/>
    <col min="7" max="7" width="5.81640625" bestFit="1" customWidth="1"/>
    <col min="8" max="8" width="14.54296875" bestFit="1" customWidth="1"/>
    <col min="9" max="10" width="11.1796875" bestFit="1" customWidth="1"/>
    <col min="11" max="11" width="14.453125" bestFit="1" customWidth="1"/>
    <col min="12" max="12" width="13.81640625" bestFit="1" customWidth="1"/>
    <col min="13" max="13" width="10.81640625" bestFit="1" customWidth="1"/>
    <col min="14" max="18" width="11.81640625" bestFit="1" customWidth="1"/>
    <col min="19" max="19" width="9" bestFit="1" customWidth="1"/>
  </cols>
  <sheetData>
    <row r="1" spans="1:19" ht="25.25" customHeight="1" x14ac:dyDescent="0.35">
      <c r="A1" s="53" t="s">
        <v>0</v>
      </c>
      <c r="B1" s="191"/>
      <c r="C1" s="191"/>
      <c r="D1" s="191"/>
      <c r="E1" s="432" t="str">
        <f>Projeto</f>
        <v>FLORESTAL SANTA MARIA - CARAGUA AGRONEGÓCIOS LTDA</v>
      </c>
      <c r="F1" s="432"/>
      <c r="G1" s="432"/>
      <c r="H1" s="432"/>
      <c r="I1" s="432"/>
      <c r="J1" s="432"/>
      <c r="K1" s="432"/>
      <c r="L1" s="41"/>
      <c r="M1" s="41"/>
    </row>
    <row r="2" spans="1:19" x14ac:dyDescent="0.35">
      <c r="A2" s="191"/>
      <c r="B2" s="432" t="s">
        <v>431</v>
      </c>
      <c r="C2" s="432"/>
      <c r="D2" s="432"/>
      <c r="E2" s="432"/>
      <c r="F2" s="432"/>
      <c r="G2" s="432"/>
      <c r="H2" s="432"/>
      <c r="I2" s="432"/>
      <c r="J2" s="432"/>
      <c r="K2" s="432"/>
      <c r="L2" s="432"/>
      <c r="M2" s="432"/>
    </row>
    <row r="3" spans="1:19" x14ac:dyDescent="0.35">
      <c r="M3" s="24"/>
    </row>
    <row r="4" spans="1:19" ht="14.5" customHeight="1" x14ac:dyDescent="0.35">
      <c r="E4" s="48" t="s">
        <v>432</v>
      </c>
      <c r="F4" s="48"/>
      <c r="G4" s="43"/>
      <c r="H4" s="43"/>
      <c r="I4" s="43"/>
      <c r="J4" s="43"/>
      <c r="K4" s="43"/>
      <c r="L4" s="43"/>
      <c r="M4" s="42"/>
      <c r="N4" s="42"/>
    </row>
    <row r="5" spans="1:19" s="4" customFormat="1" x14ac:dyDescent="0.35">
      <c r="E5" s="446" t="s">
        <v>67</v>
      </c>
      <c r="F5" s="462" t="s">
        <v>68</v>
      </c>
      <c r="G5" s="446" t="s">
        <v>69</v>
      </c>
      <c r="H5" s="314" t="s">
        <v>290</v>
      </c>
      <c r="I5" s="314"/>
      <c r="J5" s="314"/>
      <c r="K5" s="446" t="s">
        <v>90</v>
      </c>
      <c r="L5" s="43"/>
      <c r="M5" s="42"/>
      <c r="N5" s="42"/>
    </row>
    <row r="6" spans="1:19" ht="14.5" customHeight="1" x14ac:dyDescent="0.35">
      <c r="B6" s="4"/>
      <c r="C6" s="4"/>
      <c r="D6" s="4"/>
      <c r="E6" s="446"/>
      <c r="F6" s="462"/>
      <c r="G6" s="446"/>
      <c r="H6" s="30">
        <v>2019</v>
      </c>
      <c r="I6" s="30">
        <v>2020</v>
      </c>
      <c r="J6" s="30">
        <v>2021</v>
      </c>
      <c r="K6" s="446"/>
      <c r="L6" s="43"/>
      <c r="M6" s="42"/>
      <c r="N6" s="42"/>
    </row>
    <row r="7" spans="1:19" ht="55" hidden="1" x14ac:dyDescent="0.35">
      <c r="A7" s="491" t="s">
        <v>431</v>
      </c>
      <c r="B7" s="494" t="s">
        <v>433</v>
      </c>
      <c r="C7" s="256" t="s">
        <v>434</v>
      </c>
      <c r="D7" s="492" t="s">
        <v>435</v>
      </c>
      <c r="E7" s="195" t="s">
        <v>436</v>
      </c>
      <c r="F7" s="196" t="s">
        <v>437</v>
      </c>
      <c r="G7" s="45" t="s">
        <v>348</v>
      </c>
      <c r="H7" s="88">
        <f>'BL-GHG'!D21</f>
        <v>72573.573868837717</v>
      </c>
      <c r="I7" s="88">
        <f>'BL-GHG'!E21</f>
        <v>112816.76363879994</v>
      </c>
      <c r="J7" s="88">
        <f>'BL-GHG'!F21</f>
        <v>243372.62448287685</v>
      </c>
      <c r="K7" s="232"/>
      <c r="L7" s="43"/>
      <c r="M7" s="42"/>
      <c r="N7" s="42"/>
    </row>
    <row r="8" spans="1:19" ht="57" hidden="1" x14ac:dyDescent="0.35">
      <c r="A8" s="491"/>
      <c r="B8" s="495"/>
      <c r="C8" s="253" t="s">
        <v>438</v>
      </c>
      <c r="D8" s="493"/>
      <c r="E8" s="192" t="s">
        <v>439</v>
      </c>
      <c r="F8" s="193" t="s">
        <v>440</v>
      </c>
      <c r="G8" s="194" t="s">
        <v>348</v>
      </c>
      <c r="H8" s="254">
        <f>'LK-GHG_ex_ante'!D21</f>
        <v>0</v>
      </c>
      <c r="I8" s="254">
        <f>'LK-GHG_ex_ante'!E21</f>
        <v>11587.521345881425</v>
      </c>
      <c r="J8" s="254">
        <f>'LK-GHG_ex_ante'!F21</f>
        <v>50073.151808736708</v>
      </c>
      <c r="K8" s="232"/>
      <c r="L8" s="47"/>
      <c r="M8" s="47"/>
      <c r="N8" s="47"/>
      <c r="O8" s="47"/>
      <c r="P8" s="47"/>
    </row>
    <row r="9" spans="1:19" ht="55" hidden="1" x14ac:dyDescent="0.35">
      <c r="A9" s="491"/>
      <c r="B9" s="495"/>
      <c r="C9" s="253" t="s">
        <v>434</v>
      </c>
      <c r="D9" s="492" t="s">
        <v>441</v>
      </c>
      <c r="E9" s="169" t="s">
        <v>442</v>
      </c>
      <c r="F9" s="175" t="s">
        <v>443</v>
      </c>
      <c r="G9" s="194" t="s">
        <v>348</v>
      </c>
      <c r="H9" s="162">
        <f>H7*LK_percentage</f>
        <v>7257.3573868837721</v>
      </c>
      <c r="I9" s="162">
        <f t="shared" ref="I9:J9" si="0">I7*LK_percentage</f>
        <v>11281.676363879995</v>
      </c>
      <c r="J9" s="162">
        <f t="shared" si="0"/>
        <v>24337.262448287685</v>
      </c>
      <c r="K9" s="232"/>
      <c r="L9" s="47"/>
      <c r="M9" s="47"/>
      <c r="N9" s="47"/>
      <c r="O9" s="47"/>
      <c r="P9" s="47"/>
    </row>
    <row r="10" spans="1:19" ht="57" hidden="1" x14ac:dyDescent="0.35">
      <c r="A10" s="491"/>
      <c r="B10" s="496"/>
      <c r="C10" s="253" t="s">
        <v>438</v>
      </c>
      <c r="D10" s="493"/>
      <c r="E10" s="192" t="s">
        <v>444</v>
      </c>
      <c r="F10" s="193" t="s">
        <v>445</v>
      </c>
      <c r="G10" s="194" t="s">
        <v>348</v>
      </c>
      <c r="H10" s="254">
        <f>H9+H8</f>
        <v>7257.3573868837721</v>
      </c>
      <c r="I10" s="254">
        <f t="shared" ref="I10:J10" si="1">I9+I8</f>
        <v>22869.197709761422</v>
      </c>
      <c r="J10" s="254">
        <f t="shared" si="1"/>
        <v>74410.414257024386</v>
      </c>
      <c r="K10" s="232"/>
      <c r="L10" s="47"/>
      <c r="M10" s="47"/>
      <c r="N10" s="47"/>
      <c r="O10" s="47"/>
      <c r="P10" s="47"/>
    </row>
    <row r="11" spans="1:19" ht="52.5" hidden="1" x14ac:dyDescent="0.35">
      <c r="A11" s="169"/>
      <c r="B11" s="169"/>
      <c r="C11" s="169"/>
      <c r="D11" s="169"/>
      <c r="E11" s="255" t="s">
        <v>446</v>
      </c>
      <c r="F11" s="184" t="s">
        <v>447</v>
      </c>
      <c r="G11" s="176" t="s">
        <v>348</v>
      </c>
      <c r="H11" s="264">
        <f>H10-H8</f>
        <v>7257.3573868837721</v>
      </c>
      <c r="I11" s="264">
        <f t="shared" ref="I11:J11" si="2">I10-I8</f>
        <v>11281.676363879997</v>
      </c>
      <c r="J11" s="264">
        <f t="shared" si="2"/>
        <v>24337.262448287678</v>
      </c>
      <c r="K11" s="235">
        <f>SUM(H11:J11)</f>
        <v>42876.296199051445</v>
      </c>
      <c r="L11" s="47"/>
      <c r="M11" s="47"/>
      <c r="N11" s="47"/>
      <c r="O11" s="47"/>
      <c r="P11" s="47"/>
    </row>
    <row r="12" spans="1:19" ht="54.5" x14ac:dyDescent="0.35">
      <c r="A12" s="491" t="s">
        <v>431</v>
      </c>
      <c r="B12" s="498" t="s">
        <v>448</v>
      </c>
      <c r="C12" s="501" t="s">
        <v>438</v>
      </c>
      <c r="D12" s="376" t="s">
        <v>435</v>
      </c>
      <c r="E12" s="192" t="s">
        <v>439</v>
      </c>
      <c r="F12" s="193" t="s">
        <v>440</v>
      </c>
      <c r="G12" s="194" t="s">
        <v>348</v>
      </c>
      <c r="H12" s="254">
        <f>'LK-GHG_ex_ante'!D21</f>
        <v>0</v>
      </c>
      <c r="I12" s="254">
        <f>'LK-GHG_ex_ante'!E21</f>
        <v>11587.521345881425</v>
      </c>
      <c r="J12" s="254">
        <f>'LK-GHG_ex_ante'!F21</f>
        <v>50073.151808736708</v>
      </c>
      <c r="K12" s="232"/>
      <c r="L12" s="43"/>
      <c r="M12" s="233"/>
      <c r="N12" s="233"/>
      <c r="O12" s="233"/>
      <c r="P12" s="233"/>
      <c r="Q12" s="233"/>
      <c r="R12" s="233"/>
      <c r="S12" s="233"/>
    </row>
    <row r="13" spans="1:19" ht="16.5" x14ac:dyDescent="0.45">
      <c r="A13" s="491"/>
      <c r="B13" s="499"/>
      <c r="C13" s="444"/>
      <c r="D13" s="502" t="s">
        <v>441</v>
      </c>
      <c r="E13" s="113" t="s">
        <v>449</v>
      </c>
      <c r="F13" s="175" t="s">
        <v>450</v>
      </c>
      <c r="G13" s="46" t="s">
        <v>126</v>
      </c>
      <c r="H13" s="162">
        <f>Deforestation!D29</f>
        <v>0</v>
      </c>
      <c r="I13" s="162">
        <f>Deforestation!E29</f>
        <v>0</v>
      </c>
      <c r="J13" s="162">
        <f>Deforestation!F29</f>
        <v>0</v>
      </c>
      <c r="K13" s="232"/>
      <c r="L13" s="43"/>
      <c r="M13" s="233"/>
      <c r="N13" s="233"/>
      <c r="O13" s="233"/>
      <c r="P13" s="233"/>
      <c r="Q13" s="233"/>
      <c r="R13" s="233"/>
      <c r="S13" s="233"/>
    </row>
    <row r="14" spans="1:19" ht="33.5" x14ac:dyDescent="0.35">
      <c r="A14" s="491"/>
      <c r="B14" s="499"/>
      <c r="C14" s="444"/>
      <c r="D14" s="503"/>
      <c r="E14" s="169" t="s">
        <v>451</v>
      </c>
      <c r="F14" s="175" t="s">
        <v>452</v>
      </c>
      <c r="G14" s="169" t="s">
        <v>348</v>
      </c>
      <c r="H14" s="162">
        <f>'LK-GHG_ex_post'!D14</f>
        <v>0</v>
      </c>
      <c r="I14" s="162">
        <f>'LK-GHG_ex_post'!E14</f>
        <v>0</v>
      </c>
      <c r="J14" s="162">
        <f>'LK-GHG_ex_post'!F14</f>
        <v>0</v>
      </c>
      <c r="K14" s="232"/>
      <c r="L14" s="43"/>
      <c r="M14" s="233"/>
      <c r="N14" s="233"/>
      <c r="O14" s="233"/>
      <c r="P14" s="233"/>
      <c r="Q14" s="233"/>
      <c r="R14" s="233"/>
      <c r="S14" s="233"/>
    </row>
    <row r="15" spans="1:19" ht="23" x14ac:dyDescent="0.35">
      <c r="A15" s="491"/>
      <c r="B15" s="500"/>
      <c r="C15" s="445"/>
      <c r="D15" s="504"/>
      <c r="E15" s="377" t="s">
        <v>453</v>
      </c>
      <c r="F15" s="378" t="s">
        <v>454</v>
      </c>
      <c r="G15" s="377" t="s">
        <v>348</v>
      </c>
      <c r="H15" s="379">
        <f>IF(((H14-H12))&lt;0,0,((H14-H12)))</f>
        <v>0</v>
      </c>
      <c r="I15" s="379">
        <f t="shared" ref="I15:J15" si="3">IF(((I14-I12))&lt;0,0,((I14-I12)))</f>
        <v>0</v>
      </c>
      <c r="J15" s="379">
        <f t="shared" si="3"/>
        <v>0</v>
      </c>
      <c r="K15" s="232"/>
      <c r="L15" s="43"/>
      <c r="M15" s="233"/>
      <c r="N15" s="233"/>
      <c r="O15" s="233"/>
      <c r="P15" s="233"/>
      <c r="Q15" s="233"/>
      <c r="R15" s="233"/>
      <c r="S15" s="233"/>
    </row>
    <row r="16" spans="1:19" ht="29" x14ac:dyDescent="0.35">
      <c r="A16" s="43"/>
      <c r="B16" s="43"/>
      <c r="D16" s="43"/>
      <c r="E16" s="380" t="s">
        <v>455</v>
      </c>
      <c r="F16" s="381"/>
      <c r="G16" s="381" t="s">
        <v>348</v>
      </c>
      <c r="H16" s="382">
        <f>H15</f>
        <v>0</v>
      </c>
      <c r="I16" s="382">
        <f t="shared" ref="I16:J17" si="4">I15</f>
        <v>0</v>
      </c>
      <c r="J16" s="382">
        <f t="shared" si="4"/>
        <v>0</v>
      </c>
      <c r="K16" s="241">
        <f>SUM(H16:J16)</f>
        <v>0</v>
      </c>
      <c r="L16" s="43"/>
      <c r="M16" s="233"/>
      <c r="N16" s="233"/>
      <c r="O16" s="233"/>
      <c r="P16" s="233"/>
      <c r="Q16" s="233"/>
      <c r="R16" s="233"/>
      <c r="S16" s="233"/>
    </row>
    <row r="17" spans="1:11" ht="16.5" x14ac:dyDescent="0.35">
      <c r="A17" s="43"/>
      <c r="C17" s="43"/>
      <c r="D17" s="43"/>
      <c r="E17" s="497" t="s">
        <v>456</v>
      </c>
      <c r="F17" s="497"/>
      <c r="G17" s="383" t="s">
        <v>348</v>
      </c>
      <c r="H17" s="384">
        <f>H16</f>
        <v>0</v>
      </c>
      <c r="I17" s="384">
        <f t="shared" si="4"/>
        <v>0</v>
      </c>
      <c r="J17" s="384">
        <f t="shared" si="4"/>
        <v>0</v>
      </c>
      <c r="K17" s="385">
        <f>SUM(H17:J17)</f>
        <v>0</v>
      </c>
    </row>
    <row r="19" spans="1:11" ht="14" customHeight="1" x14ac:dyDescent="0.35"/>
  </sheetData>
  <mergeCells count="15">
    <mergeCell ref="E17:F17"/>
    <mergeCell ref="A12:A15"/>
    <mergeCell ref="B12:B15"/>
    <mergeCell ref="C12:C15"/>
    <mergeCell ref="D13:D15"/>
    <mergeCell ref="A7:A10"/>
    <mergeCell ref="E1:K1"/>
    <mergeCell ref="B2:M2"/>
    <mergeCell ref="K5:K6"/>
    <mergeCell ref="G5:G6"/>
    <mergeCell ref="F5:F6"/>
    <mergeCell ref="E5:E6"/>
    <mergeCell ref="D7:D8"/>
    <mergeCell ref="D9:D10"/>
    <mergeCell ref="B7:B10"/>
  </mergeCells>
  <pageMargins left="0.511811024" right="0.511811024" top="0.78740157499999996" bottom="0.78740157499999996" header="0.31496062000000002" footer="0.31496062000000002"/>
  <pageSetup paperSize="9" orientation="portrait" r:id="rId1"/>
  <headerFooter>
    <oddHeader>&amp;L&amp;G</oddHead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66990-C3F4-43C5-9324-DD9ECEE13770}">
  <sheetPr>
    <tabColor theme="5"/>
  </sheetPr>
  <dimension ref="A1:Q37"/>
  <sheetViews>
    <sheetView showGridLines="0" topLeftCell="A14" zoomScale="110" zoomScaleNormal="110" workbookViewId="0">
      <selection activeCell="F27" sqref="F27"/>
    </sheetView>
  </sheetViews>
  <sheetFormatPr defaultRowHeight="14.5" x14ac:dyDescent="0.35"/>
  <cols>
    <col min="1" max="1" width="4" customWidth="1"/>
    <col min="2" max="2" width="3.81640625" customWidth="1"/>
    <col min="3" max="3" width="18" style="1" bestFit="1" customWidth="1"/>
    <col min="4" max="4" width="57.81640625" style="180" customWidth="1"/>
    <col min="5" max="5" width="12.453125" customWidth="1"/>
    <col min="6" max="6" width="15.1796875" bestFit="1" customWidth="1"/>
    <col min="7" max="8" width="10.81640625" bestFit="1" customWidth="1"/>
    <col min="9" max="9" width="17.1796875" bestFit="1" customWidth="1"/>
    <col min="10" max="10" width="13.81640625" bestFit="1" customWidth="1"/>
    <col min="11" max="11" width="10.81640625" bestFit="1" customWidth="1"/>
    <col min="12" max="16" width="11.81640625" bestFit="1" customWidth="1"/>
    <col min="17" max="17" width="9" bestFit="1" customWidth="1"/>
  </cols>
  <sheetData>
    <row r="1" spans="1:12" ht="25.25" customHeight="1" x14ac:dyDescent="0.35">
      <c r="A1" s="53" t="s">
        <v>0</v>
      </c>
      <c r="B1" s="191"/>
      <c r="C1" s="432" t="str">
        <f>Projeto</f>
        <v>FLORESTAL SANTA MARIA - CARAGUA AGRONEGÓCIOS LTDA</v>
      </c>
      <c r="D1" s="432"/>
      <c r="E1" s="432"/>
      <c r="F1" s="432"/>
      <c r="G1" s="432"/>
      <c r="H1" s="432"/>
      <c r="I1" s="432"/>
      <c r="J1" s="41"/>
      <c r="K1" s="41"/>
    </row>
    <row r="2" spans="1:12" x14ac:dyDescent="0.35">
      <c r="A2" s="191"/>
      <c r="B2" s="432" t="s">
        <v>457</v>
      </c>
      <c r="C2" s="432"/>
      <c r="D2" s="432"/>
      <c r="E2" s="432"/>
      <c r="F2" s="432"/>
      <c r="G2" s="432"/>
      <c r="H2" s="432"/>
      <c r="I2" s="432"/>
      <c r="J2" s="432"/>
      <c r="K2" s="432"/>
    </row>
    <row r="3" spans="1:12" x14ac:dyDescent="0.35">
      <c r="K3" s="24"/>
    </row>
    <row r="4" spans="1:12" ht="14.5" customHeight="1" x14ac:dyDescent="0.35">
      <c r="C4" s="48" t="s">
        <v>432</v>
      </c>
      <c r="D4" s="48"/>
      <c r="E4" s="43"/>
      <c r="F4" s="43"/>
      <c r="G4" s="43"/>
      <c r="H4" s="43"/>
      <c r="I4" s="43"/>
      <c r="J4" s="43"/>
      <c r="K4" s="42"/>
      <c r="L4" s="42"/>
    </row>
    <row r="5" spans="1:12" ht="14.5" customHeight="1" x14ac:dyDescent="0.35">
      <c r="C5" s="446" t="s">
        <v>67</v>
      </c>
      <c r="D5" s="462" t="s">
        <v>68</v>
      </c>
      <c r="E5" s="446" t="s">
        <v>69</v>
      </c>
      <c r="F5" s="446" t="s">
        <v>458</v>
      </c>
      <c r="G5" s="446" t="s">
        <v>459</v>
      </c>
      <c r="H5" s="446"/>
      <c r="I5" s="43"/>
      <c r="J5" s="43"/>
      <c r="K5" s="42"/>
      <c r="L5" s="42"/>
    </row>
    <row r="6" spans="1:12" ht="14.5" customHeight="1" x14ac:dyDescent="0.35">
      <c r="C6" s="446"/>
      <c r="D6" s="462"/>
      <c r="E6" s="446"/>
      <c r="F6" s="446"/>
      <c r="G6" s="446"/>
      <c r="H6" s="446"/>
      <c r="I6" s="43"/>
      <c r="J6" s="43"/>
      <c r="K6" s="42"/>
      <c r="L6" s="42"/>
    </row>
    <row r="7" spans="1:12" ht="14.5" customHeight="1" x14ac:dyDescent="0.35">
      <c r="C7" s="169" t="s">
        <v>139</v>
      </c>
      <c r="D7" s="175" t="s">
        <v>140</v>
      </c>
      <c r="E7" s="43" t="s">
        <v>126</v>
      </c>
      <c r="F7" s="160">
        <f>F8-F11-F12</f>
        <v>356155513.8526715</v>
      </c>
      <c r="G7" s="508"/>
      <c r="H7" s="508"/>
      <c r="I7" s="43"/>
      <c r="J7" s="43"/>
      <c r="K7" s="42"/>
      <c r="L7" s="42"/>
    </row>
    <row r="8" spans="1:12" ht="14.5" customHeight="1" x14ac:dyDescent="0.35">
      <c r="C8" s="169" t="s">
        <v>141</v>
      </c>
      <c r="D8" s="175" t="s">
        <v>142</v>
      </c>
      <c r="E8" s="43" t="s">
        <v>126</v>
      </c>
      <c r="F8" s="160">
        <f>F9*F10</f>
        <v>486454993.8526715</v>
      </c>
      <c r="G8" s="508"/>
      <c r="H8" s="508"/>
      <c r="I8" s="43"/>
      <c r="J8" s="43"/>
      <c r="K8" s="42"/>
      <c r="L8" s="42"/>
    </row>
    <row r="9" spans="1:12" ht="14.5" customHeight="1" x14ac:dyDescent="0.35">
      <c r="C9" s="169"/>
      <c r="D9" s="175" t="s">
        <v>460</v>
      </c>
      <c r="E9" s="43" t="s">
        <v>126</v>
      </c>
      <c r="F9" s="187">
        <f>5014999.93662548*100</f>
        <v>501499993.66254795</v>
      </c>
      <c r="G9" s="392" t="s">
        <v>461</v>
      </c>
      <c r="H9" s="392"/>
      <c r="J9" s="43"/>
      <c r="K9" s="42"/>
      <c r="L9" s="42"/>
    </row>
    <row r="10" spans="1:12" ht="14.5" customHeight="1" x14ac:dyDescent="0.35">
      <c r="C10" s="169"/>
      <c r="D10" s="175" t="s">
        <v>462</v>
      </c>
      <c r="E10" s="43" t="s">
        <v>73</v>
      </c>
      <c r="F10" s="187">
        <v>0.97</v>
      </c>
      <c r="G10" s="392" t="s">
        <v>463</v>
      </c>
      <c r="H10" s="392"/>
      <c r="I10" s="43"/>
      <c r="J10" s="43"/>
      <c r="K10" s="42"/>
      <c r="L10" s="42"/>
    </row>
    <row r="11" spans="1:12" ht="14.5" customHeight="1" x14ac:dyDescent="0.35">
      <c r="C11" s="169" t="s">
        <v>144</v>
      </c>
      <c r="D11" s="175" t="s">
        <v>145</v>
      </c>
      <c r="E11" s="43" t="s">
        <v>126</v>
      </c>
      <c r="F11" s="187">
        <f>66920775+61978705</f>
        <v>128899480</v>
      </c>
      <c r="G11" s="392" t="s">
        <v>146</v>
      </c>
      <c r="H11" s="392"/>
      <c r="I11" s="232"/>
      <c r="J11" s="43"/>
      <c r="K11" s="42"/>
      <c r="L11" s="42"/>
    </row>
    <row r="12" spans="1:12" ht="14.5" customHeight="1" x14ac:dyDescent="0.35">
      <c r="C12" s="169" t="s">
        <v>147</v>
      </c>
      <c r="D12" s="175" t="s">
        <v>148</v>
      </c>
      <c r="E12" s="169" t="s">
        <v>126</v>
      </c>
      <c r="F12" s="187">
        <v>1400000</v>
      </c>
      <c r="G12" s="392" t="s">
        <v>149</v>
      </c>
      <c r="H12" s="392"/>
      <c r="I12" s="43"/>
      <c r="J12" s="43"/>
      <c r="K12" s="42"/>
      <c r="L12" s="42"/>
    </row>
    <row r="13" spans="1:12" ht="36.65" customHeight="1" x14ac:dyDescent="0.35">
      <c r="C13" s="169" t="s">
        <v>464</v>
      </c>
      <c r="D13" s="175" t="s">
        <v>465</v>
      </c>
      <c r="E13" s="169" t="s">
        <v>129</v>
      </c>
      <c r="F13" s="259">
        <f>LBFOR/F7</f>
        <v>1.0554386647948856E-4</v>
      </c>
      <c r="G13" s="508"/>
      <c r="H13" s="508"/>
      <c r="I13" s="43"/>
      <c r="J13" s="43"/>
      <c r="K13" s="42"/>
      <c r="L13" s="42"/>
    </row>
    <row r="14" spans="1:12" ht="36.65" customHeight="1" x14ac:dyDescent="0.35">
      <c r="C14" s="169" t="s">
        <v>466</v>
      </c>
      <c r="D14" s="48" t="s">
        <v>467</v>
      </c>
      <c r="E14" s="43" t="s">
        <v>129</v>
      </c>
      <c r="F14" s="354">
        <f>COLB/CLB</f>
        <v>1.5183415681136612</v>
      </c>
      <c r="G14" s="508"/>
      <c r="H14" s="508"/>
      <c r="I14" s="233"/>
      <c r="J14" s="43"/>
      <c r="K14" s="42"/>
      <c r="L14" s="42"/>
    </row>
    <row r="15" spans="1:12" ht="14.5" customHeight="1" x14ac:dyDescent="0.35">
      <c r="C15" s="169" t="s">
        <v>468</v>
      </c>
      <c r="D15" s="48" t="s">
        <v>469</v>
      </c>
      <c r="E15" s="43" t="s">
        <v>129</v>
      </c>
      <c r="F15" s="189">
        <f>PROPIMM*(1-F13)*F14</f>
        <v>3.2960390137641696E-2</v>
      </c>
      <c r="G15" s="508"/>
      <c r="H15" s="508"/>
      <c r="I15" s="43"/>
      <c r="J15" s="43"/>
      <c r="K15" s="42"/>
      <c r="L15" s="42"/>
    </row>
    <row r="16" spans="1:12" ht="14.5" customHeight="1" x14ac:dyDescent="0.35">
      <c r="C16" s="169"/>
      <c r="D16" s="48"/>
      <c r="E16" s="43"/>
      <c r="F16" s="43"/>
      <c r="G16" s="43"/>
      <c r="H16" s="43"/>
      <c r="I16" s="43"/>
      <c r="J16" s="43"/>
      <c r="K16" s="42"/>
      <c r="L16" s="42"/>
    </row>
    <row r="17" spans="1:12" ht="14.5" customHeight="1" x14ac:dyDescent="0.35">
      <c r="C17" s="169"/>
      <c r="D17" s="48"/>
      <c r="E17" s="43"/>
      <c r="F17" s="43"/>
      <c r="G17" s="43"/>
      <c r="H17" s="43"/>
      <c r="I17" s="43"/>
      <c r="J17" s="43"/>
      <c r="K17" s="42"/>
      <c r="L17" s="42"/>
    </row>
    <row r="18" spans="1:12" s="4" customFormat="1" x14ac:dyDescent="0.35">
      <c r="C18" s="446" t="s">
        <v>67</v>
      </c>
      <c r="D18" s="462" t="s">
        <v>68</v>
      </c>
      <c r="E18" s="446" t="s">
        <v>69</v>
      </c>
      <c r="F18" s="446" t="s">
        <v>290</v>
      </c>
      <c r="G18" s="446"/>
      <c r="H18" s="446"/>
      <c r="I18" s="446" t="s">
        <v>90</v>
      </c>
      <c r="J18" s="43"/>
      <c r="K18" s="42"/>
      <c r="L18" s="42"/>
    </row>
    <row r="19" spans="1:12" ht="14.5" customHeight="1" x14ac:dyDescent="0.35">
      <c r="B19" s="4"/>
      <c r="C19" s="446"/>
      <c r="D19" s="462"/>
      <c r="E19" s="446"/>
      <c r="F19" s="30">
        <v>2019</v>
      </c>
      <c r="G19" s="30">
        <v>2020</v>
      </c>
      <c r="H19" s="30">
        <v>2021</v>
      </c>
      <c r="I19" s="446"/>
      <c r="J19" s="43"/>
      <c r="K19" s="42"/>
      <c r="L19" s="42"/>
    </row>
    <row r="20" spans="1:12" ht="21.65" hidden="1" customHeight="1" x14ac:dyDescent="0.35">
      <c r="A20" s="505" t="s">
        <v>470</v>
      </c>
      <c r="B20" s="495" t="s">
        <v>433</v>
      </c>
      <c r="C20" s="169" t="s">
        <v>453</v>
      </c>
      <c r="D20" s="175" t="s">
        <v>454</v>
      </c>
      <c r="E20" s="236" t="s">
        <v>348</v>
      </c>
      <c r="F20" s="246">
        <f>(F21-F22)*LKPROP</f>
        <v>-239.20533083998498</v>
      </c>
      <c r="G20" s="246">
        <f>(G21-G22)*LKPROP</f>
        <v>10.080769928407083</v>
      </c>
      <c r="H20" s="246">
        <f t="shared" ref="H20" si="0">(H21-H22)*LKPROP</f>
        <v>848.26495385958208</v>
      </c>
      <c r="I20" s="243"/>
      <c r="J20" s="43"/>
      <c r="K20" s="42"/>
      <c r="L20" s="42"/>
    </row>
    <row r="21" spans="1:12" ht="14" hidden="1" customHeight="1" x14ac:dyDescent="0.35">
      <c r="A21" s="505"/>
      <c r="B21" s="495"/>
      <c r="C21" s="169" t="s">
        <v>471</v>
      </c>
      <c r="D21" s="175" t="s">
        <v>472</v>
      </c>
      <c r="E21" s="236" t="s">
        <v>348</v>
      </c>
      <c r="F21" s="246">
        <f>Leakage_AS!H8</f>
        <v>0</v>
      </c>
      <c r="G21" s="246">
        <f>Leakage_AS!I8</f>
        <v>11587.521345881425</v>
      </c>
      <c r="H21" s="246">
        <f>Leakage_AS!J8</f>
        <v>50073.151808736708</v>
      </c>
      <c r="I21" s="243"/>
      <c r="J21" s="43"/>
      <c r="K21" s="42"/>
      <c r="L21" s="42"/>
    </row>
    <row r="22" spans="1:12" ht="14.5" hidden="1" customHeight="1" x14ac:dyDescent="0.35">
      <c r="A22" s="505"/>
      <c r="B22" s="495"/>
      <c r="C22" s="169" t="s">
        <v>473</v>
      </c>
      <c r="D22" s="175" t="s">
        <v>474</v>
      </c>
      <c r="E22" s="236" t="s">
        <v>348</v>
      </c>
      <c r="F22" s="246">
        <f>Leakage_AS!H11</f>
        <v>7257.3573868837721</v>
      </c>
      <c r="G22" s="246">
        <f>Leakage_AS!I11</f>
        <v>11281.676363879997</v>
      </c>
      <c r="H22" s="246">
        <f>Leakage_AS!J11</f>
        <v>24337.262448287678</v>
      </c>
      <c r="I22" s="243"/>
      <c r="J22" s="43"/>
      <c r="K22" s="42"/>
      <c r="L22" s="42"/>
    </row>
    <row r="23" spans="1:12" ht="23.5" hidden="1" customHeight="1" x14ac:dyDescent="0.35">
      <c r="A23" s="505"/>
      <c r="B23" s="4"/>
      <c r="C23" s="244" t="s">
        <v>475</v>
      </c>
      <c r="D23" s="234"/>
      <c r="E23" s="245" t="s">
        <v>348</v>
      </c>
      <c r="F23" s="247">
        <f>IF(F20&lt;=0,0,F20)</f>
        <v>0</v>
      </c>
      <c r="G23" s="247">
        <f t="shared" ref="G23:H23" si="1">IF(G20&lt;=0,0,G20)</f>
        <v>10.080769928407083</v>
      </c>
      <c r="H23" s="247">
        <f t="shared" si="1"/>
        <v>848.26495385958208</v>
      </c>
      <c r="I23" s="235">
        <f>SUM(F23:H23)</f>
        <v>858.34572378798919</v>
      </c>
      <c r="J23" s="43"/>
      <c r="K23" s="42"/>
      <c r="L23" s="42"/>
    </row>
    <row r="24" spans="1:12" ht="15.65" customHeight="1" x14ac:dyDescent="0.35">
      <c r="A24" s="505"/>
      <c r="B24" s="499" t="s">
        <v>448</v>
      </c>
      <c r="C24" s="169" t="s">
        <v>476</v>
      </c>
      <c r="D24" s="175" t="s">
        <v>477</v>
      </c>
      <c r="E24" s="236" t="s">
        <v>126</v>
      </c>
      <c r="F24" s="160">
        <f>F25*PROPIMM</f>
        <v>3.3939936780311322</v>
      </c>
      <c r="G24" s="160">
        <f t="shared" ref="G24:H24" si="2">G25*PROPIMM</f>
        <v>5.240466922555882</v>
      </c>
      <c r="H24" s="160">
        <f t="shared" si="2"/>
        <v>11.385608037931805</v>
      </c>
      <c r="I24" s="43"/>
      <c r="J24" s="43"/>
      <c r="K24" s="42"/>
      <c r="L24" s="42"/>
    </row>
    <row r="25" spans="1:12" ht="15.65" customHeight="1" x14ac:dyDescent="0.35">
      <c r="A25" s="505"/>
      <c r="B25" s="499"/>
      <c r="C25" s="43" t="s">
        <v>478</v>
      </c>
      <c r="D25" s="175" t="s">
        <v>479</v>
      </c>
      <c r="E25" s="236" t="s">
        <v>126</v>
      </c>
      <c r="F25" s="160">
        <f>Deforestation!D10</f>
        <v>156.32999999999879</v>
      </c>
      <c r="G25" s="160">
        <f>Deforestation!E10</f>
        <v>241.38</v>
      </c>
      <c r="H25" s="160">
        <f>Deforestation!F10</f>
        <v>524.42999999999961</v>
      </c>
      <c r="I25" s="43"/>
      <c r="J25" s="43"/>
      <c r="K25" s="42"/>
      <c r="L25" s="42"/>
    </row>
    <row r="26" spans="1:12" ht="15.65" customHeight="1" x14ac:dyDescent="0.35">
      <c r="A26" s="505"/>
      <c r="B26" s="499"/>
      <c r="C26" s="169" t="s">
        <v>480</v>
      </c>
      <c r="D26" s="175" t="s">
        <v>481</v>
      </c>
      <c r="E26" s="236" t="s">
        <v>126</v>
      </c>
      <c r="F26" s="246">
        <f>Deforestation!D20</f>
        <v>0</v>
      </c>
      <c r="G26" s="246">
        <f>Deforestation!E20</f>
        <v>0</v>
      </c>
      <c r="H26" s="246">
        <f>Deforestation!F20</f>
        <v>0</v>
      </c>
      <c r="I26" s="43"/>
      <c r="J26" s="43"/>
      <c r="K26" s="42"/>
      <c r="L26" s="42"/>
    </row>
    <row r="27" spans="1:12" ht="15.65" customHeight="1" x14ac:dyDescent="0.35">
      <c r="A27" s="505"/>
      <c r="B27" s="499"/>
      <c r="C27" s="169" t="s">
        <v>482</v>
      </c>
      <c r="D27" s="175" t="s">
        <v>483</v>
      </c>
      <c r="E27" s="236" t="s">
        <v>126</v>
      </c>
      <c r="F27" s="246">
        <f>Deforestation!D29</f>
        <v>0</v>
      </c>
      <c r="G27" s="246">
        <f>Deforestation!E29</f>
        <v>0</v>
      </c>
      <c r="H27" s="246">
        <f>Deforestation!F29</f>
        <v>0</v>
      </c>
      <c r="J27" s="43"/>
      <c r="K27" s="42"/>
      <c r="L27" s="42"/>
    </row>
    <row r="28" spans="1:12" ht="21" x14ac:dyDescent="0.35">
      <c r="A28" s="505"/>
      <c r="B28" s="499"/>
      <c r="C28" s="43" t="s">
        <v>484</v>
      </c>
      <c r="D28" s="175" t="s">
        <v>485</v>
      </c>
      <c r="E28" s="236" t="s">
        <v>126</v>
      </c>
      <c r="F28" s="160">
        <f t="shared" ref="F28:H28" si="3">(F26+F27)*PROPIMM</f>
        <v>0</v>
      </c>
      <c r="G28" s="160">
        <f t="shared" si="3"/>
        <v>0</v>
      </c>
      <c r="H28" s="160">
        <f t="shared" si="3"/>
        <v>0</v>
      </c>
      <c r="I28" s="43"/>
      <c r="J28" s="43"/>
      <c r="K28" s="42"/>
      <c r="L28" s="42"/>
    </row>
    <row r="29" spans="1:12" ht="21" x14ac:dyDescent="0.35">
      <c r="A29" s="505"/>
      <c r="B29" s="499"/>
      <c r="C29" s="43" t="s">
        <v>486</v>
      </c>
      <c r="D29" s="175" t="s">
        <v>487</v>
      </c>
      <c r="E29" s="236" t="s">
        <v>126</v>
      </c>
      <c r="F29" s="160">
        <f>F24-F28</f>
        <v>3.3939936780311322</v>
      </c>
      <c r="G29" s="160">
        <f t="shared" ref="G29:H29" si="4">G24-G28</f>
        <v>5.240466922555882</v>
      </c>
      <c r="H29" s="160">
        <f t="shared" si="4"/>
        <v>11.385608037931805</v>
      </c>
      <c r="I29" s="43"/>
      <c r="J29" s="43"/>
      <c r="K29" s="42"/>
      <c r="L29" s="42"/>
    </row>
    <row r="30" spans="1:12" ht="14" customHeight="1" x14ac:dyDescent="0.35">
      <c r="A30" s="505"/>
      <c r="B30" s="499"/>
      <c r="C30" s="43" t="s">
        <v>453</v>
      </c>
      <c r="D30" s="175" t="s">
        <v>488</v>
      </c>
      <c r="E30" s="43"/>
      <c r="F30" s="160">
        <f>IF(F29&lt;=0,0,(COLB*F29))</f>
        <v>1962.0224920207568</v>
      </c>
      <c r="G30" s="160">
        <f t="shared" ref="G30:H30" si="5">IF(G29&lt;=0,0,(COLB*G29))</f>
        <v>3029.4440550372542</v>
      </c>
      <c r="H30" s="160">
        <f t="shared" si="5"/>
        <v>6581.8681986212032</v>
      </c>
      <c r="I30" s="43"/>
      <c r="J30" s="43"/>
      <c r="K30" s="42"/>
      <c r="L30" s="42"/>
    </row>
    <row r="31" spans="1:12" ht="30" customHeight="1" x14ac:dyDescent="0.35">
      <c r="A31" s="505"/>
      <c r="B31" s="43"/>
      <c r="C31" s="257" t="s">
        <v>489</v>
      </c>
      <c r="D31" s="237"/>
      <c r="E31" s="248" t="s">
        <v>348</v>
      </c>
      <c r="F31" s="238">
        <f>F30</f>
        <v>1962.0224920207568</v>
      </c>
      <c r="G31" s="238">
        <f t="shared" ref="G31:H31" si="6">G30</f>
        <v>3029.4440550372542</v>
      </c>
      <c r="H31" s="238">
        <f t="shared" si="6"/>
        <v>6581.8681986212032</v>
      </c>
      <c r="I31" s="241">
        <f>SUM(F31:H31)</f>
        <v>11573.334745679214</v>
      </c>
      <c r="J31" s="43"/>
      <c r="K31" s="42"/>
      <c r="L31" s="42"/>
    </row>
    <row r="32" spans="1:12" ht="27.65" hidden="1" customHeight="1" x14ac:dyDescent="0.35">
      <c r="A32" s="505"/>
      <c r="B32" s="506" t="s">
        <v>490</v>
      </c>
      <c r="C32" s="507"/>
      <c r="D32" s="239"/>
      <c r="E32" s="239" t="s">
        <v>491</v>
      </c>
      <c r="F32" s="240">
        <f>F31</f>
        <v>1962.0224920207568</v>
      </c>
      <c r="G32" s="240">
        <f t="shared" ref="G32:H32" si="7">G31</f>
        <v>3029.4440550372542</v>
      </c>
      <c r="H32" s="240">
        <f t="shared" si="7"/>
        <v>6581.8681986212032</v>
      </c>
      <c r="I32" s="242">
        <f>SUM(F32:H32)</f>
        <v>11573.334745679214</v>
      </c>
      <c r="J32" s="43"/>
      <c r="K32" s="42"/>
      <c r="L32" s="42"/>
    </row>
    <row r="33" spans="1:17" ht="15.65" customHeight="1" x14ac:dyDescent="0.35">
      <c r="B33" s="43"/>
      <c r="C33" s="43"/>
      <c r="D33" s="43"/>
      <c r="E33" s="43"/>
      <c r="F33" s="43"/>
      <c r="G33" s="43"/>
      <c r="H33" s="43"/>
      <c r="I33" s="43"/>
      <c r="J33" s="43"/>
      <c r="K33" s="42"/>
      <c r="L33" s="42"/>
    </row>
    <row r="34" spans="1:17" x14ac:dyDescent="0.35">
      <c r="A34" s="43"/>
      <c r="B34" s="43"/>
      <c r="C34" s="43"/>
      <c r="D34" s="43"/>
      <c r="E34" s="43"/>
      <c r="F34" s="43"/>
      <c r="G34" s="43"/>
      <c r="H34" s="43"/>
      <c r="I34" s="43"/>
      <c r="J34" s="43"/>
      <c r="K34" s="233"/>
      <c r="L34" s="233"/>
      <c r="M34" s="233"/>
      <c r="N34" s="233"/>
      <c r="O34" s="233"/>
      <c r="P34" s="233"/>
      <c r="Q34" s="233"/>
    </row>
    <row r="35" spans="1:17" x14ac:dyDescent="0.35">
      <c r="A35" s="43"/>
      <c r="B35" s="43"/>
      <c r="C35" s="43"/>
      <c r="D35" s="43"/>
      <c r="E35" s="43"/>
      <c r="F35" s="43"/>
      <c r="G35" s="43"/>
      <c r="H35" s="43"/>
      <c r="I35" s="43"/>
      <c r="J35" s="43"/>
      <c r="K35" s="233"/>
      <c r="L35" s="233"/>
      <c r="M35" s="233"/>
      <c r="N35" s="233"/>
      <c r="O35" s="233"/>
      <c r="P35" s="233"/>
      <c r="Q35" s="233"/>
    </row>
    <row r="37" spans="1:17" ht="14" customHeight="1" x14ac:dyDescent="0.35"/>
  </sheetData>
  <mergeCells count="21">
    <mergeCell ref="C1:I1"/>
    <mergeCell ref="B2:K2"/>
    <mergeCell ref="F5:F6"/>
    <mergeCell ref="G5:H6"/>
    <mergeCell ref="I18:I19"/>
    <mergeCell ref="G13:H13"/>
    <mergeCell ref="G14:H14"/>
    <mergeCell ref="D5:D6"/>
    <mergeCell ref="E5:E6"/>
    <mergeCell ref="A20:A32"/>
    <mergeCell ref="B32:C32"/>
    <mergeCell ref="C5:C6"/>
    <mergeCell ref="B20:B22"/>
    <mergeCell ref="G15:H15"/>
    <mergeCell ref="G8:H8"/>
    <mergeCell ref="G7:H7"/>
    <mergeCell ref="B24:B30"/>
    <mergeCell ref="C18:C19"/>
    <mergeCell ref="D18:D19"/>
    <mergeCell ref="E18:E19"/>
    <mergeCell ref="F18:H18"/>
  </mergeCells>
  <hyperlinks>
    <hyperlink ref="G10" r:id="rId1" display="http://meioambiente.am.gov.br/unidade-de-conservacao/" xr:uid="{EEB04C0D-FF6D-4F48-ABDC-AAD5CC76FD44}"/>
    <hyperlink ref="G9" r:id="rId2" display="https://www.ibge.gov.br/geociencias/cartas-e-mapas/mapas-regionais/15819-amazonia-legal.html?=&amp;t=acesso-ao-produto" xr:uid="{3AEAC382-1642-446A-A3A4-933F9DD9D40E}"/>
  </hyperlinks>
  <pageMargins left="0.511811024" right="0.511811024" top="0.78740157499999996" bottom="0.78740157499999996" header="0.31496062000000002" footer="0.31496062000000002"/>
  <pageSetup paperSize="9" orientation="portrait" r:id="rId3"/>
  <headerFooter>
    <oddHeader>&amp;L&amp;G</oddHeader>
  </headerFooter>
  <drawing r:id="rId4"/>
  <legacyDrawingHF r:id="rId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61F09-501C-4126-81DD-B050E2F1DF65}">
  <sheetPr>
    <tabColor theme="5"/>
  </sheetPr>
  <dimension ref="A1:F6"/>
  <sheetViews>
    <sheetView showGridLines="0" workbookViewId="0">
      <selection activeCell="D11" sqref="D11"/>
    </sheetView>
  </sheetViews>
  <sheetFormatPr defaultRowHeight="14.5" x14ac:dyDescent="0.35"/>
  <cols>
    <col min="1" max="1" width="31.1796875" style="363" customWidth="1"/>
    <col min="3" max="5" width="13.81640625" bestFit="1" customWidth="1"/>
    <col min="6" max="6" width="14" bestFit="1" customWidth="1"/>
  </cols>
  <sheetData>
    <row r="1" spans="1:6" x14ac:dyDescent="0.35">
      <c r="A1" s="509" t="s">
        <v>492</v>
      </c>
      <c r="B1" s="510" t="s">
        <v>69</v>
      </c>
      <c r="C1" s="511" t="s">
        <v>290</v>
      </c>
      <c r="D1" s="511"/>
      <c r="E1" s="511"/>
      <c r="F1" s="511" t="s">
        <v>90</v>
      </c>
    </row>
    <row r="2" spans="1:6" x14ac:dyDescent="0.35">
      <c r="A2" s="509"/>
      <c r="B2" s="510"/>
      <c r="C2" s="355" t="s">
        <v>493</v>
      </c>
      <c r="D2" s="355" t="s">
        <v>494</v>
      </c>
      <c r="E2" s="355" t="s">
        <v>495</v>
      </c>
      <c r="F2" s="511"/>
    </row>
    <row r="3" spans="1:6" ht="15.5" x14ac:dyDescent="0.35">
      <c r="A3" s="361" t="s">
        <v>496</v>
      </c>
      <c r="B3" s="356" t="s">
        <v>497</v>
      </c>
      <c r="C3" s="358">
        <f>Leakage_ME!E32</f>
        <v>2522.0315985479788</v>
      </c>
      <c r="D3" s="358">
        <f>Leakage_ME!F32</f>
        <v>3894.1213283279976</v>
      </c>
      <c r="E3" s="358">
        <f>Leakage_ME!G32</f>
        <v>8460.4940269079889</v>
      </c>
      <c r="F3" s="359">
        <f>SUM(C3:E3)</f>
        <v>14876.646953783966</v>
      </c>
    </row>
    <row r="4" spans="1:6" ht="27" x14ac:dyDescent="0.35">
      <c r="A4" s="361" t="s">
        <v>498</v>
      </c>
      <c r="B4" s="356" t="s">
        <v>499</v>
      </c>
      <c r="C4" s="358">
        <f>Leakage_AS!H16</f>
        <v>0</v>
      </c>
      <c r="D4" s="358">
        <f>Leakage_AS!I16</f>
        <v>0</v>
      </c>
      <c r="E4" s="358">
        <f>Leakage_AS!J16</f>
        <v>0</v>
      </c>
      <c r="F4" s="359">
        <f>SUM(C4:E4)</f>
        <v>0</v>
      </c>
    </row>
    <row r="5" spans="1:6" ht="27" x14ac:dyDescent="0.35">
      <c r="A5" s="361" t="s">
        <v>500</v>
      </c>
      <c r="B5" s="356" t="s">
        <v>499</v>
      </c>
      <c r="C5" s="358">
        <f>Leakage_Outside!F31</f>
        <v>1962.0224920207568</v>
      </c>
      <c r="D5" s="358">
        <f>Leakage_Outside!G31</f>
        <v>3029.4440550372542</v>
      </c>
      <c r="E5" s="358">
        <f>Leakage_Outside!H31</f>
        <v>6581.8681986212032</v>
      </c>
      <c r="F5" s="359">
        <f>SUM(C5:E5)</f>
        <v>11573.334745679214</v>
      </c>
    </row>
    <row r="6" spans="1:6" ht="15.5" x14ac:dyDescent="0.35">
      <c r="A6" s="362" t="s">
        <v>501</v>
      </c>
      <c r="B6" s="357" t="s">
        <v>502</v>
      </c>
      <c r="C6" s="360">
        <f>SUM(C3:C5)</f>
        <v>4484.0540905687358</v>
      </c>
      <c r="D6" s="360">
        <f t="shared" ref="D6:E6" si="0">SUM(D3:D5)</f>
        <v>6923.5653833652523</v>
      </c>
      <c r="E6" s="360">
        <f t="shared" si="0"/>
        <v>15042.362225529192</v>
      </c>
      <c r="F6" s="360">
        <f>SUM(F3:F5)</f>
        <v>26449.98169946318</v>
      </c>
    </row>
  </sheetData>
  <sheetProtection sheet="1" objects="1" scenarios="1"/>
  <mergeCells count="4">
    <mergeCell ref="A1:A2"/>
    <mergeCell ref="B1:B2"/>
    <mergeCell ref="C1:E1"/>
    <mergeCell ref="F1:F2"/>
  </mergeCells>
  <pageMargins left="0.511811024" right="0.511811024" top="0.78740157499999996" bottom="0.78740157499999996" header="0.31496062000000002" footer="0.3149606200000000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D3E57-8439-4D0D-B0DA-6A4DE7943989}">
  <sheetPr>
    <tabColor theme="1" tint="4.9989318521683403E-2"/>
  </sheetPr>
  <dimension ref="A1:J35"/>
  <sheetViews>
    <sheetView showGridLines="0" zoomScale="115" zoomScaleNormal="115" workbookViewId="0">
      <selection activeCell="C16" sqref="C16"/>
    </sheetView>
  </sheetViews>
  <sheetFormatPr defaultRowHeight="14.5" x14ac:dyDescent="0.35"/>
  <cols>
    <col min="1" max="1" width="35.453125" customWidth="1"/>
    <col min="2" max="2" width="8.1796875" bestFit="1" customWidth="1"/>
    <col min="3" max="3" width="16.1796875" bestFit="1" customWidth="1"/>
    <col min="4" max="5" width="17.1796875" bestFit="1" customWidth="1"/>
    <col min="6" max="6" width="13.81640625" bestFit="1" customWidth="1"/>
    <col min="7" max="7" width="11.81640625" bestFit="1" customWidth="1"/>
    <col min="8" max="8" width="19.1796875" customWidth="1"/>
    <col min="9" max="9" width="10.1796875" customWidth="1"/>
  </cols>
  <sheetData>
    <row r="1" spans="1:10" x14ac:dyDescent="0.35">
      <c r="A1" s="40" t="s">
        <v>0</v>
      </c>
      <c r="B1" s="432" t="str">
        <f>Projeto</f>
        <v>FLORESTAL SANTA MARIA - CARAGUA AGRONEGÓCIOS LTDA</v>
      </c>
      <c r="C1" s="432"/>
      <c r="D1" s="432"/>
      <c r="E1" s="432"/>
      <c r="F1" s="432"/>
      <c r="G1" s="432"/>
      <c r="H1" s="432"/>
      <c r="I1" s="432"/>
      <c r="J1" s="41"/>
    </row>
    <row r="2" spans="1:10" x14ac:dyDescent="0.35">
      <c r="A2" s="432" t="s">
        <v>503</v>
      </c>
      <c r="B2" s="432"/>
      <c r="C2" s="432"/>
      <c r="D2" s="432"/>
      <c r="E2" s="432"/>
      <c r="F2" s="432"/>
      <c r="G2" s="432"/>
      <c r="H2" s="432"/>
      <c r="I2" s="432"/>
      <c r="J2" s="432"/>
    </row>
    <row r="5" spans="1:10" ht="14.5" customHeight="1" x14ac:dyDescent="0.35">
      <c r="A5" s="513" t="s">
        <v>67</v>
      </c>
      <c r="B5" s="51" t="s">
        <v>69</v>
      </c>
      <c r="C5" s="446" t="s">
        <v>290</v>
      </c>
      <c r="D5" s="446"/>
      <c r="E5" s="446"/>
      <c r="F5" s="446" t="s">
        <v>90</v>
      </c>
    </row>
    <row r="6" spans="1:10" x14ac:dyDescent="0.35">
      <c r="A6" s="513"/>
      <c r="B6" s="51"/>
      <c r="C6" s="30" t="s">
        <v>493</v>
      </c>
      <c r="D6" s="30" t="s">
        <v>494</v>
      </c>
      <c r="E6" s="30" t="s">
        <v>495</v>
      </c>
      <c r="F6" s="446"/>
    </row>
    <row r="7" spans="1:10" hidden="1" x14ac:dyDescent="0.35">
      <c r="A7" s="156"/>
      <c r="B7" s="46"/>
      <c r="C7" s="154"/>
      <c r="D7" s="154"/>
      <c r="E7" s="154"/>
    </row>
    <row r="8" spans="1:10" hidden="1" x14ac:dyDescent="0.35">
      <c r="A8" s="156"/>
      <c r="B8" s="153"/>
      <c r="C8" s="153"/>
      <c r="D8" s="153"/>
      <c r="E8" s="153"/>
      <c r="F8" s="153"/>
    </row>
    <row r="9" spans="1:10" ht="16.5" x14ac:dyDescent="0.35">
      <c r="A9" s="5" t="s">
        <v>525</v>
      </c>
      <c r="B9" s="43" t="s">
        <v>351</v>
      </c>
      <c r="C9" s="91">
        <f>'BL-GHG'!D21</f>
        <v>72573.573868837717</v>
      </c>
      <c r="D9" s="91">
        <f>'BL-GHG'!E21</f>
        <v>112816.76363879994</v>
      </c>
      <c r="E9" s="91">
        <f>'BL-GHG'!F21</f>
        <v>243372.62448287685</v>
      </c>
      <c r="F9" s="366">
        <f>SUM(C9:E9)</f>
        <v>428762.96199051454</v>
      </c>
    </row>
    <row r="10" spans="1:10" ht="16.5" x14ac:dyDescent="0.35">
      <c r="A10" s="5" t="s">
        <v>526</v>
      </c>
      <c r="B10" s="43" t="s">
        <v>351</v>
      </c>
      <c r="C10" s="91">
        <f>PER!D30</f>
        <v>0</v>
      </c>
      <c r="D10" s="91">
        <f>PER!E30</f>
        <v>0</v>
      </c>
      <c r="E10" s="91">
        <f>PER!F30</f>
        <v>0</v>
      </c>
      <c r="F10" s="366">
        <f>SUM(C10:E10)</f>
        <v>0</v>
      </c>
    </row>
    <row r="11" spans="1:10" ht="16.5" x14ac:dyDescent="0.35">
      <c r="A11" s="512" t="s">
        <v>504</v>
      </c>
      <c r="B11" s="43" t="s">
        <v>351</v>
      </c>
      <c r="C11" s="91">
        <f>'Total Leakage_Ex-post'!C6</f>
        <v>4484.0540905687358</v>
      </c>
      <c r="D11" s="91">
        <f>'Total Leakage_Ex-post'!D6</f>
        <v>6923.5653833652523</v>
      </c>
      <c r="E11" s="91">
        <f>'Total Leakage_Ex-post'!E6</f>
        <v>15042.362225529192</v>
      </c>
      <c r="F11" s="366">
        <f>SUM(C11:E11)</f>
        <v>26449.98169946318</v>
      </c>
      <c r="I11" s="155"/>
    </row>
    <row r="12" spans="1:10" x14ac:dyDescent="0.35">
      <c r="A12" s="512"/>
      <c r="B12" s="43" t="s">
        <v>73</v>
      </c>
      <c r="C12" s="91">
        <f>IFERROR(C11/C13,0)</f>
        <v>6.5855275601456625E-2</v>
      </c>
      <c r="D12" s="404">
        <f t="shared" ref="D12:E12" si="0">D11/D13</f>
        <v>6.5382531620815587E-2</v>
      </c>
      <c r="E12" s="404">
        <f t="shared" si="0"/>
        <v>6.587984473374435E-2</v>
      </c>
      <c r="F12" s="366"/>
      <c r="I12" s="155"/>
    </row>
    <row r="13" spans="1:10" ht="16.5" x14ac:dyDescent="0.35">
      <c r="A13" s="5" t="s">
        <v>527</v>
      </c>
      <c r="B13" s="43" t="s">
        <v>351</v>
      </c>
      <c r="C13" s="365">
        <f>C9-(C10+C11)</f>
        <v>68089.519778268979</v>
      </c>
      <c r="D13" s="365">
        <f>D9-(D10+D11)</f>
        <v>105893.19825543469</v>
      </c>
      <c r="E13" s="365">
        <f t="shared" ref="E13" si="1">E9-(E10+E11)</f>
        <v>228330.26225734767</v>
      </c>
      <c r="F13" s="366">
        <f>SUM(C13:E13)</f>
        <v>402312.98029105132</v>
      </c>
    </row>
    <row r="14" spans="1:10" ht="14.5" customHeight="1" x14ac:dyDescent="0.35">
      <c r="A14" s="5" t="s">
        <v>505</v>
      </c>
      <c r="B14" s="43" t="s">
        <v>351</v>
      </c>
      <c r="C14" s="365">
        <f>C13*Buffer</f>
        <v>6808.9519778268987</v>
      </c>
      <c r="D14" s="365">
        <f t="shared" ref="D14:E14" si="2">D13*Buffer</f>
        <v>10589.319825543469</v>
      </c>
      <c r="E14" s="365">
        <f t="shared" si="2"/>
        <v>22833.026225734768</v>
      </c>
      <c r="F14" s="366">
        <f>SUM(C14:E14)</f>
        <v>40231.298029105135</v>
      </c>
    </row>
    <row r="15" spans="1:10" ht="16.5" x14ac:dyDescent="0.35">
      <c r="A15" s="5" t="s">
        <v>506</v>
      </c>
      <c r="B15" s="43" t="s">
        <v>351</v>
      </c>
      <c r="C15" s="405">
        <f>ROUNDDOWN(C13-C14,0)</f>
        <v>61280</v>
      </c>
      <c r="D15" s="405">
        <f t="shared" ref="D15:E15" si="3">ROUNDDOWN(D13-D14,0)</f>
        <v>95303</v>
      </c>
      <c r="E15" s="405">
        <f t="shared" si="3"/>
        <v>205497</v>
      </c>
      <c r="F15" s="406">
        <f>SUM(C15:E15)</f>
        <v>362080</v>
      </c>
      <c r="I15" s="155"/>
    </row>
    <row r="16" spans="1:10" x14ac:dyDescent="0.35">
      <c r="C16" s="24"/>
      <c r="D16" s="24"/>
      <c r="E16" s="24"/>
      <c r="F16" s="24"/>
      <c r="G16" s="24"/>
      <c r="H16" s="24"/>
    </row>
    <row r="17" spans="3:8" x14ac:dyDescent="0.35">
      <c r="C17" s="399"/>
      <c r="D17" s="399"/>
      <c r="E17" s="399"/>
    </row>
    <row r="18" spans="3:8" x14ac:dyDescent="0.35">
      <c r="C18" s="155"/>
      <c r="D18" s="155"/>
      <c r="E18" s="155"/>
    </row>
    <row r="20" spans="3:8" x14ac:dyDescent="0.35">
      <c r="H20" s="24"/>
    </row>
    <row r="21" spans="3:8" x14ac:dyDescent="0.35">
      <c r="H21" s="24"/>
    </row>
    <row r="22" spans="3:8" x14ac:dyDescent="0.35">
      <c r="H22" s="24"/>
    </row>
    <row r="23" spans="3:8" x14ac:dyDescent="0.35">
      <c r="H23" s="197"/>
    </row>
    <row r="28" spans="3:8" x14ac:dyDescent="0.35">
      <c r="H28" s="99"/>
    </row>
    <row r="29" spans="3:8" x14ac:dyDescent="0.35">
      <c r="H29" s="99"/>
    </row>
    <row r="31" spans="3:8" x14ac:dyDescent="0.35">
      <c r="H31" s="197"/>
    </row>
    <row r="32" spans="3:8" ht="12.65" customHeight="1" x14ac:dyDescent="0.35"/>
    <row r="34" spans="8:10" x14ac:dyDescent="0.35">
      <c r="H34" s="197"/>
      <c r="I34" s="197"/>
      <c r="J34" s="197"/>
    </row>
    <row r="35" spans="8:10" x14ac:dyDescent="0.35">
      <c r="H35" s="197"/>
    </row>
  </sheetData>
  <mergeCells count="6">
    <mergeCell ref="A11:A12"/>
    <mergeCell ref="B1:I1"/>
    <mergeCell ref="A2:J2"/>
    <mergeCell ref="F5:F6"/>
    <mergeCell ref="A5:A6"/>
    <mergeCell ref="C5:E5"/>
  </mergeCells>
  <pageMargins left="0.511811024" right="0.511811024" top="0.78740157499999996" bottom="0.78740157499999996" header="0.31496062000000002" footer="0.31496062000000002"/>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DA275-CEA2-4BA9-BCFD-D0FF0F6A4D79}">
  <dimension ref="A1:G15"/>
  <sheetViews>
    <sheetView showGridLines="0" tabSelected="1" workbookViewId="0">
      <selection activeCell="E6" sqref="E6"/>
    </sheetView>
  </sheetViews>
  <sheetFormatPr defaultRowHeight="14.5" x14ac:dyDescent="0.35"/>
  <cols>
    <col min="1" max="1" width="28.1796875" customWidth="1"/>
    <col min="2" max="2" width="27.81640625" customWidth="1"/>
    <col min="3" max="3" width="16.54296875" customWidth="1"/>
    <col min="4" max="4" width="25.90625" customWidth="1"/>
    <col min="5" max="7" width="16.54296875" customWidth="1"/>
  </cols>
  <sheetData>
    <row r="1" spans="1:7" ht="42" x14ac:dyDescent="0.35">
      <c r="A1" s="514" t="s">
        <v>290</v>
      </c>
      <c r="B1" s="370" t="s">
        <v>533</v>
      </c>
      <c r="C1" s="370" t="s">
        <v>534</v>
      </c>
      <c r="D1" s="369" t="s">
        <v>507</v>
      </c>
      <c r="E1" s="370" t="str">
        <f>'Resume_Ex-post'!A13</f>
        <v>Net GHG emission reductions</v>
      </c>
      <c r="F1" s="370" t="str">
        <f>'Resume_Ex-post'!A14</f>
        <v>Buffer pool allocation</v>
      </c>
      <c r="G1" s="370" t="s">
        <v>535</v>
      </c>
    </row>
    <row r="2" spans="1:7" ht="16.5" thickBot="1" x14ac:dyDescent="0.4">
      <c r="A2" s="515"/>
      <c r="B2" s="371" t="s">
        <v>508</v>
      </c>
      <c r="C2" s="371" t="s">
        <v>508</v>
      </c>
      <c r="D2" s="371" t="s">
        <v>508</v>
      </c>
      <c r="E2" s="371" t="s">
        <v>508</v>
      </c>
      <c r="F2" s="371" t="s">
        <v>508</v>
      </c>
      <c r="G2" s="371" t="s">
        <v>508</v>
      </c>
    </row>
    <row r="3" spans="1:7" ht="15" thickBot="1" x14ac:dyDescent="0.4">
      <c r="A3" s="372" t="s">
        <v>493</v>
      </c>
      <c r="B3" s="373">
        <f>'Resume_Ex-post'!$C$9</f>
        <v>72573.573868837717</v>
      </c>
      <c r="C3" s="373">
        <f>'Resume_Ex-post'!$C$10</f>
        <v>0</v>
      </c>
      <c r="D3" s="373">
        <f>'Resume_Ex-post'!$C$11</f>
        <v>4484.0540905687358</v>
      </c>
      <c r="E3" s="373">
        <f>'Resume_Ex-post'!$C$13</f>
        <v>68089.519778268979</v>
      </c>
      <c r="F3" s="373">
        <f>'Resume_Ex-post'!$C$14</f>
        <v>6808.9519778268987</v>
      </c>
      <c r="G3" s="407">
        <f>'Resume_Ex-post'!$C$15</f>
        <v>61280</v>
      </c>
    </row>
    <row r="4" spans="1:7" ht="15" thickBot="1" x14ac:dyDescent="0.4">
      <c r="A4" s="372" t="s">
        <v>494</v>
      </c>
      <c r="B4" s="373">
        <f>'Resume_Ex-post'!$D$9</f>
        <v>112816.76363879994</v>
      </c>
      <c r="C4" s="373">
        <f>'Resume_Ex-post'!$D$10</f>
        <v>0</v>
      </c>
      <c r="D4" s="373">
        <f>'Resume_Ex-post'!$D$11</f>
        <v>6923.5653833652523</v>
      </c>
      <c r="E4" s="373">
        <f>'Resume_Ex-post'!$D$13</f>
        <v>105893.19825543469</v>
      </c>
      <c r="F4" s="373">
        <f>'Resume_Ex-post'!$D$14</f>
        <v>10589.319825543469</v>
      </c>
      <c r="G4" s="407">
        <f>'Resume_Ex-post'!$D$15</f>
        <v>95303</v>
      </c>
    </row>
    <row r="5" spans="1:7" ht="15" thickBot="1" x14ac:dyDescent="0.4">
      <c r="A5" s="372" t="s">
        <v>495</v>
      </c>
      <c r="B5" s="373">
        <f>'Resume_Ex-post'!$E$9</f>
        <v>243372.62448287685</v>
      </c>
      <c r="C5" s="373">
        <f>'Resume_Ex-post'!$E$10</f>
        <v>0</v>
      </c>
      <c r="D5" s="373">
        <f>'Resume_Ex-post'!$E$11</f>
        <v>15042.362225529192</v>
      </c>
      <c r="E5" s="373">
        <f>'Resume_Ex-post'!$E$13</f>
        <v>228330.26225734767</v>
      </c>
      <c r="F5" s="373">
        <f>'Resume_Ex-post'!$E$14</f>
        <v>22833.026225734768</v>
      </c>
      <c r="G5" s="407">
        <f>'Resume_Ex-post'!$E$15</f>
        <v>205497</v>
      </c>
    </row>
    <row r="6" spans="1:7" ht="15" thickBot="1" x14ac:dyDescent="0.4">
      <c r="A6" s="374" t="s">
        <v>509</v>
      </c>
      <c r="B6" s="375">
        <f t="shared" ref="B6:G6" si="0">SUM(B3:B5)</f>
        <v>428762.96199051454</v>
      </c>
      <c r="C6" s="375">
        <f t="shared" si="0"/>
        <v>0</v>
      </c>
      <c r="D6" s="375">
        <f t="shared" si="0"/>
        <v>26449.98169946318</v>
      </c>
      <c r="E6" s="375">
        <f t="shared" si="0"/>
        <v>402312.98029105132</v>
      </c>
      <c r="F6" s="375">
        <f t="shared" si="0"/>
        <v>40231.298029105135</v>
      </c>
      <c r="G6" s="408">
        <f t="shared" si="0"/>
        <v>362080</v>
      </c>
    </row>
    <row r="13" spans="1:7" ht="15" thickBot="1" x14ac:dyDescent="0.4"/>
    <row r="14" spans="1:7" ht="42.5" thickBot="1" x14ac:dyDescent="0.4">
      <c r="A14" s="409" t="s">
        <v>531</v>
      </c>
      <c r="B14" s="410" t="s">
        <v>532</v>
      </c>
      <c r="C14" s="410" t="s">
        <v>528</v>
      </c>
      <c r="D14" s="410" t="s">
        <v>529</v>
      </c>
    </row>
    <row r="15" spans="1:7" ht="84.5" thickBot="1" x14ac:dyDescent="0.4">
      <c r="A15" s="411">
        <v>370151.6731138911</v>
      </c>
      <c r="B15" s="412">
        <f>SUM(E3:E5)</f>
        <v>402312.98029105132</v>
      </c>
      <c r="C15" s="413">
        <f>B15/A15-1</f>
        <v>8.6886834541646252E-2</v>
      </c>
      <c r="D15" s="414" t="s">
        <v>530</v>
      </c>
    </row>
  </sheetData>
  <mergeCells count="1">
    <mergeCell ref="A1:A2"/>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67B43-6146-4356-A7E7-447E539C9A77}">
  <sheetPr codeName="Planilha2">
    <tabColor theme="1"/>
  </sheetPr>
  <dimension ref="A1:M76"/>
  <sheetViews>
    <sheetView showGridLines="0" zoomScale="115" zoomScaleNormal="115" workbookViewId="0">
      <selection activeCell="D8" sqref="D8"/>
    </sheetView>
  </sheetViews>
  <sheetFormatPr defaultRowHeight="14.5" x14ac:dyDescent="0.35"/>
  <cols>
    <col min="1" max="1" width="14.81640625" bestFit="1" customWidth="1"/>
    <col min="2" max="2" width="50.1796875" customWidth="1"/>
    <col min="3" max="3" width="11.1796875" bestFit="1" customWidth="1"/>
    <col min="4" max="4" width="19" style="338" bestFit="1" customWidth="1"/>
    <col min="5" max="5" width="36.1796875" customWidth="1"/>
    <col min="6" max="6" width="19.54296875" customWidth="1"/>
    <col min="7" max="8" width="13.54296875" bestFit="1" customWidth="1"/>
    <col min="10" max="10" width="26.453125" customWidth="1"/>
    <col min="12" max="12" width="11.1796875" bestFit="1" customWidth="1"/>
    <col min="16" max="16" width="8.81640625" customWidth="1"/>
  </cols>
  <sheetData>
    <row r="1" spans="1:12" ht="25.25" customHeight="1" x14ac:dyDescent="0.35">
      <c r="A1" s="40" t="s">
        <v>0</v>
      </c>
      <c r="B1" s="432" t="str">
        <f>Projeto</f>
        <v>FLORESTAL SANTA MARIA - CARAGUA AGRONEGÓCIOS LTDA</v>
      </c>
      <c r="C1" s="432"/>
      <c r="D1" s="432"/>
      <c r="E1" s="432"/>
      <c r="F1" s="432"/>
      <c r="G1" s="432"/>
      <c r="H1" s="41"/>
      <c r="I1" s="41"/>
    </row>
    <row r="2" spans="1:12" x14ac:dyDescent="0.35">
      <c r="A2" s="416" t="s">
        <v>63</v>
      </c>
      <c r="B2" s="416"/>
      <c r="C2" s="416"/>
      <c r="D2" s="416"/>
      <c r="E2" s="416"/>
      <c r="F2" s="416"/>
      <c r="G2" s="416"/>
      <c r="H2" s="416"/>
      <c r="I2" s="416"/>
    </row>
    <row r="4" spans="1:12" x14ac:dyDescent="0.35">
      <c r="A4" s="416" t="s">
        <v>64</v>
      </c>
      <c r="B4" s="416"/>
      <c r="C4" s="416"/>
      <c r="D4" s="416"/>
      <c r="E4" s="432" t="s">
        <v>65</v>
      </c>
      <c r="G4" s="416" t="s">
        <v>66</v>
      </c>
      <c r="H4" s="435"/>
      <c r="I4" s="435"/>
    </row>
    <row r="5" spans="1:12" ht="16.5" x14ac:dyDescent="0.45">
      <c r="A5" s="3" t="s">
        <v>67</v>
      </c>
      <c r="B5" s="364" t="s">
        <v>68</v>
      </c>
      <c r="C5" s="3" t="s">
        <v>69</v>
      </c>
      <c r="D5" s="333" t="s">
        <v>70</v>
      </c>
      <c r="E5" s="432"/>
      <c r="G5" s="3" t="s">
        <v>71</v>
      </c>
      <c r="H5" s="3" t="s">
        <v>72</v>
      </c>
      <c r="I5" s="3" t="s">
        <v>73</v>
      </c>
    </row>
    <row r="6" spans="1:12" ht="35" customHeight="1" x14ac:dyDescent="0.35">
      <c r="A6" s="7" t="s">
        <v>74</v>
      </c>
      <c r="B6" s="19" t="s">
        <v>75</v>
      </c>
      <c r="C6" s="20"/>
      <c r="D6" s="337">
        <v>1.66</v>
      </c>
      <c r="E6" s="221" t="s">
        <v>76</v>
      </c>
      <c r="G6" s="16" t="s">
        <v>77</v>
      </c>
      <c r="H6" s="1"/>
      <c r="I6" s="15">
        <v>0.91</v>
      </c>
    </row>
    <row r="7" spans="1:12" ht="22" customHeight="1" x14ac:dyDescent="0.35">
      <c r="A7" s="1" t="str">
        <f>B7</f>
        <v>Root-shoot ratio</v>
      </c>
      <c r="B7" s="17" t="s">
        <v>78</v>
      </c>
      <c r="C7" s="13"/>
      <c r="D7" s="403">
        <v>0.221</v>
      </c>
      <c r="E7" s="221" t="s">
        <v>524</v>
      </c>
      <c r="G7" s="2" t="s">
        <v>79</v>
      </c>
      <c r="H7" s="249">
        <f>8.7*CF*tC_to_tCO2</f>
        <v>14.992999999999997</v>
      </c>
      <c r="I7" s="213">
        <v>0.9</v>
      </c>
      <c r="J7" s="222" t="s">
        <v>80</v>
      </c>
    </row>
    <row r="8" spans="1:12" ht="22" x14ac:dyDescent="0.35">
      <c r="A8" s="1" t="s">
        <v>81</v>
      </c>
      <c r="B8" s="17" t="s">
        <v>82</v>
      </c>
      <c r="C8" s="13" t="s">
        <v>83</v>
      </c>
      <c r="D8" s="334">
        <v>0.47</v>
      </c>
      <c r="E8" s="221" t="s">
        <v>84</v>
      </c>
      <c r="G8" s="84" t="s">
        <v>85</v>
      </c>
      <c r="H8" s="251">
        <f>22.9*tC_to_tCO2</f>
        <v>83.966666666666654</v>
      </c>
      <c r="I8" s="252">
        <v>0.1</v>
      </c>
      <c r="J8" s="222" t="s">
        <v>86</v>
      </c>
    </row>
    <row r="9" spans="1:12" ht="17.5" x14ac:dyDescent="0.45">
      <c r="A9" s="1" t="s">
        <v>87</v>
      </c>
      <c r="B9" s="17" t="s">
        <v>88</v>
      </c>
      <c r="C9" s="13" t="s">
        <v>89</v>
      </c>
      <c r="D9" s="335">
        <f>44/12</f>
        <v>3.6666666666666665</v>
      </c>
      <c r="E9" s="14"/>
      <c r="G9" s="250" t="s">
        <v>90</v>
      </c>
      <c r="H9" s="217">
        <f>SUM(H7:H8)</f>
        <v>98.959666666666649</v>
      </c>
      <c r="I9" s="217">
        <f>SUM(I7:I8)</f>
        <v>1</v>
      </c>
    </row>
    <row r="10" spans="1:12" ht="17.5" x14ac:dyDescent="0.45">
      <c r="A10" s="1" t="s">
        <v>91</v>
      </c>
      <c r="B10" s="18" t="s">
        <v>92</v>
      </c>
      <c r="C10" s="13" t="s">
        <v>93</v>
      </c>
      <c r="D10" s="335">
        <f>1/D9</f>
        <v>0.27272727272727276</v>
      </c>
      <c r="E10" s="14"/>
      <c r="G10" s="1"/>
      <c r="H10" s="1"/>
      <c r="I10" s="1"/>
    </row>
    <row r="11" spans="1:12" ht="19.25" customHeight="1" x14ac:dyDescent="0.35">
      <c r="B11" s="11"/>
      <c r="C11" s="11"/>
      <c r="D11" s="336"/>
      <c r="E11" s="12"/>
      <c r="G11" s="2" t="s">
        <v>94</v>
      </c>
      <c r="H11" s="229">
        <v>0.1</v>
      </c>
      <c r="I11" s="213">
        <v>0.13500000000000001</v>
      </c>
      <c r="J11" s="368" t="s">
        <v>95</v>
      </c>
    </row>
    <row r="12" spans="1:12" x14ac:dyDescent="0.35">
      <c r="B12" s="11"/>
      <c r="C12" s="11"/>
      <c r="D12" s="336"/>
      <c r="E12" s="12"/>
      <c r="G12" s="1"/>
      <c r="H12" s="1"/>
      <c r="I12" s="214"/>
    </row>
    <row r="13" spans="1:12" x14ac:dyDescent="0.35">
      <c r="A13" s="416" t="s">
        <v>96</v>
      </c>
      <c r="B13" s="416"/>
      <c r="C13" s="416"/>
      <c r="D13" s="416"/>
      <c r="E13" s="432" t="s">
        <v>65</v>
      </c>
      <c r="I13" s="214"/>
    </row>
    <row r="14" spans="1:12" x14ac:dyDescent="0.35">
      <c r="A14" s="3" t="s">
        <v>67</v>
      </c>
      <c r="B14" s="3" t="s">
        <v>68</v>
      </c>
      <c r="C14" s="3" t="s">
        <v>69</v>
      </c>
      <c r="D14" s="333" t="s">
        <v>70</v>
      </c>
      <c r="E14" s="432"/>
      <c r="I14" s="214"/>
    </row>
    <row r="15" spans="1:12" ht="31.5" x14ac:dyDescent="0.35">
      <c r="A15" s="7" t="s">
        <v>97</v>
      </c>
      <c r="B15" s="19" t="s">
        <v>98</v>
      </c>
      <c r="C15" s="20" t="s">
        <v>99</v>
      </c>
      <c r="D15" s="335">
        <v>0.67</v>
      </c>
      <c r="E15" s="231" t="s">
        <v>100</v>
      </c>
      <c r="I15" s="190"/>
      <c r="L15" s="99"/>
    </row>
    <row r="16" spans="1:12" ht="37.25" customHeight="1" x14ac:dyDescent="0.35">
      <c r="A16" s="7" t="s">
        <v>101</v>
      </c>
      <c r="B16" s="19" t="s">
        <v>102</v>
      </c>
      <c r="C16" s="20" t="s">
        <v>99</v>
      </c>
      <c r="D16" s="337">
        <v>0.28999999999999998</v>
      </c>
      <c r="E16" s="219" t="s">
        <v>103</v>
      </c>
    </row>
    <row r="17" spans="1:13" ht="32.5" x14ac:dyDescent="0.35">
      <c r="A17" s="7" t="s">
        <v>104</v>
      </c>
      <c r="B17" s="19" t="s">
        <v>105</v>
      </c>
      <c r="C17" s="20" t="s">
        <v>106</v>
      </c>
      <c r="D17" s="334">
        <v>0.59</v>
      </c>
      <c r="E17" s="221" t="s">
        <v>523</v>
      </c>
    </row>
    <row r="19" spans="1:13" x14ac:dyDescent="0.35">
      <c r="G19" s="24"/>
      <c r="H19" s="24"/>
      <c r="L19" s="190"/>
      <c r="M19" s="190"/>
    </row>
    <row r="20" spans="1:13" x14ac:dyDescent="0.35">
      <c r="D20" s="395"/>
      <c r="G20" s="24"/>
      <c r="H20" s="24"/>
      <c r="I20" s="315"/>
      <c r="J20" s="315"/>
      <c r="L20" s="190"/>
      <c r="M20" s="218"/>
    </row>
    <row r="21" spans="1:13" x14ac:dyDescent="0.35">
      <c r="G21" s="24"/>
      <c r="H21" s="24"/>
      <c r="I21" s="315"/>
      <c r="J21" s="315"/>
    </row>
    <row r="22" spans="1:13" x14ac:dyDescent="0.35">
      <c r="A22" s="416" t="s">
        <v>96</v>
      </c>
      <c r="B22" s="416"/>
      <c r="C22" s="416"/>
      <c r="D22" s="416"/>
      <c r="E22" s="432" t="s">
        <v>65</v>
      </c>
      <c r="G22" s="155"/>
    </row>
    <row r="23" spans="1:13" x14ac:dyDescent="0.35">
      <c r="A23" s="3" t="s">
        <v>67</v>
      </c>
      <c r="B23" s="3" t="s">
        <v>68</v>
      </c>
      <c r="C23" s="3" t="s">
        <v>69</v>
      </c>
      <c r="D23" s="333" t="s">
        <v>70</v>
      </c>
      <c r="E23" s="432"/>
      <c r="G23" s="99"/>
      <c r="H23" s="99"/>
    </row>
    <row r="24" spans="1:13" ht="29" x14ac:dyDescent="0.35">
      <c r="B24" s="300" t="s">
        <v>107</v>
      </c>
      <c r="C24" s="105" t="s">
        <v>108</v>
      </c>
      <c r="D24" s="339">
        <f>SUM('Biomass inventory'!C17:F17)</f>
        <v>15771732.309027323</v>
      </c>
      <c r="E24" s="367" t="s">
        <v>109</v>
      </c>
      <c r="G24" s="155"/>
    </row>
    <row r="25" spans="1:13" ht="29" x14ac:dyDescent="0.35">
      <c r="B25" s="300" t="s">
        <v>110</v>
      </c>
      <c r="C25" s="105" t="s">
        <v>108</v>
      </c>
      <c r="D25" s="339">
        <f>SUM('Biomass inventory'!C28:F28)</f>
        <v>8747468.1212396361</v>
      </c>
      <c r="E25" s="367" t="s">
        <v>111</v>
      </c>
      <c r="G25" s="155"/>
      <c r="H25" s="197"/>
    </row>
    <row r="26" spans="1:13" ht="29" customHeight="1" x14ac:dyDescent="0.45">
      <c r="A26" s="1" t="s">
        <v>112</v>
      </c>
      <c r="B26" s="300" t="s">
        <v>113</v>
      </c>
      <c r="C26" s="105" t="s">
        <v>73</v>
      </c>
      <c r="D26" s="340">
        <f>D25/D24</f>
        <v>0.55462950738980121</v>
      </c>
      <c r="E26" s="302"/>
    </row>
    <row r="27" spans="1:13" ht="16.5" x14ac:dyDescent="0.35">
      <c r="B27" s="300" t="s">
        <v>114</v>
      </c>
      <c r="C27" s="105" t="s">
        <v>115</v>
      </c>
      <c r="D27" s="341">
        <f>45000000000</f>
        <v>45000000000</v>
      </c>
      <c r="E27" s="434" t="s">
        <v>116</v>
      </c>
    </row>
    <row r="28" spans="1:13" ht="16.5" x14ac:dyDescent="0.35">
      <c r="B28" s="300" t="s">
        <v>117</v>
      </c>
      <c r="C28" s="105" t="s">
        <v>115</v>
      </c>
      <c r="D28" s="341">
        <f>14000000000</f>
        <v>14000000000</v>
      </c>
      <c r="E28" s="434"/>
    </row>
    <row r="29" spans="1:13" ht="30" x14ac:dyDescent="0.45">
      <c r="A29" s="1" t="s">
        <v>118</v>
      </c>
      <c r="B29" s="4" t="s">
        <v>119</v>
      </c>
      <c r="C29" s="230" t="s">
        <v>73</v>
      </c>
      <c r="D29" s="340">
        <f>D28/D27</f>
        <v>0.31111111111111112</v>
      </c>
      <c r="E29" s="302"/>
    </row>
    <row r="30" spans="1:13" ht="16.5" x14ac:dyDescent="0.45">
      <c r="A30" s="1" t="s">
        <v>120</v>
      </c>
      <c r="B30" s="4"/>
      <c r="C30" s="230"/>
      <c r="D30" s="342">
        <f>D29-D26</f>
        <v>-0.2435183962786901</v>
      </c>
      <c r="E30" s="299"/>
    </row>
    <row r="31" spans="1:13" ht="27" customHeight="1" x14ac:dyDescent="0.35">
      <c r="A31" s="7" t="s">
        <v>121</v>
      </c>
      <c r="B31" s="49" t="s">
        <v>122</v>
      </c>
      <c r="C31" s="7"/>
      <c r="D31" s="343">
        <f>IF(D30&lt;-0.15,0.7,IF(D30&gt;0.15,0.2,0.4))</f>
        <v>0.7</v>
      </c>
      <c r="E31" s="301" t="s">
        <v>123</v>
      </c>
    </row>
    <row r="32" spans="1:13" x14ac:dyDescent="0.35">
      <c r="A32" s="210" t="s">
        <v>124</v>
      </c>
      <c r="B32" s="211" t="s">
        <v>125</v>
      </c>
      <c r="C32" s="7" t="s">
        <v>126</v>
      </c>
      <c r="D32" s="343">
        <v>37590.03</v>
      </c>
      <c r="E32" s="212"/>
      <c r="M32" s="197"/>
    </row>
    <row r="33" spans="1:8" ht="29" x14ac:dyDescent="0.35">
      <c r="A33" s="7" t="s">
        <v>127</v>
      </c>
      <c r="B33" s="49" t="s">
        <v>128</v>
      </c>
      <c r="C33" s="7" t="s">
        <v>129</v>
      </c>
      <c r="D33" s="344">
        <f>(D35-(D37-D36))/D34</f>
        <v>2.1710443792177819E-2</v>
      </c>
    </row>
    <row r="34" spans="1:8" x14ac:dyDescent="0.35">
      <c r="A34" s="7"/>
      <c r="B34" s="49" t="s">
        <v>130</v>
      </c>
      <c r="C34" s="7" t="s">
        <v>131</v>
      </c>
      <c r="D34" s="339">
        <v>39861</v>
      </c>
      <c r="E34" s="220" t="s">
        <v>132</v>
      </c>
    </row>
    <row r="35" spans="1:8" ht="16.5" x14ac:dyDescent="0.35">
      <c r="A35" s="7"/>
      <c r="B35" s="49" t="s">
        <v>133</v>
      </c>
      <c r="C35" s="7" t="s">
        <v>134</v>
      </c>
      <c r="D35" s="339">
        <v>1257.2</v>
      </c>
      <c r="E35" s="220" t="s">
        <v>132</v>
      </c>
    </row>
    <row r="36" spans="1:8" ht="16.5" x14ac:dyDescent="0.35">
      <c r="A36" s="7"/>
      <c r="B36" s="49" t="s">
        <v>135</v>
      </c>
      <c r="C36" s="7" t="s">
        <v>134</v>
      </c>
      <c r="D36" s="339">
        <f>606/(2020-2015)</f>
        <v>121.2</v>
      </c>
      <c r="E36" s="220" t="s">
        <v>136</v>
      </c>
    </row>
    <row r="37" spans="1:8" ht="16.5" x14ac:dyDescent="0.35">
      <c r="A37" s="7"/>
      <c r="B37" s="49" t="s">
        <v>137</v>
      </c>
      <c r="C37" s="7" t="s">
        <v>134</v>
      </c>
      <c r="D37" s="339">
        <f>2565/(2020-2015)</f>
        <v>513</v>
      </c>
      <c r="E37" s="220" t="s">
        <v>138</v>
      </c>
    </row>
    <row r="38" spans="1:8" ht="29" x14ac:dyDescent="0.35">
      <c r="A38" s="7" t="s">
        <v>139</v>
      </c>
      <c r="B38" s="49" t="s">
        <v>140</v>
      </c>
      <c r="C38" s="7" t="s">
        <v>126</v>
      </c>
      <c r="D38" s="339">
        <f>Leakage_Outside!F7</f>
        <v>356155513.8526715</v>
      </c>
      <c r="E38" s="209"/>
    </row>
    <row r="39" spans="1:8" x14ac:dyDescent="0.35">
      <c r="A39" s="7" t="s">
        <v>141</v>
      </c>
      <c r="B39" s="49" t="s">
        <v>142</v>
      </c>
      <c r="C39" s="7" t="s">
        <v>126</v>
      </c>
      <c r="D39" s="339">
        <f>Leakage_Outside!F8</f>
        <v>486454993.8526715</v>
      </c>
      <c r="E39" s="220" t="s">
        <v>143</v>
      </c>
    </row>
    <row r="40" spans="1:8" x14ac:dyDescent="0.35">
      <c r="A40" s="7" t="s">
        <v>144</v>
      </c>
      <c r="B40" s="49" t="s">
        <v>145</v>
      </c>
      <c r="C40" s="7" t="s">
        <v>126</v>
      </c>
      <c r="D40" s="339">
        <f>Leakage_Outside!F11</f>
        <v>128899480</v>
      </c>
      <c r="E40" s="220" t="s">
        <v>146</v>
      </c>
      <c r="F40" s="206"/>
      <c r="G40" s="206"/>
      <c r="H40" s="206"/>
    </row>
    <row r="41" spans="1:8" ht="47.5" customHeight="1" x14ac:dyDescent="0.35">
      <c r="A41" s="7" t="s">
        <v>147</v>
      </c>
      <c r="B41" s="49" t="s">
        <v>148</v>
      </c>
      <c r="C41" s="7" t="s">
        <v>126</v>
      </c>
      <c r="D41" s="339">
        <f>Leakage_Outside!F12</f>
        <v>1400000</v>
      </c>
      <c r="E41" s="219" t="s">
        <v>149</v>
      </c>
      <c r="F41" s="206"/>
      <c r="G41" s="206"/>
      <c r="H41" s="206"/>
    </row>
    <row r="42" spans="1:8" ht="43.5" x14ac:dyDescent="0.35">
      <c r="A42" s="7" t="s">
        <v>150</v>
      </c>
      <c r="B42" s="49" t="s">
        <v>151</v>
      </c>
      <c r="C42" s="7" t="s">
        <v>129</v>
      </c>
      <c r="D42" s="345">
        <f>Leakage_Outside!F13</f>
        <v>1.0554386647948856E-4</v>
      </c>
      <c r="E42" s="188"/>
    </row>
    <row r="43" spans="1:8" ht="16.25" customHeight="1" x14ac:dyDescent="0.45">
      <c r="A43" s="7" t="s">
        <v>152</v>
      </c>
      <c r="B43" s="49" t="s">
        <v>153</v>
      </c>
      <c r="C43" t="s">
        <v>154</v>
      </c>
      <c r="D43" s="346">
        <f>157.66*tC_to_tCO2</f>
        <v>578.08666666666659</v>
      </c>
      <c r="E43" s="220" t="s">
        <v>155</v>
      </c>
      <c r="F43" s="208"/>
      <c r="G43" s="208"/>
      <c r="H43" s="208"/>
    </row>
    <row r="44" spans="1:8" ht="17.5" x14ac:dyDescent="0.45">
      <c r="A44" s="7" t="s">
        <v>156</v>
      </c>
      <c r="B44" s="49" t="s">
        <v>157</v>
      </c>
      <c r="C44" t="s">
        <v>154</v>
      </c>
      <c r="D44" s="343">
        <f>Biomass!C17</f>
        <v>380.73558598864082</v>
      </c>
      <c r="E44" s="50"/>
      <c r="F44" s="50"/>
    </row>
    <row r="45" spans="1:8" ht="58" x14ac:dyDescent="0.35">
      <c r="A45" s="7" t="s">
        <v>158</v>
      </c>
      <c r="B45" s="49" t="s">
        <v>159</v>
      </c>
      <c r="C45" s="7"/>
      <c r="D45" s="339">
        <f>Leakage_Outside!F14</f>
        <v>1.5183415681136612</v>
      </c>
      <c r="E45" s="332"/>
    </row>
    <row r="46" spans="1:8" ht="29" x14ac:dyDescent="0.35">
      <c r="A46" s="7" t="s">
        <v>160</v>
      </c>
      <c r="B46" s="49" t="s">
        <v>161</v>
      </c>
      <c r="C46" s="7" t="s">
        <v>129</v>
      </c>
      <c r="D46" s="347">
        <f>Leakage_Outside!F15</f>
        <v>3.2960390137641696E-2</v>
      </c>
    </row>
    <row r="49" spans="1:6" x14ac:dyDescent="0.35">
      <c r="A49" s="416" t="s">
        <v>162</v>
      </c>
      <c r="B49" s="416"/>
      <c r="C49" s="416"/>
      <c r="D49" s="416"/>
      <c r="E49" s="432" t="s">
        <v>65</v>
      </c>
    </row>
    <row r="50" spans="1:6" x14ac:dyDescent="0.35">
      <c r="A50" s="3" t="s">
        <v>67</v>
      </c>
      <c r="B50" s="3" t="s">
        <v>68</v>
      </c>
      <c r="C50" s="3" t="s">
        <v>69</v>
      </c>
      <c r="D50" s="333" t="s">
        <v>163</v>
      </c>
      <c r="E50" s="432"/>
    </row>
    <row r="51" spans="1:6" ht="72" customHeight="1" x14ac:dyDescent="0.35">
      <c r="A51" s="7" t="s">
        <v>164</v>
      </c>
      <c r="B51" s="49" t="s">
        <v>165</v>
      </c>
      <c r="C51" s="7"/>
      <c r="D51" s="348">
        <v>0.59</v>
      </c>
      <c r="E51" s="223" t="s">
        <v>166</v>
      </c>
      <c r="F51" s="1"/>
    </row>
    <row r="52" spans="1:6" ht="43.25" customHeight="1" x14ac:dyDescent="0.35">
      <c r="A52" s="7" t="s">
        <v>167</v>
      </c>
      <c r="B52" s="433" t="s">
        <v>168</v>
      </c>
      <c r="C52" s="215" t="s">
        <v>169</v>
      </c>
      <c r="D52" s="349">
        <v>4.8</v>
      </c>
      <c r="E52" s="224" t="s">
        <v>170</v>
      </c>
      <c r="F52" s="1"/>
    </row>
    <row r="53" spans="1:6" ht="44.5" customHeight="1" x14ac:dyDescent="0.35">
      <c r="A53" s="7" t="s">
        <v>171</v>
      </c>
      <c r="B53" s="433"/>
      <c r="C53" s="215" t="s">
        <v>169</v>
      </c>
      <c r="D53" s="349">
        <v>0.2</v>
      </c>
      <c r="E53" s="224" t="s">
        <v>170</v>
      </c>
      <c r="F53" s="1"/>
    </row>
    <row r="54" spans="1:6" ht="24.65" customHeight="1" x14ac:dyDescent="0.35">
      <c r="A54" s="7" t="s">
        <v>172</v>
      </c>
      <c r="B54" s="415" t="s">
        <v>173</v>
      </c>
      <c r="C54" s="7" t="s">
        <v>174</v>
      </c>
      <c r="D54" s="348">
        <v>28</v>
      </c>
      <c r="E54" s="224" t="s">
        <v>175</v>
      </c>
      <c r="F54" s="1"/>
    </row>
    <row r="55" spans="1:6" ht="23" customHeight="1" x14ac:dyDescent="0.35">
      <c r="A55" s="7" t="s">
        <v>176</v>
      </c>
      <c r="B55" s="415"/>
      <c r="C55" s="7" t="s">
        <v>174</v>
      </c>
      <c r="D55" s="348">
        <v>265</v>
      </c>
      <c r="E55" s="224" t="s">
        <v>175</v>
      </c>
      <c r="F55" s="1"/>
    </row>
    <row r="56" spans="1:6" x14ac:dyDescent="0.35">
      <c r="A56" s="7" t="s">
        <v>177</v>
      </c>
      <c r="B56" s="92" t="s">
        <v>178</v>
      </c>
      <c r="C56" s="7"/>
      <c r="D56" s="348">
        <v>1E-3</v>
      </c>
      <c r="E56" s="225"/>
      <c r="F56" s="1"/>
    </row>
    <row r="57" spans="1:6" ht="32.5" x14ac:dyDescent="0.35">
      <c r="A57" s="7" t="s">
        <v>179</v>
      </c>
      <c r="B57" s="111" t="s">
        <v>180</v>
      </c>
      <c r="C57" s="7"/>
      <c r="D57" s="348">
        <v>0.1</v>
      </c>
      <c r="E57" s="227" t="s">
        <v>181</v>
      </c>
      <c r="F57" s="1"/>
    </row>
    <row r="58" spans="1:6" ht="32.5" x14ac:dyDescent="0.35">
      <c r="A58" s="105" t="s">
        <v>182</v>
      </c>
      <c r="B58" s="105" t="s">
        <v>183</v>
      </c>
      <c r="C58" s="105" t="s">
        <v>184</v>
      </c>
      <c r="D58" s="394">
        <v>35.08</v>
      </c>
      <c r="E58" s="227" t="s">
        <v>185</v>
      </c>
      <c r="F58" s="1"/>
    </row>
    <row r="60" spans="1:6" hidden="1" x14ac:dyDescent="0.35">
      <c r="A60" s="416" t="s">
        <v>186</v>
      </c>
      <c r="B60" s="416"/>
      <c r="C60" s="416"/>
      <c r="D60" s="416"/>
      <c r="E60" s="432" t="s">
        <v>65</v>
      </c>
    </row>
    <row r="61" spans="1:6" hidden="1" x14ac:dyDescent="0.35">
      <c r="A61" s="3" t="s">
        <v>67</v>
      </c>
      <c r="B61" s="3" t="s">
        <v>68</v>
      </c>
      <c r="C61" s="3" t="s">
        <v>69</v>
      </c>
      <c r="D61" s="333" t="s">
        <v>70</v>
      </c>
      <c r="E61" s="432"/>
    </row>
    <row r="62" spans="1:6" ht="16.5" hidden="1" x14ac:dyDescent="0.45">
      <c r="A62" s="105" t="s">
        <v>187</v>
      </c>
      <c r="B62" s="105" t="s">
        <v>188</v>
      </c>
      <c r="C62" s="105" t="s">
        <v>189</v>
      </c>
      <c r="D62" s="350">
        <v>250</v>
      </c>
      <c r="E62" s="227" t="s">
        <v>190</v>
      </c>
    </row>
    <row r="63" spans="1:6" ht="16.5" hidden="1" x14ac:dyDescent="0.45">
      <c r="A63" s="105" t="s">
        <v>191</v>
      </c>
      <c r="B63" s="105" t="s">
        <v>192</v>
      </c>
      <c r="C63" s="105"/>
      <c r="D63" s="350">
        <v>3</v>
      </c>
      <c r="E63" s="227" t="s">
        <v>190</v>
      </c>
    </row>
    <row r="64" spans="1:6" ht="17.5" hidden="1" x14ac:dyDescent="0.45">
      <c r="A64" s="105" t="s">
        <v>193</v>
      </c>
      <c r="B64" s="105" t="s">
        <v>194</v>
      </c>
      <c r="C64" s="202" t="s">
        <v>195</v>
      </c>
      <c r="D64" s="351">
        <f>(D71+D72)*1/10000*WSKID</f>
        <v>0.1800874878595928</v>
      </c>
      <c r="E64" s="226"/>
      <c r="F64" s="123"/>
    </row>
    <row r="65" spans="1:7" ht="36.65" hidden="1" customHeight="1" x14ac:dyDescent="0.35">
      <c r="A65" s="7" t="s">
        <v>196</v>
      </c>
      <c r="B65" s="111" t="s">
        <v>197</v>
      </c>
      <c r="C65" s="1"/>
      <c r="D65" s="348">
        <v>0.24</v>
      </c>
      <c r="E65" s="227" t="s">
        <v>198</v>
      </c>
      <c r="F65" s="123"/>
    </row>
    <row r="66" spans="1:7" ht="32" hidden="1" customHeight="1" x14ac:dyDescent="0.45">
      <c r="A66" s="1" t="s">
        <v>199</v>
      </c>
      <c r="B66" s="122" t="s">
        <v>200</v>
      </c>
      <c r="C66" s="1"/>
      <c r="D66" s="352">
        <v>0.2</v>
      </c>
      <c r="E66" s="227" t="s">
        <v>201</v>
      </c>
      <c r="F66" s="216"/>
    </row>
    <row r="67" spans="1:7" ht="43.25" hidden="1" customHeight="1" x14ac:dyDescent="0.45">
      <c r="A67" s="1" t="s">
        <v>202</v>
      </c>
      <c r="B67" s="122" t="s">
        <v>203</v>
      </c>
      <c r="C67" s="1"/>
      <c r="D67" s="348">
        <v>0.8</v>
      </c>
      <c r="E67" s="231" t="s">
        <v>201</v>
      </c>
      <c r="F67" s="216"/>
    </row>
    <row r="68" spans="1:7" ht="32.5" hidden="1" x14ac:dyDescent="0.35">
      <c r="A68" s="7" t="s">
        <v>204</v>
      </c>
      <c r="B68" s="111" t="s">
        <v>205</v>
      </c>
      <c r="C68" s="230" t="s">
        <v>184</v>
      </c>
      <c r="D68" s="348">
        <v>35.08</v>
      </c>
      <c r="E68" s="227" t="s">
        <v>185</v>
      </c>
    </row>
    <row r="69" spans="1:7" ht="16.5" hidden="1" x14ac:dyDescent="0.45">
      <c r="A69" s="105" t="s">
        <v>206</v>
      </c>
      <c r="B69" s="105" t="s">
        <v>207</v>
      </c>
      <c r="C69" s="105" t="s">
        <v>189</v>
      </c>
      <c r="D69" s="352">
        <f>D70*140/100</f>
        <v>3.64</v>
      </c>
    </row>
    <row r="70" spans="1:7" hidden="1" x14ac:dyDescent="0.35">
      <c r="A70" s="105" t="s">
        <v>208</v>
      </c>
      <c r="B70" s="105" t="s">
        <v>209</v>
      </c>
      <c r="C70" s="105" t="s">
        <v>189</v>
      </c>
      <c r="D70" s="352">
        <v>2.6</v>
      </c>
      <c r="E70" s="227" t="s">
        <v>190</v>
      </c>
    </row>
    <row r="71" spans="1:7" ht="43.5" hidden="1" x14ac:dyDescent="0.35">
      <c r="A71" s="230" t="s">
        <v>210</v>
      </c>
      <c r="B71" s="270" t="s">
        <v>211</v>
      </c>
      <c r="C71" s="8" t="s">
        <v>154</v>
      </c>
      <c r="D71" s="353">
        <f>LARGE(Biomass!C11:F11,1)</f>
        <v>494.74584576811208</v>
      </c>
      <c r="E71" s="228"/>
      <c r="F71" s="329"/>
    </row>
    <row r="72" spans="1:7" ht="16.5" hidden="1" x14ac:dyDescent="0.45">
      <c r="A72" s="105" t="s">
        <v>212</v>
      </c>
      <c r="B72" s="105" t="s">
        <v>213</v>
      </c>
      <c r="C72" s="105"/>
      <c r="D72" s="352">
        <v>0</v>
      </c>
      <c r="E72" s="227" t="s">
        <v>214</v>
      </c>
      <c r="F72" s="331"/>
      <c r="G72" s="228"/>
    </row>
    <row r="73" spans="1:7" x14ac:dyDescent="0.35">
      <c r="E73" s="104"/>
    </row>
    <row r="75" spans="1:7" x14ac:dyDescent="0.35">
      <c r="E75" s="104"/>
    </row>
    <row r="76" spans="1:7" x14ac:dyDescent="0.35">
      <c r="E76" s="104"/>
    </row>
  </sheetData>
  <sheetProtection sheet="1" objects="1" scenarios="1"/>
  <mergeCells count="16">
    <mergeCell ref="B1:G1"/>
    <mergeCell ref="G4:I4"/>
    <mergeCell ref="A4:D4"/>
    <mergeCell ref="A13:D13"/>
    <mergeCell ref="A2:I2"/>
    <mergeCell ref="E4:E5"/>
    <mergeCell ref="E13:E14"/>
    <mergeCell ref="A60:D60"/>
    <mergeCell ref="B52:B53"/>
    <mergeCell ref="B54:B55"/>
    <mergeCell ref="A22:D22"/>
    <mergeCell ref="E22:E23"/>
    <mergeCell ref="A49:D49"/>
    <mergeCell ref="E49:E50"/>
    <mergeCell ref="E60:E61"/>
    <mergeCell ref="E27:E28"/>
  </mergeCells>
  <hyperlinks>
    <hyperlink ref="E39" r:id="rId1" display="https://www.ibge.gov.br/geociencias/cartas-e-mapas/mapas-regionais/15819-amazonia-legal.html?=&amp;t=acesso-ao-produto" xr:uid="{808078C6-2171-424C-8763-A25F90136E84}"/>
  </hyperlinks>
  <pageMargins left="0.511811024" right="0.511811024" top="0.78740157499999996" bottom="0.78740157499999996" header="0.31496062000000002" footer="0.31496062000000002"/>
  <pageSetup paperSize="9" orientation="portrait" r:id="rId2"/>
  <headerFooter>
    <oddHeader>&amp;L&amp;G</oddHeader>
  </headerFooter>
  <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9210D-7AD9-4921-81A3-15EE59D223C1}">
  <sheetPr codeName="Planilha5">
    <tabColor theme="0" tint="-0.499984740745262"/>
  </sheetPr>
  <dimension ref="A1:O34"/>
  <sheetViews>
    <sheetView showGridLines="0" topLeftCell="A11" zoomScale="115" zoomScaleNormal="115" workbookViewId="0">
      <selection activeCell="D29" sqref="D29"/>
    </sheetView>
  </sheetViews>
  <sheetFormatPr defaultRowHeight="14.5" x14ac:dyDescent="0.35"/>
  <cols>
    <col min="1" max="1" width="5.1796875" customWidth="1"/>
    <col min="2" max="2" width="21.1796875" customWidth="1"/>
    <col min="3" max="3" width="4.54296875" bestFit="1" customWidth="1"/>
    <col min="4" max="4" width="7.81640625" bestFit="1" customWidth="1"/>
    <col min="5" max="5" width="8.1796875" bestFit="1" customWidth="1"/>
    <col min="6" max="7" width="10.1796875" bestFit="1" customWidth="1"/>
    <col min="11" max="11" width="12.54296875" customWidth="1"/>
  </cols>
  <sheetData>
    <row r="1" spans="1:13" ht="25.25" customHeight="1" x14ac:dyDescent="0.35">
      <c r="A1" s="53" t="s">
        <v>0</v>
      </c>
      <c r="B1" s="40"/>
      <c r="C1" s="432" t="str">
        <f>Projeto</f>
        <v>FLORESTAL SANTA MARIA - CARAGUA AGRONEGÓCIOS LTDA</v>
      </c>
      <c r="D1" s="432"/>
      <c r="E1" s="432"/>
      <c r="F1" s="432"/>
      <c r="G1" s="41"/>
    </row>
    <row r="2" spans="1:13" x14ac:dyDescent="0.35">
      <c r="A2" s="432" t="s">
        <v>215</v>
      </c>
      <c r="B2" s="432"/>
      <c r="C2" s="432"/>
      <c r="D2" s="432"/>
      <c r="E2" s="432"/>
      <c r="F2" s="432"/>
      <c r="G2" s="432"/>
    </row>
    <row r="4" spans="1:13" x14ac:dyDescent="0.35">
      <c r="B4" s="446" t="s">
        <v>67</v>
      </c>
      <c r="C4" s="446" t="s">
        <v>69</v>
      </c>
      <c r="D4" s="446" t="s">
        <v>216</v>
      </c>
      <c r="E4" s="446"/>
      <c r="F4" s="446"/>
      <c r="G4" s="446" t="s">
        <v>217</v>
      </c>
      <c r="I4" s="164" t="s">
        <v>218</v>
      </c>
    </row>
    <row r="5" spans="1:13" ht="14.5" customHeight="1" x14ac:dyDescent="0.35">
      <c r="B5" s="446"/>
      <c r="C5" s="446"/>
      <c r="D5" s="30">
        <f>Overview!B9</f>
        <v>2019</v>
      </c>
      <c r="E5" s="30">
        <f>D5+1</f>
        <v>2020</v>
      </c>
      <c r="F5" s="30">
        <f t="shared" ref="F5" si="0">E5+1</f>
        <v>2021</v>
      </c>
      <c r="G5" s="446"/>
      <c r="I5" s="163"/>
      <c r="J5" s="436" t="s">
        <v>219</v>
      </c>
      <c r="K5" s="436"/>
      <c r="L5" s="436"/>
      <c r="M5" s="436"/>
    </row>
    <row r="6" spans="1:13" ht="14.5" customHeight="1" x14ac:dyDescent="0.35">
      <c r="A6" s="438" t="s">
        <v>220</v>
      </c>
      <c r="B6" s="5" t="s">
        <v>221</v>
      </c>
      <c r="C6" s="2" t="s">
        <v>126</v>
      </c>
      <c r="D6" s="296">
        <v>0</v>
      </c>
      <c r="E6" s="296">
        <v>1.44</v>
      </c>
      <c r="F6" s="296">
        <v>90.08999999999989</v>
      </c>
      <c r="G6" s="79">
        <f>SUM(D6:F6)</f>
        <v>91.529999999999887</v>
      </c>
      <c r="J6" s="436"/>
      <c r="K6" s="436"/>
      <c r="L6" s="436"/>
      <c r="M6" s="436"/>
    </row>
    <row r="7" spans="1:13" x14ac:dyDescent="0.35">
      <c r="A7" s="438"/>
      <c r="B7" s="5" t="s">
        <v>222</v>
      </c>
      <c r="C7" s="2" t="s">
        <v>126</v>
      </c>
      <c r="D7" s="296">
        <v>26.459999999999901</v>
      </c>
      <c r="E7" s="296">
        <v>60.39</v>
      </c>
      <c r="F7" s="296">
        <v>75.149999999999906</v>
      </c>
      <c r="G7" s="79">
        <f>SUM(D7:F7)</f>
        <v>161.99999999999983</v>
      </c>
      <c r="J7" s="436"/>
      <c r="K7" s="436"/>
      <c r="L7" s="436"/>
      <c r="M7" s="436"/>
    </row>
    <row r="8" spans="1:13" x14ac:dyDescent="0.35">
      <c r="A8" s="438"/>
      <c r="B8" s="5" t="s">
        <v>223</v>
      </c>
      <c r="C8" s="2" t="s">
        <v>126</v>
      </c>
      <c r="D8" s="296">
        <v>19.529999999999902</v>
      </c>
      <c r="E8" s="296">
        <v>37.44</v>
      </c>
      <c r="F8" s="296">
        <v>37.979999999999997</v>
      </c>
      <c r="G8" s="79">
        <f>SUM(D8:F8)</f>
        <v>94.949999999999903</v>
      </c>
      <c r="J8" s="436"/>
      <c r="K8" s="436"/>
      <c r="L8" s="436"/>
      <c r="M8" s="436"/>
    </row>
    <row r="9" spans="1:13" x14ac:dyDescent="0.35">
      <c r="A9" s="438"/>
      <c r="B9" s="5" t="s">
        <v>224</v>
      </c>
      <c r="C9" s="2" t="s">
        <v>126</v>
      </c>
      <c r="D9" s="296">
        <v>110.33999999999899</v>
      </c>
      <c r="E9" s="296">
        <v>142.10999999999999</v>
      </c>
      <c r="F9" s="296">
        <v>321.20999999999987</v>
      </c>
      <c r="G9" s="79">
        <f>SUM(D9:F9)</f>
        <v>573.65999999999883</v>
      </c>
      <c r="H9" s="197"/>
      <c r="J9" s="436"/>
      <c r="K9" s="436"/>
      <c r="L9" s="436"/>
      <c r="M9" s="436"/>
    </row>
    <row r="10" spans="1:13" ht="16.5" x14ac:dyDescent="0.45">
      <c r="A10" s="438"/>
      <c r="B10" s="5" t="s">
        <v>225</v>
      </c>
      <c r="C10" s="2" t="s">
        <v>126</v>
      </c>
      <c r="D10" s="75">
        <f>SUM(D6:D9)</f>
        <v>156.32999999999879</v>
      </c>
      <c r="E10" s="75">
        <f>SUM(E6:E9)</f>
        <v>241.38</v>
      </c>
      <c r="F10" s="75">
        <f t="shared" ref="F10" si="1">SUM(F6:F9)</f>
        <v>524.42999999999961</v>
      </c>
      <c r="G10" s="79">
        <f>SUM(D10:F10)</f>
        <v>922.13999999999839</v>
      </c>
      <c r="J10" s="436"/>
      <c r="K10" s="436"/>
      <c r="L10" s="436"/>
      <c r="M10" s="436"/>
    </row>
    <row r="11" spans="1:13" ht="16.5" x14ac:dyDescent="0.45">
      <c r="A11" s="438"/>
      <c r="B11" s="5" t="s">
        <v>226</v>
      </c>
      <c r="C11" s="2" t="s">
        <v>126</v>
      </c>
      <c r="D11" s="75">
        <f>D10</f>
        <v>156.32999999999879</v>
      </c>
      <c r="E11" s="75">
        <f>D11+E10</f>
        <v>397.70999999999879</v>
      </c>
      <c r="F11" s="75">
        <f>E11+F10</f>
        <v>922.13999999999839</v>
      </c>
      <c r="G11" s="80"/>
      <c r="J11" s="436"/>
      <c r="K11" s="436"/>
      <c r="L11" s="436"/>
      <c r="M11" s="436"/>
    </row>
    <row r="12" spans="1:13" ht="14.5" customHeight="1" x14ac:dyDescent="0.35">
      <c r="A12" s="439" t="s">
        <v>227</v>
      </c>
      <c r="B12" s="112" t="s">
        <v>221</v>
      </c>
      <c r="C12" s="81" t="s">
        <v>126</v>
      </c>
      <c r="D12" s="76">
        <f>$D6</f>
        <v>0</v>
      </c>
      <c r="E12" s="76">
        <f>$E6</f>
        <v>1.44</v>
      </c>
      <c r="F12" s="76">
        <f>$F6</f>
        <v>90.08999999999989</v>
      </c>
      <c r="G12" s="82">
        <f>SUM(D12:F12)</f>
        <v>91.529999999999887</v>
      </c>
      <c r="J12" s="436"/>
      <c r="K12" s="436"/>
      <c r="L12" s="436"/>
      <c r="M12" s="436"/>
    </row>
    <row r="13" spans="1:13" x14ac:dyDescent="0.35">
      <c r="A13" s="440"/>
      <c r="B13" s="5" t="s">
        <v>222</v>
      </c>
      <c r="C13" s="2" t="s">
        <v>126</v>
      </c>
      <c r="D13" s="110">
        <f t="shared" ref="D13:D15" si="2">$D7</f>
        <v>26.459999999999901</v>
      </c>
      <c r="E13" s="110">
        <f t="shared" ref="E13:E15" si="3">$E7</f>
        <v>60.39</v>
      </c>
      <c r="F13" s="110">
        <f t="shared" ref="F13:F15" si="4">$F7</f>
        <v>75.149999999999906</v>
      </c>
      <c r="G13" s="83">
        <f>SUM(D13:F13)</f>
        <v>161.99999999999983</v>
      </c>
      <c r="J13" s="436"/>
      <c r="K13" s="436"/>
      <c r="L13" s="436"/>
      <c r="M13" s="436"/>
    </row>
    <row r="14" spans="1:13" x14ac:dyDescent="0.35">
      <c r="A14" s="440"/>
      <c r="B14" s="5" t="s">
        <v>223</v>
      </c>
      <c r="C14" s="2" t="s">
        <v>126</v>
      </c>
      <c r="D14" s="110">
        <f t="shared" si="2"/>
        <v>19.529999999999902</v>
      </c>
      <c r="E14" s="110">
        <f t="shared" si="3"/>
        <v>37.44</v>
      </c>
      <c r="F14" s="110">
        <f t="shared" si="4"/>
        <v>37.979999999999997</v>
      </c>
      <c r="G14" s="83">
        <f>SUM(D14:F14)</f>
        <v>94.949999999999903</v>
      </c>
      <c r="J14" s="436"/>
      <c r="K14" s="436"/>
      <c r="L14" s="436"/>
      <c r="M14" s="436"/>
    </row>
    <row r="15" spans="1:13" x14ac:dyDescent="0.35">
      <c r="A15" s="440"/>
      <c r="B15" s="5" t="s">
        <v>228</v>
      </c>
      <c r="C15" s="2" t="s">
        <v>126</v>
      </c>
      <c r="D15" s="110">
        <f t="shared" si="2"/>
        <v>110.33999999999899</v>
      </c>
      <c r="E15" s="110">
        <f t="shared" si="3"/>
        <v>142.10999999999999</v>
      </c>
      <c r="F15" s="110">
        <f t="shared" si="4"/>
        <v>321.20999999999987</v>
      </c>
      <c r="G15" s="83">
        <f>SUM(D15:F15)</f>
        <v>573.65999999999883</v>
      </c>
      <c r="J15" s="436"/>
      <c r="K15" s="436"/>
      <c r="L15" s="436"/>
      <c r="M15" s="436"/>
    </row>
    <row r="16" spans="1:13" ht="16.5" x14ac:dyDescent="0.45">
      <c r="A16" s="440"/>
      <c r="B16" s="5" t="s">
        <v>225</v>
      </c>
      <c r="C16" s="2" t="s">
        <v>126</v>
      </c>
      <c r="D16" s="26">
        <f>SUM(D12:D15)</f>
        <v>156.32999999999879</v>
      </c>
      <c r="E16" s="26">
        <f t="shared" ref="E16:F16" si="5">SUM(E12:E15)</f>
        <v>241.38</v>
      </c>
      <c r="F16" s="26">
        <f t="shared" si="5"/>
        <v>524.42999999999961</v>
      </c>
      <c r="G16" s="83">
        <f>SUM(D16:F16)</f>
        <v>922.13999999999839</v>
      </c>
    </row>
    <row r="17" spans="1:15" ht="16.5" x14ac:dyDescent="0.45">
      <c r="A17" s="440"/>
      <c r="B17" s="5" t="s">
        <v>226</v>
      </c>
      <c r="C17" s="2" t="s">
        <v>126</v>
      </c>
      <c r="D17" s="75">
        <f>D16</f>
        <v>156.32999999999879</v>
      </c>
      <c r="E17" s="75">
        <f>D17+E16</f>
        <v>397.70999999999879</v>
      </c>
      <c r="F17" s="75">
        <f>E17+F16</f>
        <v>922.13999999999839</v>
      </c>
      <c r="G17" s="201"/>
      <c r="J17" s="297"/>
      <c r="K17" s="297"/>
      <c r="L17" s="297"/>
      <c r="M17" s="297"/>
      <c r="N17" s="297"/>
      <c r="O17" s="297"/>
    </row>
    <row r="18" spans="1:15" ht="16.5" x14ac:dyDescent="0.45">
      <c r="A18" s="441" t="s">
        <v>229</v>
      </c>
      <c r="B18" s="199" t="s">
        <v>230</v>
      </c>
      <c r="C18" s="81" t="s">
        <v>126</v>
      </c>
      <c r="D18" s="200">
        <v>0</v>
      </c>
      <c r="E18" s="207">
        <v>0</v>
      </c>
      <c r="F18" s="207">
        <v>0</v>
      </c>
      <c r="G18" s="82">
        <f>SUM(D18:F18)</f>
        <v>0</v>
      </c>
      <c r="J18" s="297"/>
      <c r="K18" s="297"/>
      <c r="L18" s="297"/>
      <c r="M18" s="297"/>
      <c r="N18" s="297"/>
      <c r="O18" s="297"/>
    </row>
    <row r="19" spans="1:15" ht="16.5" x14ac:dyDescent="0.45">
      <c r="A19" s="442"/>
      <c r="B19" s="258" t="s">
        <v>231</v>
      </c>
      <c r="C19" s="84" t="s">
        <v>126</v>
      </c>
      <c r="D19" s="85">
        <f>D18</f>
        <v>0</v>
      </c>
      <c r="E19" s="85">
        <f>D19+E18</f>
        <v>0</v>
      </c>
      <c r="F19" s="85">
        <f>E19+F18</f>
        <v>0</v>
      </c>
      <c r="G19" s="86"/>
      <c r="J19" s="297"/>
      <c r="K19" s="297"/>
      <c r="L19" s="297"/>
      <c r="M19" s="297"/>
      <c r="N19" s="297"/>
      <c r="O19" s="297"/>
    </row>
    <row r="20" spans="1:15" ht="16.5" x14ac:dyDescent="0.45">
      <c r="A20" s="442"/>
      <c r="B20" s="199" t="s">
        <v>232</v>
      </c>
      <c r="C20" s="81" t="s">
        <v>126</v>
      </c>
      <c r="D20" s="200">
        <v>0</v>
      </c>
      <c r="E20" s="207">
        <v>0</v>
      </c>
      <c r="F20" s="207">
        <v>0</v>
      </c>
      <c r="G20" s="82">
        <f>SUM(D20:F20)</f>
        <v>0</v>
      </c>
      <c r="K20" s="298"/>
    </row>
    <row r="21" spans="1:15" ht="16.5" x14ac:dyDescent="0.45">
      <c r="A21" s="443"/>
      <c r="B21" s="258" t="s">
        <v>233</v>
      </c>
      <c r="C21" s="84" t="s">
        <v>126</v>
      </c>
      <c r="D21" s="85">
        <f>D20</f>
        <v>0</v>
      </c>
      <c r="E21" s="85">
        <f>D21+E20</f>
        <v>0</v>
      </c>
      <c r="F21" s="85">
        <f>E21+F20</f>
        <v>0</v>
      </c>
      <c r="G21" s="86"/>
    </row>
    <row r="22" spans="1:15" ht="29" hidden="1" x14ac:dyDescent="0.35">
      <c r="A22" s="437" t="s">
        <v>234</v>
      </c>
      <c r="B22" s="113" t="s">
        <v>235</v>
      </c>
      <c r="C22" s="2" t="s">
        <v>126</v>
      </c>
      <c r="D22" s="149">
        <v>0</v>
      </c>
      <c r="E22" s="149">
        <v>0</v>
      </c>
      <c r="F22" s="149">
        <v>0</v>
      </c>
      <c r="G22" s="79">
        <f>SUM(D22:F22)</f>
        <v>0</v>
      </c>
    </row>
    <row r="23" spans="1:15" ht="27.65" hidden="1" customHeight="1" x14ac:dyDescent="0.35">
      <c r="A23" s="437"/>
      <c r="B23" s="113" t="s">
        <v>236</v>
      </c>
      <c r="C23" s="2" t="s">
        <v>126</v>
      </c>
      <c r="D23" s="109">
        <v>0</v>
      </c>
      <c r="E23" s="109">
        <v>0</v>
      </c>
      <c r="F23" s="109">
        <v>0</v>
      </c>
      <c r="G23" s="79">
        <f>SUM(D23:F23)</f>
        <v>0</v>
      </c>
    </row>
    <row r="24" spans="1:15" hidden="1" x14ac:dyDescent="0.35">
      <c r="A24" s="437"/>
      <c r="B24" s="113" t="s">
        <v>237</v>
      </c>
      <c r="C24" s="2" t="s">
        <v>126</v>
      </c>
      <c r="D24" s="109">
        <v>0</v>
      </c>
      <c r="E24" s="109"/>
      <c r="F24" s="109">
        <v>0</v>
      </c>
      <c r="G24" s="79">
        <f>SUM(D24:F24)</f>
        <v>0</v>
      </c>
    </row>
    <row r="25" spans="1:15" ht="35" customHeight="1" x14ac:dyDescent="0.45">
      <c r="A25" s="437"/>
      <c r="B25" s="113" t="s">
        <v>238</v>
      </c>
      <c r="C25" s="2" t="s">
        <v>126</v>
      </c>
      <c r="D25" s="75">
        <v>0</v>
      </c>
      <c r="E25" s="75">
        <v>24.93</v>
      </c>
      <c r="F25" s="75">
        <v>107.73</v>
      </c>
      <c r="G25" s="79">
        <f>SUM(D25:F25)</f>
        <v>132.66</v>
      </c>
    </row>
    <row r="26" spans="1:15" ht="35" customHeight="1" x14ac:dyDescent="0.45">
      <c r="A26" s="437"/>
      <c r="B26" s="113" t="s">
        <v>239</v>
      </c>
      <c r="C26" s="2" t="s">
        <v>126</v>
      </c>
      <c r="D26" s="75">
        <f>D25</f>
        <v>0</v>
      </c>
      <c r="E26" s="75">
        <f>D26+E25</f>
        <v>24.93</v>
      </c>
      <c r="F26" s="75">
        <f>E26+F25</f>
        <v>132.66</v>
      </c>
      <c r="G26" s="80"/>
    </row>
    <row r="27" spans="1:15" ht="14.5" customHeight="1" x14ac:dyDescent="0.45">
      <c r="A27" s="444" t="s">
        <v>240</v>
      </c>
      <c r="B27" s="199" t="s">
        <v>241</v>
      </c>
      <c r="C27" s="81" t="s">
        <v>126</v>
      </c>
      <c r="D27" s="200">
        <v>0</v>
      </c>
      <c r="E27" s="207">
        <v>0</v>
      </c>
      <c r="F27" s="207">
        <v>0</v>
      </c>
      <c r="G27" s="82">
        <f>SUM(D27:F27)</f>
        <v>0</v>
      </c>
    </row>
    <row r="28" spans="1:15" ht="16.5" x14ac:dyDescent="0.45">
      <c r="A28" s="444"/>
      <c r="B28" s="258" t="s">
        <v>242</v>
      </c>
      <c r="C28" s="84" t="s">
        <v>126</v>
      </c>
      <c r="D28" s="85">
        <f>D27</f>
        <v>0</v>
      </c>
      <c r="E28" s="85">
        <f>D28+E27</f>
        <v>0</v>
      </c>
      <c r="F28" s="85">
        <f>E28+F27</f>
        <v>0</v>
      </c>
      <c r="G28" s="86"/>
    </row>
    <row r="29" spans="1:15" ht="21" customHeight="1" x14ac:dyDescent="0.45">
      <c r="A29" s="444"/>
      <c r="B29" s="199" t="s">
        <v>243</v>
      </c>
      <c r="C29" s="81" t="s">
        <v>126</v>
      </c>
      <c r="D29" s="207">
        <v>0</v>
      </c>
      <c r="E29" s="207">
        <v>0</v>
      </c>
      <c r="F29" s="207">
        <v>0</v>
      </c>
      <c r="G29" s="82">
        <f>SUM(D29:F29)</f>
        <v>0</v>
      </c>
    </row>
    <row r="30" spans="1:15" ht="21" customHeight="1" x14ac:dyDescent="0.45">
      <c r="A30" s="445"/>
      <c r="B30" s="258" t="s">
        <v>244</v>
      </c>
      <c r="C30" s="84" t="s">
        <v>126</v>
      </c>
      <c r="D30" s="85">
        <f>D29</f>
        <v>0</v>
      </c>
      <c r="E30" s="85">
        <f>D30+E29</f>
        <v>0</v>
      </c>
      <c r="F30" s="85">
        <f>E30+F29</f>
        <v>0</v>
      </c>
      <c r="G30" s="86"/>
    </row>
    <row r="31" spans="1:15" x14ac:dyDescent="0.35">
      <c r="E31" s="197"/>
      <c r="F31" s="197"/>
    </row>
    <row r="33" spans="5:5" x14ac:dyDescent="0.35">
      <c r="E33" s="123"/>
    </row>
    <row r="34" spans="5:5" x14ac:dyDescent="0.35">
      <c r="E34" s="123"/>
    </row>
  </sheetData>
  <mergeCells count="12">
    <mergeCell ref="A27:A30"/>
    <mergeCell ref="C1:F1"/>
    <mergeCell ref="A2:G2"/>
    <mergeCell ref="C4:C5"/>
    <mergeCell ref="G4:G5"/>
    <mergeCell ref="B4:B5"/>
    <mergeCell ref="D4:F4"/>
    <mergeCell ref="J5:M15"/>
    <mergeCell ref="A22:A26"/>
    <mergeCell ref="A6:A11"/>
    <mergeCell ref="A12:A17"/>
    <mergeCell ref="A18:A21"/>
  </mergeCells>
  <pageMargins left="0.511811024" right="0.511811024" top="0.78740157499999996" bottom="0.78740157499999996" header="0.31496062000000002" footer="0.31496062000000002"/>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F9AD6-27C9-404B-862B-CDB087CE08D0}">
  <sheetPr>
    <tabColor theme="0" tint="-0.499984740745262"/>
  </sheetPr>
  <dimension ref="A1:O28"/>
  <sheetViews>
    <sheetView showGridLines="0" zoomScale="115" zoomScaleNormal="115" workbookViewId="0">
      <selection activeCell="A11" sqref="A11"/>
    </sheetView>
  </sheetViews>
  <sheetFormatPr defaultRowHeight="14.5" x14ac:dyDescent="0.35"/>
  <cols>
    <col min="1" max="1" width="36.81640625" bestFit="1" customWidth="1"/>
    <col min="2" max="2" width="12.81640625" bestFit="1" customWidth="1"/>
    <col min="3" max="6" width="14" bestFit="1" customWidth="1"/>
    <col min="8" max="8" width="14.453125" customWidth="1"/>
    <col min="9" max="9" width="26.81640625" bestFit="1" customWidth="1"/>
  </cols>
  <sheetData>
    <row r="1" spans="1:11" x14ac:dyDescent="0.35">
      <c r="A1" s="53" t="s">
        <v>0</v>
      </c>
      <c r="B1" s="53"/>
      <c r="C1" s="40"/>
      <c r="D1" s="432" t="str">
        <f>Projeto</f>
        <v>FLORESTAL SANTA MARIA - CARAGUA AGRONEGÓCIOS LTDA</v>
      </c>
      <c r="E1" s="432"/>
      <c r="F1" s="432"/>
      <c r="G1" s="432"/>
      <c r="H1" s="432"/>
      <c r="I1" s="432"/>
      <c r="J1" s="432"/>
      <c r="K1" s="41"/>
    </row>
    <row r="2" spans="1:11" x14ac:dyDescent="0.35">
      <c r="A2" s="432" t="s">
        <v>245</v>
      </c>
      <c r="B2" s="432"/>
      <c r="C2" s="432"/>
      <c r="D2" s="432"/>
      <c r="E2" s="432"/>
      <c r="F2" s="432"/>
      <c r="G2" s="432"/>
      <c r="H2" s="432"/>
      <c r="I2" s="432"/>
      <c r="J2" s="432"/>
      <c r="K2" s="432"/>
    </row>
    <row r="4" spans="1:11" x14ac:dyDescent="0.35">
      <c r="A4" s="446" t="s">
        <v>67</v>
      </c>
      <c r="B4" s="446" t="s">
        <v>69</v>
      </c>
      <c r="C4" s="432" t="s">
        <v>246</v>
      </c>
      <c r="D4" s="432"/>
      <c r="E4" s="432"/>
      <c r="F4" s="432"/>
    </row>
    <row r="5" spans="1:11" ht="35.5" customHeight="1" x14ac:dyDescent="0.35">
      <c r="A5" s="446"/>
      <c r="B5" s="446"/>
      <c r="C5" s="70" t="s">
        <v>221</v>
      </c>
      <c r="D5" s="70" t="s">
        <v>222</v>
      </c>
      <c r="E5" s="30" t="s">
        <v>223</v>
      </c>
      <c r="F5" s="30" t="s">
        <v>224</v>
      </c>
    </row>
    <row r="6" spans="1:11" ht="16.5" x14ac:dyDescent="0.35">
      <c r="A6" s="46" t="s">
        <v>512</v>
      </c>
      <c r="B6" s="46" t="s">
        <v>247</v>
      </c>
      <c r="C6">
        <v>55.851869144367257</v>
      </c>
      <c r="D6">
        <v>56.882924606839651</v>
      </c>
      <c r="E6">
        <v>58.781032816441503</v>
      </c>
      <c r="F6">
        <v>54.123785971907125</v>
      </c>
      <c r="H6" s="400"/>
    </row>
    <row r="7" spans="1:11" ht="16.5" x14ac:dyDescent="0.35">
      <c r="A7" s="46" t="s">
        <v>512</v>
      </c>
      <c r="B7" s="46" t="s">
        <v>248</v>
      </c>
      <c r="C7" s="108">
        <f>C6*4</f>
        <v>223.40747657746903</v>
      </c>
      <c r="D7" s="108">
        <f t="shared" ref="D7:E7" si="0">D6*4</f>
        <v>227.53169842735861</v>
      </c>
      <c r="E7" s="108">
        <f t="shared" si="0"/>
        <v>235.12413126576601</v>
      </c>
      <c r="F7" s="108">
        <f>F6*4</f>
        <v>216.4951438876285</v>
      </c>
      <c r="H7" s="399"/>
      <c r="I7" s="24"/>
    </row>
    <row r="8" spans="1:11" ht="17.5" x14ac:dyDescent="0.45">
      <c r="A8" s="46" t="s">
        <v>513</v>
      </c>
      <c r="B8" s="46" t="s">
        <v>249</v>
      </c>
      <c r="C8" s="108">
        <f>C6*4*CF*tC_to_tCO2</f>
        <v>385.00555130183824</v>
      </c>
      <c r="D8" s="108">
        <f>D6*4*CF*tC_to_tCO2</f>
        <v>392.11296028981462</v>
      </c>
      <c r="E8" s="108">
        <f>E6*4*CF*tC_to_tCO2</f>
        <v>405.19725288133668</v>
      </c>
      <c r="F8" s="108">
        <f>F6*4*CF*tC_to_tCO2</f>
        <v>373.09329796634643</v>
      </c>
      <c r="H8" s="155"/>
      <c r="I8" s="24"/>
    </row>
    <row r="9" spans="1:11" x14ac:dyDescent="0.35">
      <c r="A9" s="46" t="s">
        <v>291</v>
      </c>
      <c r="B9" s="46" t="s">
        <v>126</v>
      </c>
      <c r="C9" s="398">
        <v>12944</v>
      </c>
      <c r="D9" s="398">
        <v>9275</v>
      </c>
      <c r="E9" s="398">
        <v>6696</v>
      </c>
      <c r="F9" s="398">
        <v>42473</v>
      </c>
      <c r="I9" s="24"/>
    </row>
    <row r="10" spans="1:11" x14ac:dyDescent="0.35">
      <c r="A10" s="46" t="s">
        <v>514</v>
      </c>
      <c r="B10" s="46" t="s">
        <v>250</v>
      </c>
      <c r="C10" s="401">
        <v>15.342838130000001</v>
      </c>
      <c r="D10" s="401">
        <v>13.85853077</v>
      </c>
      <c r="E10" s="401">
        <v>13.544135819999999</v>
      </c>
      <c r="F10" s="401">
        <v>14.652610729999999</v>
      </c>
      <c r="I10" s="24"/>
    </row>
    <row r="11" spans="1:11" x14ac:dyDescent="0.35">
      <c r="A11" s="46" t="s">
        <v>522</v>
      </c>
      <c r="B11" s="46"/>
      <c r="C11" s="401">
        <v>11.76558754</v>
      </c>
      <c r="D11" s="401">
        <v>32.004635729999997</v>
      </c>
      <c r="E11" s="401">
        <v>16.669843270000001</v>
      </c>
      <c r="F11" s="401">
        <v>2.3073276730000001</v>
      </c>
    </row>
    <row r="12" spans="1:11" x14ac:dyDescent="0.35">
      <c r="A12" s="46" t="s">
        <v>515</v>
      </c>
      <c r="B12" s="46" t="s">
        <v>250</v>
      </c>
      <c r="C12" s="401">
        <v>3.4301002230000002</v>
      </c>
      <c r="D12" s="401">
        <v>5.6572639789999997</v>
      </c>
      <c r="E12" s="401">
        <v>4.0828719390000003</v>
      </c>
      <c r="F12" s="401">
        <v>1.51898903</v>
      </c>
    </row>
    <row r="13" spans="1:11" x14ac:dyDescent="0.35">
      <c r="A13" s="46" t="s">
        <v>516</v>
      </c>
      <c r="B13" s="46" t="s">
        <v>250</v>
      </c>
      <c r="C13" s="401">
        <v>5.9310988419999999</v>
      </c>
      <c r="D13" s="401">
        <v>11.399660580000001</v>
      </c>
      <c r="E13" s="401">
        <v>7.4000466600000001</v>
      </c>
      <c r="F13" s="401">
        <v>2.5239299900000001</v>
      </c>
    </row>
    <row r="14" spans="1:11" x14ac:dyDescent="0.35">
      <c r="A14" s="46" t="s">
        <v>517</v>
      </c>
      <c r="B14" s="46" t="s">
        <v>73</v>
      </c>
      <c r="C14" s="401">
        <v>27.470590269999999</v>
      </c>
      <c r="D14" s="401">
        <v>24.363252880000001</v>
      </c>
      <c r="E14" s="401">
        <v>23.04167717</v>
      </c>
      <c r="F14" s="401">
        <v>27.07240535</v>
      </c>
    </row>
    <row r="15" spans="1:11" x14ac:dyDescent="0.35">
      <c r="A15" s="46" t="s">
        <v>518</v>
      </c>
      <c r="B15" s="46" t="s">
        <v>250</v>
      </c>
      <c r="C15" s="401">
        <v>61.784113849999997</v>
      </c>
      <c r="D15" s="401">
        <v>68.283507099999994</v>
      </c>
      <c r="E15" s="401">
        <v>66.182599519999997</v>
      </c>
      <c r="F15" s="401">
        <v>56.648407050000003</v>
      </c>
    </row>
    <row r="16" spans="1:11" x14ac:dyDescent="0.35">
      <c r="A16" s="46" t="s">
        <v>519</v>
      </c>
      <c r="B16" s="46" t="s">
        <v>250</v>
      </c>
      <c r="C16" s="401">
        <v>49.91962444</v>
      </c>
      <c r="D16" s="401">
        <v>45.482342109999998</v>
      </c>
      <c r="E16" s="401">
        <v>51.379466119999996</v>
      </c>
      <c r="F16" s="401">
        <v>51.599164889999997</v>
      </c>
    </row>
    <row r="17" spans="1:15" x14ac:dyDescent="0.35">
      <c r="A17" s="46" t="s">
        <v>520</v>
      </c>
      <c r="B17" s="46" t="s">
        <v>108</v>
      </c>
      <c r="C17" s="108">
        <f>C7*C9</f>
        <v>2891786.3768187589</v>
      </c>
      <c r="D17" s="108">
        <f>D7*D9</f>
        <v>2110356.5029137512</v>
      </c>
      <c r="E17" s="108">
        <f>E7*E9</f>
        <v>1574391.1829555691</v>
      </c>
      <c r="F17" s="108">
        <f>F7*F9</f>
        <v>9195198.2463392448</v>
      </c>
    </row>
    <row r="18" spans="1:15" x14ac:dyDescent="0.35">
      <c r="A18" s="46"/>
      <c r="B18" s="46"/>
    </row>
    <row r="19" spans="1:15" x14ac:dyDescent="0.35">
      <c r="A19" s="222" t="s">
        <v>251</v>
      </c>
      <c r="B19" s="46"/>
      <c r="C19" s="324"/>
      <c r="D19" s="324"/>
      <c r="E19" s="324"/>
      <c r="F19" s="324"/>
    </row>
    <row r="20" spans="1:15" x14ac:dyDescent="0.35">
      <c r="A20" s="231" t="s">
        <v>109</v>
      </c>
      <c r="B20" s="46"/>
      <c r="C20" s="324"/>
      <c r="D20" s="324"/>
      <c r="E20" s="324"/>
      <c r="F20" s="324"/>
      <c r="I20" s="325"/>
      <c r="J20" s="326"/>
      <c r="K20" s="327"/>
      <c r="L20" s="327"/>
      <c r="M20" s="327"/>
      <c r="N20" s="327"/>
      <c r="O20" s="327"/>
    </row>
    <row r="21" spans="1:15" x14ac:dyDescent="0.35">
      <c r="A21" s="231" t="s">
        <v>111</v>
      </c>
      <c r="B21" s="46"/>
      <c r="C21" s="324"/>
      <c r="D21" s="324"/>
      <c r="E21" s="324"/>
      <c r="F21" s="324"/>
      <c r="I21" s="325"/>
      <c r="J21" s="326"/>
      <c r="K21" s="327"/>
      <c r="L21" s="327"/>
      <c r="M21" s="327"/>
      <c r="N21" s="327"/>
      <c r="O21" s="327"/>
    </row>
    <row r="22" spans="1:15" x14ac:dyDescent="0.35">
      <c r="I22" s="325"/>
      <c r="J22" s="326"/>
      <c r="K22" s="327"/>
      <c r="L22" s="327"/>
      <c r="M22" s="327"/>
      <c r="N22" s="327"/>
      <c r="O22" s="327"/>
    </row>
    <row r="23" spans="1:15" x14ac:dyDescent="0.35">
      <c r="A23" s="446" t="s">
        <v>67</v>
      </c>
      <c r="B23" s="446" t="s">
        <v>69</v>
      </c>
      <c r="C23" s="432" t="s">
        <v>252</v>
      </c>
      <c r="D23" s="432"/>
      <c r="E23" s="432"/>
      <c r="F23" s="432"/>
      <c r="I23" s="325"/>
      <c r="J23" s="326"/>
      <c r="K23" s="327"/>
      <c r="L23" s="327"/>
      <c r="M23" s="327"/>
      <c r="N23" s="327"/>
      <c r="O23" s="327"/>
    </row>
    <row r="24" spans="1:15" ht="29" x14ac:dyDescent="0.35">
      <c r="A24" s="446"/>
      <c r="B24" s="446"/>
      <c r="C24" s="70" t="s">
        <v>221</v>
      </c>
      <c r="D24" s="70" t="s">
        <v>222</v>
      </c>
      <c r="E24" s="30" t="s">
        <v>223</v>
      </c>
      <c r="F24" s="30" t="s">
        <v>224</v>
      </c>
      <c r="I24" s="325"/>
      <c r="J24" s="326"/>
      <c r="K24" s="327"/>
      <c r="L24" s="327"/>
      <c r="M24" s="327"/>
      <c r="N24" s="327"/>
      <c r="O24" s="327"/>
    </row>
    <row r="25" spans="1:15" ht="16.5" x14ac:dyDescent="0.35">
      <c r="A25" s="46" t="s">
        <v>512</v>
      </c>
      <c r="B25" s="46" t="s">
        <v>247</v>
      </c>
      <c r="C25">
        <v>29.462916414819695</v>
      </c>
      <c r="D25">
        <v>33.827836580431324</v>
      </c>
      <c r="E25">
        <v>31.410285045663542</v>
      </c>
      <c r="F25">
        <v>30.170286706548136</v>
      </c>
      <c r="I25" s="325"/>
      <c r="J25" s="326"/>
      <c r="K25" s="328"/>
      <c r="L25" s="328"/>
      <c r="M25" s="328"/>
      <c r="N25" s="328"/>
      <c r="O25" s="328"/>
    </row>
    <row r="26" spans="1:15" ht="16.5" x14ac:dyDescent="0.35">
      <c r="A26" s="46" t="s">
        <v>512</v>
      </c>
      <c r="B26" s="46" t="s">
        <v>248</v>
      </c>
      <c r="C26" s="108">
        <f>C25*4</f>
        <v>117.85166565927878</v>
      </c>
      <c r="D26" s="108">
        <f t="shared" ref="D26:E26" si="1">D25*4</f>
        <v>135.3113463217253</v>
      </c>
      <c r="E26" s="108">
        <f t="shared" si="1"/>
        <v>125.64114018265417</v>
      </c>
      <c r="F26" s="108">
        <f>F25*4</f>
        <v>120.68114682619255</v>
      </c>
      <c r="I26" s="325"/>
      <c r="J26" s="326"/>
      <c r="K26" s="328"/>
      <c r="L26" s="328"/>
      <c r="M26" s="328"/>
      <c r="N26" s="328"/>
      <c r="O26" s="328"/>
    </row>
    <row r="27" spans="1:15" x14ac:dyDescent="0.35">
      <c r="A27" s="46" t="s">
        <v>291</v>
      </c>
      <c r="B27" s="46" t="s">
        <v>126</v>
      </c>
      <c r="C27" s="109">
        <v>12944</v>
      </c>
      <c r="D27" s="109">
        <v>9275</v>
      </c>
      <c r="E27" s="109">
        <v>6696</v>
      </c>
      <c r="F27" s="109">
        <v>42473</v>
      </c>
    </row>
    <row r="28" spans="1:15" x14ac:dyDescent="0.35">
      <c r="A28" s="46" t="s">
        <v>521</v>
      </c>
      <c r="B28" s="46" t="s">
        <v>108</v>
      </c>
      <c r="C28" s="108">
        <f>C27*C26</f>
        <v>1525471.9602937044</v>
      </c>
      <c r="D28" s="108">
        <f t="shared" ref="D28:F28" si="2">D27*D26</f>
        <v>1255012.7371340021</v>
      </c>
      <c r="E28" s="108">
        <f t="shared" si="2"/>
        <v>841293.07466305234</v>
      </c>
      <c r="F28" s="108">
        <f t="shared" si="2"/>
        <v>5125690.349148876</v>
      </c>
    </row>
  </sheetData>
  <sheetProtection sheet="1" objects="1" scenarios="1"/>
  <mergeCells count="8">
    <mergeCell ref="A23:A24"/>
    <mergeCell ref="B23:B24"/>
    <mergeCell ref="C23:F23"/>
    <mergeCell ref="D1:J1"/>
    <mergeCell ref="A2:K2"/>
    <mergeCell ref="C4:F4"/>
    <mergeCell ref="A4:A5"/>
    <mergeCell ref="B4:B5"/>
  </mergeCells>
  <pageMargins left="0.511811024" right="0.511811024" top="0.78740157499999996" bottom="0.78740157499999996" header="0.31496062000000002" footer="0.3149606200000000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ED2A8-3B78-48CA-A182-C9A651D78E36}">
  <sheetPr codeName="Planilha3">
    <tabColor theme="0" tint="-0.499984740745262"/>
  </sheetPr>
  <dimension ref="A1:Q45"/>
  <sheetViews>
    <sheetView showGridLines="0" topLeftCell="F1" zoomScale="115" zoomScaleNormal="115" workbookViewId="0">
      <selection activeCell="O9" sqref="O9"/>
    </sheetView>
  </sheetViews>
  <sheetFormatPr defaultRowHeight="14.5" x14ac:dyDescent="0.35"/>
  <cols>
    <col min="1" max="1" width="23.81640625" bestFit="1" customWidth="1"/>
    <col min="2" max="2" width="11.81640625" style="1" bestFit="1" customWidth="1"/>
    <col min="3" max="3" width="14.81640625" bestFit="1" customWidth="1"/>
    <col min="4" max="4" width="11.81640625" bestFit="1" customWidth="1"/>
    <col min="5" max="5" width="15.54296875" bestFit="1" customWidth="1"/>
    <col min="6" max="6" width="16" bestFit="1" customWidth="1"/>
    <col min="7" max="7" width="11.1796875" bestFit="1" customWidth="1"/>
    <col min="8" max="8" width="5.81640625" customWidth="1"/>
    <col min="9" max="9" width="11.81640625" customWidth="1"/>
    <col min="10" max="10" width="35.1796875" bestFit="1" customWidth="1"/>
    <col min="11" max="11" width="10.1796875" bestFit="1" customWidth="1"/>
    <col min="12" max="14" width="13.81640625" bestFit="1" customWidth="1"/>
    <col min="15" max="15" width="16.1796875" bestFit="1" customWidth="1"/>
    <col min="16" max="16" width="14.81640625" bestFit="1" customWidth="1"/>
    <col min="17" max="17" width="14.54296875" bestFit="1" customWidth="1"/>
  </cols>
  <sheetData>
    <row r="1" spans="1:17" ht="25.25" customHeight="1" x14ac:dyDescent="0.35">
      <c r="A1" s="40" t="s">
        <v>0</v>
      </c>
      <c r="B1" s="432" t="str">
        <f>Projeto</f>
        <v>FLORESTAL SANTA MARIA - CARAGUA AGRONEGÓCIOS LTDA</v>
      </c>
      <c r="C1" s="432"/>
      <c r="D1" s="432"/>
      <c r="E1" s="432"/>
      <c r="F1" s="432"/>
      <c r="G1" s="432"/>
      <c r="H1" s="432"/>
      <c r="I1" s="432"/>
      <c r="J1" s="432"/>
      <c r="K1" s="432"/>
      <c r="L1" s="432"/>
      <c r="M1" s="432"/>
      <c r="N1" s="432"/>
      <c r="O1" s="432"/>
      <c r="P1" s="41"/>
      <c r="Q1" s="41"/>
    </row>
    <row r="2" spans="1:17" ht="16.5" x14ac:dyDescent="0.35">
      <c r="A2" s="432" t="s">
        <v>253</v>
      </c>
      <c r="B2" s="432"/>
      <c r="C2" s="432"/>
      <c r="D2" s="432"/>
      <c r="E2" s="432"/>
      <c r="F2" s="432"/>
      <c r="G2" s="432"/>
      <c r="H2" s="432"/>
      <c r="I2" s="432"/>
      <c r="J2" s="432"/>
      <c r="K2" s="432"/>
      <c r="L2" s="432"/>
      <c r="M2" s="432"/>
      <c r="N2" s="432"/>
      <c r="O2" s="432"/>
      <c r="P2" s="432"/>
      <c r="Q2" s="432"/>
    </row>
    <row r="3" spans="1:17" x14ac:dyDescent="0.35">
      <c r="B3"/>
    </row>
    <row r="4" spans="1:17" x14ac:dyDescent="0.35">
      <c r="A4" s="48" t="s">
        <v>254</v>
      </c>
      <c r="Q4" s="24"/>
    </row>
    <row r="5" spans="1:17" ht="14.5" customHeight="1" x14ac:dyDescent="0.35">
      <c r="A5" s="446" t="s">
        <v>67</v>
      </c>
      <c r="B5" s="448" t="s">
        <v>69</v>
      </c>
      <c r="C5" s="432" t="s">
        <v>255</v>
      </c>
      <c r="D5" s="432"/>
      <c r="E5" s="432"/>
      <c r="F5" s="432"/>
      <c r="J5" s="446" t="s">
        <v>67</v>
      </c>
      <c r="K5" s="446" t="s">
        <v>69</v>
      </c>
      <c r="L5" s="432" t="s">
        <v>255</v>
      </c>
      <c r="M5" s="432"/>
      <c r="N5" s="432"/>
      <c r="O5" s="432"/>
      <c r="P5" s="432" t="s">
        <v>90</v>
      </c>
      <c r="Q5" s="24"/>
    </row>
    <row r="6" spans="1:17" s="4" customFormat="1" ht="36" customHeight="1" x14ac:dyDescent="0.35">
      <c r="A6" s="446"/>
      <c r="B6" s="448"/>
      <c r="C6" s="30" t="s">
        <v>221</v>
      </c>
      <c r="D6" s="30" t="s">
        <v>222</v>
      </c>
      <c r="E6" s="30" t="s">
        <v>223</v>
      </c>
      <c r="F6" s="30" t="s">
        <v>256</v>
      </c>
      <c r="G6"/>
      <c r="J6" s="446"/>
      <c r="K6" s="446"/>
      <c r="L6" s="30" t="s">
        <v>221</v>
      </c>
      <c r="M6" s="30" t="s">
        <v>222</v>
      </c>
      <c r="N6" s="30" t="s">
        <v>223</v>
      </c>
      <c r="O6" s="30" t="s">
        <v>256</v>
      </c>
      <c r="P6" s="432"/>
      <c r="Q6" s="24"/>
    </row>
    <row r="7" spans="1:17" ht="16.5" x14ac:dyDescent="0.35">
      <c r="A7" s="22" t="s">
        <v>257</v>
      </c>
      <c r="B7" s="21" t="s">
        <v>258</v>
      </c>
      <c r="C7" s="25">
        <f>'Biomass inventory'!C7</f>
        <v>223.40747657746903</v>
      </c>
      <c r="D7" s="25">
        <f>'Biomass inventory'!D7</f>
        <v>227.53169842735861</v>
      </c>
      <c r="E7" s="25">
        <f>'Biomass inventory'!E7</f>
        <v>235.12413126576601</v>
      </c>
      <c r="F7" s="25">
        <f>'Biomass inventory'!F7</f>
        <v>216.4951438876285</v>
      </c>
      <c r="H7" s="23"/>
      <c r="J7" s="124" t="s">
        <v>259</v>
      </c>
      <c r="K7" s="21" t="s">
        <v>126</v>
      </c>
      <c r="L7" s="115">
        <f>Deforestation!G6</f>
        <v>91.529999999999887</v>
      </c>
      <c r="M7" s="115">
        <f>Deforestation!G7</f>
        <v>161.99999999999983</v>
      </c>
      <c r="N7" s="115">
        <f>Deforestation!G8</f>
        <v>94.949999999999903</v>
      </c>
      <c r="O7" s="115">
        <f>Deforestation!G9</f>
        <v>573.65999999999883</v>
      </c>
      <c r="P7" s="118">
        <f>SUM(L7:O7)</f>
        <v>922.13999999999851</v>
      </c>
      <c r="Q7" s="24"/>
    </row>
    <row r="8" spans="1:17" ht="16.5" x14ac:dyDescent="0.35">
      <c r="A8" s="22" t="s">
        <v>260</v>
      </c>
      <c r="B8" s="21" t="s">
        <v>258</v>
      </c>
      <c r="C8" s="25">
        <f>C7*root_shoot</f>
        <v>49.373052323620655</v>
      </c>
      <c r="D8" s="25">
        <f>D7*root_shoot</f>
        <v>50.284505352446253</v>
      </c>
      <c r="E8" s="25">
        <f>E7*root_shoot</f>
        <v>51.962433009734291</v>
      </c>
      <c r="F8" s="25">
        <f>F7*root_shoot</f>
        <v>47.845426799165899</v>
      </c>
      <c r="H8" s="23"/>
      <c r="J8" s="124" t="s">
        <v>261</v>
      </c>
      <c r="K8" s="21" t="s">
        <v>73</v>
      </c>
      <c r="L8" s="114">
        <f>L7/$P$7</f>
        <v>9.9258247120827675E-2</v>
      </c>
      <c r="M8" s="114">
        <f>M7/$P$7</f>
        <v>0.1756783134881906</v>
      </c>
      <c r="N8" s="114">
        <f>N7/$P$7</f>
        <v>0.10296701151668951</v>
      </c>
      <c r="O8" s="114">
        <f>O7/$P$7</f>
        <v>0.62209642787429209</v>
      </c>
      <c r="P8" s="119">
        <f>SUM(L8:O8)</f>
        <v>0.99999999999999989</v>
      </c>
      <c r="Q8" s="24"/>
    </row>
    <row r="9" spans="1:17" ht="17.5" x14ac:dyDescent="0.45">
      <c r="A9" s="22" t="s">
        <v>262</v>
      </c>
      <c r="B9" s="21" t="s">
        <v>263</v>
      </c>
      <c r="C9" s="25">
        <f>C7*CF*tC_to_tCO2</f>
        <v>385.00555130183824</v>
      </c>
      <c r="D9" s="25">
        <f t="shared" ref="C9:F10" si="0">D7*CF*tC_to_tCO2</f>
        <v>392.11296028981462</v>
      </c>
      <c r="E9" s="25">
        <f t="shared" si="0"/>
        <v>405.19725288133668</v>
      </c>
      <c r="F9" s="25">
        <f t="shared" si="0"/>
        <v>373.09329796634643</v>
      </c>
      <c r="G9" s="99"/>
      <c r="H9" s="23"/>
      <c r="J9" s="124" t="s">
        <v>264</v>
      </c>
      <c r="K9" s="21" t="s">
        <v>108</v>
      </c>
      <c r="L9" s="115">
        <f>C7*L7</f>
        <v>20448.486331135715</v>
      </c>
      <c r="M9" s="115">
        <f>D7*M7</f>
        <v>36860.135145232052</v>
      </c>
      <c r="N9" s="115">
        <f>E7*N7</f>
        <v>22325.036263684458</v>
      </c>
      <c r="O9" s="115">
        <f>F7*O7</f>
        <v>124194.60424257671</v>
      </c>
      <c r="P9" s="118">
        <f t="shared" ref="P9:P12" si="1">SUM(L9:O9)</f>
        <v>203828.26198262896</v>
      </c>
      <c r="Q9" s="24"/>
    </row>
    <row r="10" spans="1:17" ht="17.5" x14ac:dyDescent="0.45">
      <c r="A10" s="22" t="s">
        <v>265</v>
      </c>
      <c r="B10" s="21" t="s">
        <v>263</v>
      </c>
      <c r="C10" s="25">
        <f t="shared" si="0"/>
        <v>85.086226837706249</v>
      </c>
      <c r="D10" s="25">
        <f t="shared" si="0"/>
        <v>86.656964224049034</v>
      </c>
      <c r="E10" s="25">
        <f t="shared" si="0"/>
        <v>89.54859288677541</v>
      </c>
      <c r="F10" s="25">
        <f t="shared" si="0"/>
        <v>82.453618850562563</v>
      </c>
      <c r="J10" s="124" t="s">
        <v>266</v>
      </c>
      <c r="K10" s="21" t="s">
        <v>108</v>
      </c>
      <c r="L10" s="115">
        <f>L7*C8</f>
        <v>4519.1154791809931</v>
      </c>
      <c r="M10" s="115">
        <f>M7*D8</f>
        <v>8146.0898670962843</v>
      </c>
      <c r="N10" s="115">
        <f>N7*E8</f>
        <v>4933.8330142742661</v>
      </c>
      <c r="O10" s="115">
        <f>O7*F8</f>
        <v>27447.007537609454</v>
      </c>
      <c r="P10" s="118">
        <f t="shared" si="1"/>
        <v>45046.045898160999</v>
      </c>
    </row>
    <row r="11" spans="1:17" ht="17.5" x14ac:dyDescent="0.45">
      <c r="A11" s="27" t="s">
        <v>267</v>
      </c>
      <c r="B11" s="28" t="s">
        <v>268</v>
      </c>
      <c r="C11" s="29">
        <f>SUM(C9:C10)</f>
        <v>470.09177813954449</v>
      </c>
      <c r="D11" s="29">
        <f t="shared" ref="D11:F11" si="2">SUM(D9:D10)</f>
        <v>478.76992451386366</v>
      </c>
      <c r="E11" s="29">
        <f t="shared" si="2"/>
        <v>494.74584576811208</v>
      </c>
      <c r="F11" s="29">
        <f t="shared" si="2"/>
        <v>455.546916816909</v>
      </c>
      <c r="J11" s="124" t="s">
        <v>269</v>
      </c>
      <c r="K11" s="21" t="s">
        <v>270</v>
      </c>
      <c r="L11" s="115">
        <f>L7*C9</f>
        <v>35239.558110657214</v>
      </c>
      <c r="M11" s="115">
        <f>M7*D9</f>
        <v>63522.2995669499</v>
      </c>
      <c r="N11" s="115">
        <f>N7*E9</f>
        <v>38473.479161082876</v>
      </c>
      <c r="O11" s="115">
        <f>O7*F9</f>
        <v>214028.70131137385</v>
      </c>
      <c r="P11" s="118">
        <f t="shared" si="1"/>
        <v>351264.03815006383</v>
      </c>
    </row>
    <row r="12" spans="1:17" ht="16.5" x14ac:dyDescent="0.45">
      <c r="B12"/>
      <c r="J12" s="124" t="s">
        <v>271</v>
      </c>
      <c r="K12" s="21" t="s">
        <v>270</v>
      </c>
      <c r="L12" s="115">
        <f>C10*L7</f>
        <v>7787.9423424552433</v>
      </c>
      <c r="M12" s="115">
        <f>D10*M7</f>
        <v>14038.428204295929</v>
      </c>
      <c r="N12" s="115">
        <f>E10*N7</f>
        <v>8502.6388945993167</v>
      </c>
      <c r="O12" s="115">
        <f>F10*O7</f>
        <v>47300.342989813624</v>
      </c>
      <c r="P12" s="118">
        <f t="shared" si="1"/>
        <v>77629.352431164109</v>
      </c>
    </row>
    <row r="13" spans="1:17" ht="17.5" x14ac:dyDescent="0.45">
      <c r="A13" s="446" t="s">
        <v>67</v>
      </c>
      <c r="B13" s="446" t="s">
        <v>69</v>
      </c>
      <c r="C13" s="432" t="s">
        <v>255</v>
      </c>
      <c r="D13" s="432"/>
      <c r="E13" s="432"/>
      <c r="F13" s="432"/>
      <c r="G13" s="416" t="s">
        <v>90</v>
      </c>
      <c r="I13" s="24"/>
      <c r="J13" s="124" t="s">
        <v>272</v>
      </c>
      <c r="K13" s="21" t="s">
        <v>263</v>
      </c>
      <c r="L13" s="116">
        <f>C7*CF*tC_to_tCO2</f>
        <v>385.00555130183824</v>
      </c>
      <c r="M13" s="116">
        <f t="shared" ref="M13:O14" si="3">D7*CF*tC_to_tCO2</f>
        <v>392.11296028981462</v>
      </c>
      <c r="N13" s="116">
        <f t="shared" si="3"/>
        <v>405.19725288133668</v>
      </c>
      <c r="O13" s="116">
        <f t="shared" si="3"/>
        <v>373.09329796634643</v>
      </c>
    </row>
    <row r="14" spans="1:17" ht="29" x14ac:dyDescent="0.45">
      <c r="A14" s="446"/>
      <c r="B14" s="446"/>
      <c r="C14" s="30" t="s">
        <v>221</v>
      </c>
      <c r="D14" s="30" t="s">
        <v>222</v>
      </c>
      <c r="E14" s="30" t="s">
        <v>223</v>
      </c>
      <c r="F14" s="30" t="s">
        <v>256</v>
      </c>
      <c r="G14" s="416"/>
      <c r="I14" s="24"/>
      <c r="J14" s="124" t="s">
        <v>273</v>
      </c>
      <c r="K14" s="21" t="s">
        <v>263</v>
      </c>
      <c r="L14" s="117">
        <f>C8*CF*tC_to_tCO2</f>
        <v>85.086226837706249</v>
      </c>
      <c r="M14" s="117">
        <f t="shared" si="3"/>
        <v>86.656964224049034</v>
      </c>
      <c r="N14" s="117">
        <f t="shared" si="3"/>
        <v>89.54859288677541</v>
      </c>
      <c r="O14" s="117">
        <f t="shared" si="3"/>
        <v>82.453618850562563</v>
      </c>
    </row>
    <row r="15" spans="1:17" ht="18.649999999999999" customHeight="1" x14ac:dyDescent="0.45">
      <c r="A15" s="46" t="s">
        <v>274</v>
      </c>
      <c r="B15" s="2" t="s">
        <v>126</v>
      </c>
      <c r="C15" s="90">
        <f>'Biomass inventory'!C9</f>
        <v>12944</v>
      </c>
      <c r="D15" s="90">
        <f>'Biomass inventory'!D9</f>
        <v>9275</v>
      </c>
      <c r="E15" s="90">
        <f>'Biomass inventory'!E9</f>
        <v>6696</v>
      </c>
      <c r="F15" s="90">
        <f>'Biomass inventory'!F9</f>
        <v>42473</v>
      </c>
      <c r="G15" s="203">
        <f>SUM(C15:F15)</f>
        <v>71388</v>
      </c>
      <c r="J15" s="124" t="s">
        <v>275</v>
      </c>
      <c r="K15" s="21" t="s">
        <v>263</v>
      </c>
      <c r="L15" s="117">
        <f>SUM(L13:L14)</f>
        <v>470.09177813954449</v>
      </c>
      <c r="M15" s="117">
        <f t="shared" ref="M15:O15" si="4">SUM(M13:M14)</f>
        <v>478.76992451386366</v>
      </c>
      <c r="N15" s="117">
        <f t="shared" si="4"/>
        <v>494.74584576811208</v>
      </c>
      <c r="O15" s="117">
        <f t="shared" si="4"/>
        <v>455.546916816909</v>
      </c>
    </row>
    <row r="16" spans="1:17" ht="17.5" x14ac:dyDescent="0.45">
      <c r="A16" s="46" t="s">
        <v>73</v>
      </c>
      <c r="B16" s="2" t="s">
        <v>73</v>
      </c>
      <c r="C16" s="204">
        <f>C15/$G$15</f>
        <v>0.18131898918585757</v>
      </c>
      <c r="D16" s="204">
        <f t="shared" ref="D16:F16" si="5">D15/$G$15</f>
        <v>0.12992379671653498</v>
      </c>
      <c r="E16" s="204">
        <f t="shared" si="5"/>
        <v>9.3797276853252648E-2</v>
      </c>
      <c r="F16" s="204">
        <f t="shared" si="5"/>
        <v>0.59495993724435481</v>
      </c>
      <c r="J16" s="124" t="s">
        <v>276</v>
      </c>
      <c r="K16" s="21" t="s">
        <v>263</v>
      </c>
      <c r="L16" s="117">
        <v>0</v>
      </c>
      <c r="M16" s="117">
        <v>0</v>
      </c>
      <c r="N16" s="117">
        <v>0</v>
      </c>
      <c r="O16" s="117">
        <v>0</v>
      </c>
    </row>
    <row r="17" spans="1:16" ht="30" x14ac:dyDescent="0.45">
      <c r="A17" s="305" t="s">
        <v>277</v>
      </c>
      <c r="B17" s="306" t="s">
        <v>268</v>
      </c>
      <c r="C17" s="307">
        <f>((C9*C15)+(D9*D15)+(E9*E15)+(F9*F15))/G15</f>
        <v>380.73558598864082</v>
      </c>
      <c r="J17" s="124" t="s">
        <v>278</v>
      </c>
      <c r="K17" s="22" t="s">
        <v>279</v>
      </c>
      <c r="L17" s="121">
        <f>MWE/(C7/Dmn)</f>
        <v>9.264327370361311E-2</v>
      </c>
      <c r="M17" s="121">
        <f>MWE/(D7/Dmn)</f>
        <v>9.0964028937742719E-2</v>
      </c>
      <c r="N17" s="121">
        <f>MWE/(E7/Dmn)</f>
        <v>8.8026694191611896E-2</v>
      </c>
      <c r="O17" s="121">
        <f>MWE/(F7/Dmn)</f>
        <v>9.560122055551902E-2</v>
      </c>
    </row>
    <row r="18" spans="1:16" ht="30" x14ac:dyDescent="0.45">
      <c r="A18" s="303" t="s">
        <v>280</v>
      </c>
      <c r="B18" s="304" t="s">
        <v>268</v>
      </c>
      <c r="C18" s="308">
        <f>(((C9+C10)*C15)+((D9+D10)*D15)+((E9+E10)*E15)+((F9+F10)*F15))/G15</f>
        <v>464.87815049213037</v>
      </c>
      <c r="F18" s="393"/>
      <c r="I18" s="24"/>
      <c r="J18" s="124" t="s">
        <v>281</v>
      </c>
      <c r="K18" s="21" t="s">
        <v>263</v>
      </c>
      <c r="L18" s="120">
        <f>L13*(1/BCEF)*L17</f>
        <v>21.486852208835337</v>
      </c>
      <c r="M18" s="120">
        <f>M13*(1/BCEF)*M17</f>
        <v>21.486852208835337</v>
      </c>
      <c r="N18" s="120">
        <f>N13*(1/BCEF)*N17</f>
        <v>21.486852208835337</v>
      </c>
      <c r="O18" s="120">
        <f>O13*(1/BCEF)*O17</f>
        <v>21.486852208835341</v>
      </c>
      <c r="P18" s="118">
        <f>SUM(L18:O18)</f>
        <v>85.947408835341363</v>
      </c>
    </row>
    <row r="19" spans="1:16" ht="17.5" x14ac:dyDescent="0.45">
      <c r="I19" s="24"/>
      <c r="J19" s="124" t="s">
        <v>282</v>
      </c>
      <c r="K19" s="21" t="s">
        <v>263</v>
      </c>
      <c r="L19" s="120">
        <f>L18*(1-WWTY)*(1-SLFTY)*(1-OFTY)</f>
        <v>2.6128012285943765</v>
      </c>
      <c r="M19" s="120">
        <f>M18*(1-WWTY)*(1-SLFTY)*(1-OFTY)</f>
        <v>2.6128012285943765</v>
      </c>
      <c r="N19" s="120">
        <f>N18*(1-WWTY)*(1-SLFTY)*(1-OFTY)</f>
        <v>2.6128012285943765</v>
      </c>
      <c r="O19" s="120">
        <f>O18*(1-WWTY)*(1-SLFTY)*(1-OFTY)</f>
        <v>2.6128012285943774</v>
      </c>
    </row>
    <row r="20" spans="1:16" ht="17.5" x14ac:dyDescent="0.45">
      <c r="J20" s="133" t="s">
        <v>283</v>
      </c>
      <c r="K20" s="134" t="s">
        <v>263</v>
      </c>
      <c r="L20" s="132">
        <f>AVERAGE(L19:O19)</f>
        <v>2.6128012285943765</v>
      </c>
    </row>
    <row r="37" spans="1:8" x14ac:dyDescent="0.35">
      <c r="B37" s="449" t="s">
        <v>284</v>
      </c>
      <c r="C37" s="449"/>
      <c r="D37" s="449"/>
      <c r="E37" s="450" t="s">
        <v>285</v>
      </c>
      <c r="F37" s="450"/>
      <c r="G37" s="450"/>
    </row>
    <row r="38" spans="1:8" x14ac:dyDescent="0.35">
      <c r="A38" s="447" t="s">
        <v>255</v>
      </c>
      <c r="B38" s="312" t="s">
        <v>286</v>
      </c>
      <c r="C38" s="312" t="s">
        <v>287</v>
      </c>
      <c r="D38" s="312" t="s">
        <v>90</v>
      </c>
      <c r="E38" s="312" t="s">
        <v>286</v>
      </c>
      <c r="F38" s="312" t="s">
        <v>287</v>
      </c>
      <c r="G38" s="312" t="s">
        <v>90</v>
      </c>
    </row>
    <row r="39" spans="1:8" x14ac:dyDescent="0.35">
      <c r="A39" s="447"/>
      <c r="B39" s="312" t="s">
        <v>288</v>
      </c>
      <c r="C39" s="312" t="s">
        <v>288</v>
      </c>
      <c r="D39" s="312" t="s">
        <v>288</v>
      </c>
      <c r="E39" s="312" t="s">
        <v>288</v>
      </c>
      <c r="F39" s="312" t="s">
        <v>288</v>
      </c>
      <c r="G39" s="312" t="s">
        <v>288</v>
      </c>
    </row>
    <row r="40" spans="1:8" x14ac:dyDescent="0.35">
      <c r="A40" s="311" t="s">
        <v>221</v>
      </c>
      <c r="B40" s="15">
        <v>224.7</v>
      </c>
      <c r="C40" s="15">
        <v>83.1</v>
      </c>
      <c r="D40" s="15">
        <f>C40+B40</f>
        <v>307.79999999999995</v>
      </c>
      <c r="E40" s="309">
        <f>C7</f>
        <v>223.40747657746903</v>
      </c>
      <c r="F40" s="310">
        <f>C8</f>
        <v>49.373052323620655</v>
      </c>
      <c r="G40" s="309">
        <f>SUM(E40:F40)</f>
        <v>272.78052890108967</v>
      </c>
      <c r="H40" s="155"/>
    </row>
    <row r="41" spans="1:8" x14ac:dyDescent="0.35">
      <c r="A41" s="311" t="s">
        <v>222</v>
      </c>
      <c r="B41" s="15">
        <v>268.3</v>
      </c>
      <c r="C41" s="15">
        <v>99.3</v>
      </c>
      <c r="D41" s="15">
        <f t="shared" ref="D41:D43" si="6">C41+B41</f>
        <v>367.6</v>
      </c>
      <c r="E41" s="309">
        <f>D7</f>
        <v>227.53169842735861</v>
      </c>
      <c r="F41" s="310">
        <f>D8</f>
        <v>50.284505352446253</v>
      </c>
      <c r="G41" s="309">
        <f t="shared" ref="G41:G43" si="7">SUM(E41:F41)</f>
        <v>277.81620377980488</v>
      </c>
      <c r="H41" s="155"/>
    </row>
    <row r="42" spans="1:8" x14ac:dyDescent="0.35">
      <c r="A42" s="311" t="s">
        <v>223</v>
      </c>
      <c r="B42" s="15">
        <v>223.9</v>
      </c>
      <c r="C42" s="15">
        <v>82.8</v>
      </c>
      <c r="D42" s="15">
        <f t="shared" si="6"/>
        <v>306.7</v>
      </c>
      <c r="E42" s="309">
        <f>E7</f>
        <v>235.12413126576601</v>
      </c>
      <c r="F42" s="310">
        <f>E8</f>
        <v>51.962433009734291</v>
      </c>
      <c r="G42" s="309">
        <f t="shared" si="7"/>
        <v>287.08656427550028</v>
      </c>
      <c r="H42" s="155"/>
    </row>
    <row r="43" spans="1:8" x14ac:dyDescent="0.35">
      <c r="A43" s="311" t="s">
        <v>256</v>
      </c>
      <c r="B43" s="15">
        <v>238.7</v>
      </c>
      <c r="C43" s="15">
        <v>88.3</v>
      </c>
      <c r="D43" s="15">
        <f t="shared" si="6"/>
        <v>327</v>
      </c>
      <c r="E43" s="309">
        <f>F7</f>
        <v>216.4951438876285</v>
      </c>
      <c r="F43" s="310">
        <f>F8</f>
        <v>47.845426799165899</v>
      </c>
      <c r="G43" s="309">
        <f t="shared" si="7"/>
        <v>264.34057068679442</v>
      </c>
      <c r="H43" s="155"/>
    </row>
    <row r="45" spans="1:8" x14ac:dyDescent="0.35">
      <c r="D45" s="15"/>
      <c r="G45" s="15"/>
      <c r="H45" s="155"/>
    </row>
  </sheetData>
  <sheetProtection sheet="1" objects="1" scenarios="1"/>
  <mergeCells count="16">
    <mergeCell ref="A38:A39"/>
    <mergeCell ref="B1:O1"/>
    <mergeCell ref="J5:J6"/>
    <mergeCell ref="K5:K6"/>
    <mergeCell ref="L5:O5"/>
    <mergeCell ref="A2:Q2"/>
    <mergeCell ref="P5:P6"/>
    <mergeCell ref="C5:F5"/>
    <mergeCell ref="B5:B6"/>
    <mergeCell ref="A5:A6"/>
    <mergeCell ref="B37:D37"/>
    <mergeCell ref="E37:G37"/>
    <mergeCell ref="G13:G14"/>
    <mergeCell ref="A13:A14"/>
    <mergeCell ref="B13:B14"/>
    <mergeCell ref="C13:F13"/>
  </mergeCells>
  <pageMargins left="0.511811024" right="0.511811024" top="0.78740157499999996" bottom="0.78740157499999996" header="0.31496062000000002" footer="0.31496062000000002"/>
  <pageSetup paperSize="9" orientation="portrait" r:id="rId1"/>
  <headerFooter>
    <oddHeader>&amp;L&amp;G</oddHead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94691-BAB5-46D7-AAF1-563EBC8462C0}">
  <sheetPr codeName="Planilha6">
    <tabColor theme="9"/>
  </sheetPr>
  <dimension ref="A1:H40"/>
  <sheetViews>
    <sheetView showGridLines="0" zoomScaleNormal="100" workbookViewId="0">
      <selection activeCell="E23" sqref="E23"/>
    </sheetView>
  </sheetViews>
  <sheetFormatPr defaultRowHeight="14.5" x14ac:dyDescent="0.35"/>
  <cols>
    <col min="1" max="1" width="4.1796875" customWidth="1"/>
    <col min="2" max="2" width="8.1796875" customWidth="1"/>
    <col min="3" max="3" width="17.453125" bestFit="1" customWidth="1"/>
    <col min="4" max="4" width="17.81640625" customWidth="1"/>
    <col min="5" max="5" width="15.54296875" customWidth="1"/>
    <col min="6" max="6" width="14.81640625" bestFit="1" customWidth="1"/>
    <col min="7" max="7" width="13.81640625" bestFit="1" customWidth="1"/>
    <col min="8" max="8" width="15.1796875" style="8" customWidth="1"/>
  </cols>
  <sheetData>
    <row r="1" spans="1:8" ht="25.25" customHeight="1" x14ac:dyDescent="0.35">
      <c r="A1" s="53" t="s">
        <v>0</v>
      </c>
      <c r="B1" s="40"/>
      <c r="C1" s="432" t="str">
        <f>Projeto</f>
        <v>FLORESTAL SANTA MARIA - CARAGUA AGRONEGÓCIOS LTDA</v>
      </c>
      <c r="D1" s="432"/>
      <c r="E1" s="432"/>
      <c r="F1" s="432"/>
      <c r="G1" s="432"/>
      <c r="H1" s="59"/>
    </row>
    <row r="2" spans="1:8" x14ac:dyDescent="0.35">
      <c r="A2" s="432" t="s">
        <v>289</v>
      </c>
      <c r="B2" s="432"/>
      <c r="C2" s="432"/>
      <c r="D2" s="432"/>
      <c r="E2" s="432"/>
      <c r="F2" s="432"/>
      <c r="G2" s="432"/>
      <c r="H2" s="432"/>
    </row>
    <row r="5" spans="1:8" x14ac:dyDescent="0.35">
      <c r="E5" s="446" t="s">
        <v>290</v>
      </c>
      <c r="F5" s="446"/>
      <c r="G5" s="446"/>
      <c r="H5" s="454" t="s">
        <v>217</v>
      </c>
    </row>
    <row r="6" spans="1:8" ht="14.5" customHeight="1" x14ac:dyDescent="0.35">
      <c r="E6" s="40">
        <f>Overview!B9</f>
        <v>2019</v>
      </c>
      <c r="F6" s="40">
        <f>E6+1</f>
        <v>2020</v>
      </c>
      <c r="G6" s="40">
        <f>F6+1</f>
        <v>2021</v>
      </c>
      <c r="H6" s="454"/>
    </row>
    <row r="7" spans="1:8" ht="14.5" customHeight="1" x14ac:dyDescent="0.35">
      <c r="A7" s="461" t="s">
        <v>255</v>
      </c>
      <c r="B7" s="452" t="s">
        <v>221</v>
      </c>
      <c r="C7" s="54" t="s">
        <v>291</v>
      </c>
      <c r="D7" s="52" t="s">
        <v>126</v>
      </c>
      <c r="E7" s="95">
        <f>VLOOKUP($B$7,Deforestation!$B$6:$F$9,MATCH(E6,Deforestation!$D$5:$F$5,0)+2, 0)</f>
        <v>0</v>
      </c>
      <c r="F7" s="95">
        <f>VLOOKUP($B$7,Deforestation!$B$6:$F$9,MATCH(F6,Deforestation!$D$5:$F$5,0)+2, 0)</f>
        <v>1.44</v>
      </c>
      <c r="G7" s="95">
        <f>VLOOKUP($B$7,Deforestation!$B$6:$F$9,MATCH(G6,Deforestation!$D$5:$F$5,0)+2, 0)</f>
        <v>90.08999999999989</v>
      </c>
      <c r="H7" s="60">
        <f>SUM(E7:G7)</f>
        <v>91.529999999999887</v>
      </c>
    </row>
    <row r="8" spans="1:8" ht="14.5" customHeight="1" x14ac:dyDescent="0.35">
      <c r="A8" s="461"/>
      <c r="B8" s="452"/>
      <c r="C8" s="55" t="s">
        <v>292</v>
      </c>
      <c r="D8" s="52" t="s">
        <v>126</v>
      </c>
      <c r="E8" s="95">
        <f>E7</f>
        <v>0</v>
      </c>
      <c r="F8" s="95">
        <f>F7+E8</f>
        <v>1.44</v>
      </c>
      <c r="G8" s="95">
        <f>G7+F8</f>
        <v>91.529999999999887</v>
      </c>
      <c r="H8" s="60">
        <f>SUM(E8:G8)</f>
        <v>92.969999999999885</v>
      </c>
    </row>
    <row r="9" spans="1:8" ht="14.5" customHeight="1" x14ac:dyDescent="0.35">
      <c r="A9" s="461"/>
      <c r="B9" s="452"/>
      <c r="C9" s="52" t="s">
        <v>293</v>
      </c>
      <c r="D9" s="52" t="s">
        <v>293</v>
      </c>
      <c r="E9" s="95">
        <f>E7*Biomass!$C$11</f>
        <v>0</v>
      </c>
      <c r="F9" s="95">
        <f>F7*Biomass!$C$11</f>
        <v>676.93216052094408</v>
      </c>
      <c r="G9" s="95">
        <f>G7*Biomass!$C$11</f>
        <v>42350.56829259151</v>
      </c>
      <c r="H9" s="60">
        <f>SUM(E9:G9)</f>
        <v>43027.50045311245</v>
      </c>
    </row>
    <row r="10" spans="1:8" ht="14.5" customHeight="1" x14ac:dyDescent="0.35">
      <c r="A10" s="461"/>
      <c r="B10" s="453"/>
      <c r="C10" s="58" t="s">
        <v>294</v>
      </c>
      <c r="D10" s="58" t="s">
        <v>295</v>
      </c>
      <c r="E10" s="268">
        <f>E9</f>
        <v>0</v>
      </c>
      <c r="F10" s="268">
        <f>F9+E10</f>
        <v>676.93216052094408</v>
      </c>
      <c r="G10" s="268">
        <f t="shared" ref="G10" si="0">G9+F10</f>
        <v>43027.50045311245</v>
      </c>
      <c r="H10" s="61"/>
    </row>
    <row r="11" spans="1:8" ht="14.5" customHeight="1" x14ac:dyDescent="0.35">
      <c r="A11" s="461"/>
      <c r="B11" s="460" t="s">
        <v>222</v>
      </c>
      <c r="C11" s="56" t="s">
        <v>291</v>
      </c>
      <c r="D11" s="57" t="s">
        <v>126</v>
      </c>
      <c r="E11" s="269">
        <f>VLOOKUP($B$11,Deforestation!$B$6:$F$9,MATCH(E6,Deforestation!$D$5:$F$5,0)+2, 0)</f>
        <v>26.459999999999901</v>
      </c>
      <c r="F11" s="269">
        <f>VLOOKUP($B$11,Deforestation!$B$6:$F$9,MATCH(F6,Deforestation!$D$5:$F$5,0)+2, 0)</f>
        <v>60.39</v>
      </c>
      <c r="G11" s="269">
        <f>VLOOKUP($B$11,Deforestation!$B$6:$F$9,MATCH(G6,Deforestation!$D$5:$F$5,0)+2, 0)</f>
        <v>75.149999999999906</v>
      </c>
      <c r="H11" s="62">
        <f>SUM(E11:G11)</f>
        <v>161.99999999999983</v>
      </c>
    </row>
    <row r="12" spans="1:8" ht="14.5" customHeight="1" x14ac:dyDescent="0.35">
      <c r="A12" s="461"/>
      <c r="B12" s="452"/>
      <c r="C12" s="55" t="s">
        <v>292</v>
      </c>
      <c r="D12" s="52" t="s">
        <v>126</v>
      </c>
      <c r="E12" s="95">
        <f>E11</f>
        <v>26.459999999999901</v>
      </c>
      <c r="F12" s="95">
        <f>F11+E12</f>
        <v>86.849999999999909</v>
      </c>
      <c r="G12" s="95">
        <f>G11+F12</f>
        <v>161.99999999999983</v>
      </c>
      <c r="H12" s="60">
        <f>SUM(E12:G12)</f>
        <v>275.3099999999996</v>
      </c>
    </row>
    <row r="13" spans="1:8" ht="14.5" customHeight="1" x14ac:dyDescent="0.35">
      <c r="A13" s="461"/>
      <c r="B13" s="452"/>
      <c r="C13" s="52" t="s">
        <v>293</v>
      </c>
      <c r="D13" s="52" t="s">
        <v>293</v>
      </c>
      <c r="E13" s="95">
        <f>E11*Biomass!$D$11</f>
        <v>12668.252202636786</v>
      </c>
      <c r="F13" s="95">
        <f>F11*Biomass!$D$11</f>
        <v>28912.915741392226</v>
      </c>
      <c r="G13" s="95">
        <f>G11*Biomass!$D$11</f>
        <v>35979.559827216806</v>
      </c>
      <c r="H13" s="60">
        <f>SUM(E13:G13)</f>
        <v>77560.727771245816</v>
      </c>
    </row>
    <row r="14" spans="1:8" ht="14.5" customHeight="1" x14ac:dyDescent="0.35">
      <c r="A14" s="461"/>
      <c r="B14" s="453"/>
      <c r="C14" s="58" t="s">
        <v>294</v>
      </c>
      <c r="D14" s="58" t="s">
        <v>295</v>
      </c>
      <c r="E14" s="268">
        <f>E13</f>
        <v>12668.252202636786</v>
      </c>
      <c r="F14" s="268">
        <f>F13+E14</f>
        <v>41581.16794402901</v>
      </c>
      <c r="G14" s="268">
        <f>G13+F14</f>
        <v>77560.727771245816</v>
      </c>
      <c r="H14" s="61"/>
    </row>
    <row r="15" spans="1:8" ht="14.5" customHeight="1" x14ac:dyDescent="0.35">
      <c r="A15" s="461"/>
      <c r="B15" s="460" t="str">
        <f>Deforestation!B8</f>
        <v>FOB Densa Submontana</v>
      </c>
      <c r="C15" s="56" t="s">
        <v>291</v>
      </c>
      <c r="D15" s="57" t="s">
        <v>126</v>
      </c>
      <c r="E15" s="269">
        <f>VLOOKUP($B$15,Deforestation!$B$6:$F$9,MATCH(E6,Deforestation!$D$5:$F$5,0)+2, 0)</f>
        <v>19.529999999999902</v>
      </c>
      <c r="F15" s="269">
        <f>VLOOKUP($B$15,Deforestation!$B$6:$F$9,MATCH(F6,Deforestation!$D$5:$F$5,0)+2, 0)</f>
        <v>37.44</v>
      </c>
      <c r="G15" s="269">
        <f>VLOOKUP($B$15,Deforestation!$B$6:$F$9,MATCH(G6,Deforestation!$D$5:$F$5,0)+2, 0)</f>
        <v>37.979999999999997</v>
      </c>
      <c r="H15" s="62">
        <f>SUM(E15:G15)</f>
        <v>94.949999999999903</v>
      </c>
    </row>
    <row r="16" spans="1:8" ht="14.5" customHeight="1" x14ac:dyDescent="0.35">
      <c r="A16" s="461"/>
      <c r="B16" s="452"/>
      <c r="C16" s="55" t="s">
        <v>292</v>
      </c>
      <c r="D16" s="52" t="s">
        <v>126</v>
      </c>
      <c r="E16" s="95">
        <f>E15</f>
        <v>19.529999999999902</v>
      </c>
      <c r="F16" s="95">
        <f>F15+E16</f>
        <v>56.969999999999899</v>
      </c>
      <c r="G16" s="95">
        <f>G15+F16</f>
        <v>94.949999999999903</v>
      </c>
      <c r="H16" s="60">
        <f>SUM(E16:G16)</f>
        <v>171.4499999999997</v>
      </c>
    </row>
    <row r="17" spans="1:8" ht="14.5" customHeight="1" x14ac:dyDescent="0.35">
      <c r="A17" s="461"/>
      <c r="B17" s="452"/>
      <c r="C17" s="52" t="s">
        <v>293</v>
      </c>
      <c r="D17" s="52" t="s">
        <v>293</v>
      </c>
      <c r="E17" s="95">
        <f>E15*Biomass!$E$11</f>
        <v>9662.3863678511807</v>
      </c>
      <c r="F17" s="95">
        <f>F15*Biomass!$E$11</f>
        <v>18523.284465558114</v>
      </c>
      <c r="G17" s="95">
        <f>G15*Biomass!$E$11</f>
        <v>18790.447222272895</v>
      </c>
      <c r="H17" s="60">
        <f>SUM(E17:G17)</f>
        <v>46976.118055682193</v>
      </c>
    </row>
    <row r="18" spans="1:8" ht="14.5" customHeight="1" x14ac:dyDescent="0.35">
      <c r="A18" s="461"/>
      <c r="B18" s="453"/>
      <c r="C18" s="58" t="s">
        <v>294</v>
      </c>
      <c r="D18" s="58" t="s">
        <v>295</v>
      </c>
      <c r="E18" s="268">
        <f>E17</f>
        <v>9662.3863678511807</v>
      </c>
      <c r="F18" s="268">
        <f>F17+E18</f>
        <v>28185.670833409295</v>
      </c>
      <c r="G18" s="268">
        <f t="shared" ref="G18" si="1">G17+F18</f>
        <v>46976.118055682193</v>
      </c>
      <c r="H18" s="61"/>
    </row>
    <row r="19" spans="1:8" ht="14.5" customHeight="1" x14ac:dyDescent="0.35">
      <c r="A19" s="461"/>
      <c r="B19" s="460" t="str">
        <f>Deforestation!B9</f>
        <v>FOB Submontana</v>
      </c>
      <c r="C19" s="56" t="s">
        <v>291</v>
      </c>
      <c r="D19" s="57" t="s">
        <v>126</v>
      </c>
      <c r="E19" s="269">
        <f>VLOOKUP($B$19,Deforestation!$B$6:$F$9,MATCH(E6,Deforestation!$D$5:$F$5,0)+2, 0)</f>
        <v>110.33999999999899</v>
      </c>
      <c r="F19" s="269">
        <f>VLOOKUP($B$19,Deforestation!$B$6:$F$9,MATCH(F6,Deforestation!$D$5:$F$5,0)+2, 0)</f>
        <v>142.10999999999999</v>
      </c>
      <c r="G19" s="269">
        <f>VLOOKUP($B$19,Deforestation!$B$6:$F$9,MATCH(G6,Deforestation!$D$5:$F$5,0)+2, 0)</f>
        <v>321.20999999999987</v>
      </c>
      <c r="H19" s="62">
        <f>SUM(E19:G19)</f>
        <v>573.65999999999883</v>
      </c>
    </row>
    <row r="20" spans="1:8" ht="14.5" customHeight="1" x14ac:dyDescent="0.35">
      <c r="A20" s="461"/>
      <c r="B20" s="452"/>
      <c r="C20" s="55" t="s">
        <v>292</v>
      </c>
      <c r="D20" s="52" t="s">
        <v>126</v>
      </c>
      <c r="E20" s="95">
        <f>E19</f>
        <v>110.33999999999899</v>
      </c>
      <c r="F20" s="95">
        <f>F19+E20</f>
        <v>252.44999999999897</v>
      </c>
      <c r="G20" s="95">
        <f>G19+F20</f>
        <v>573.65999999999883</v>
      </c>
      <c r="H20" s="60">
        <f>SUM(E20:G20)</f>
        <v>936.44999999999686</v>
      </c>
    </row>
    <row r="21" spans="1:8" ht="14.5" customHeight="1" x14ac:dyDescent="0.35">
      <c r="A21" s="461"/>
      <c r="B21" s="452"/>
      <c r="C21" s="52" t="s">
        <v>293</v>
      </c>
      <c r="D21" s="52" t="s">
        <v>293</v>
      </c>
      <c r="E21" s="95">
        <f>E19*Biomass!$F$11</f>
        <v>50265.046801577279</v>
      </c>
      <c r="F21" s="95">
        <f>F19*Biomass!$F$11</f>
        <v>64737.772348850929</v>
      </c>
      <c r="G21" s="95">
        <f>G19*Biomass!$F$11</f>
        <v>146326.22515075927</v>
      </c>
      <c r="H21" s="60">
        <f>SUM(E21:G21)</f>
        <v>261329.04430118747</v>
      </c>
    </row>
    <row r="22" spans="1:8" ht="14.5" customHeight="1" x14ac:dyDescent="0.35">
      <c r="A22" s="461"/>
      <c r="B22" s="453"/>
      <c r="C22" s="58" t="s">
        <v>294</v>
      </c>
      <c r="D22" s="58" t="s">
        <v>295</v>
      </c>
      <c r="E22" s="268">
        <f>E21</f>
        <v>50265.046801577279</v>
      </c>
      <c r="F22" s="268">
        <f>F21+E22</f>
        <v>115002.8191504282</v>
      </c>
      <c r="G22" s="268">
        <f t="shared" ref="G22" si="2">G21+F22</f>
        <v>261329.04430118747</v>
      </c>
      <c r="H22" s="61"/>
    </row>
    <row r="23" spans="1:8" ht="26" customHeight="1" x14ac:dyDescent="0.35">
      <c r="C23" s="52" t="s">
        <v>296</v>
      </c>
      <c r="D23" s="52" t="s">
        <v>293</v>
      </c>
      <c r="E23" s="313">
        <f>E21+E17+E13+E9</f>
        <v>72595.685372065243</v>
      </c>
      <c r="F23" s="313">
        <f t="shared" ref="F23:G23" si="3">F21+F17+F13+F9</f>
        <v>112850.9047163222</v>
      </c>
      <c r="G23" s="313">
        <f t="shared" si="3"/>
        <v>243446.8004928405</v>
      </c>
      <c r="H23"/>
    </row>
    <row r="26" spans="1:8" x14ac:dyDescent="0.35">
      <c r="B26" s="432" t="s">
        <v>290</v>
      </c>
      <c r="C26" s="455" t="s">
        <v>297</v>
      </c>
      <c r="D26" s="455"/>
      <c r="E26" s="456" t="s">
        <v>298</v>
      </c>
      <c r="F26" s="457"/>
    </row>
    <row r="27" spans="1:8" x14ac:dyDescent="0.35">
      <c r="A27" s="451"/>
      <c r="B27" s="432"/>
      <c r="C27" s="455"/>
      <c r="D27" s="455"/>
      <c r="E27" s="458"/>
      <c r="F27" s="459"/>
    </row>
    <row r="28" spans="1:8" ht="29" x14ac:dyDescent="0.35">
      <c r="A28" s="451"/>
      <c r="B28" s="432"/>
      <c r="C28" s="70" t="s">
        <v>299</v>
      </c>
      <c r="D28" s="70" t="s">
        <v>300</v>
      </c>
      <c r="E28" s="125" t="s">
        <v>90</v>
      </c>
      <c r="F28" s="126" t="s">
        <v>301</v>
      </c>
    </row>
    <row r="29" spans="1:8" x14ac:dyDescent="0.35">
      <c r="A29" s="66"/>
      <c r="B29" s="432"/>
      <c r="C29" s="70" t="s">
        <v>126</v>
      </c>
      <c r="D29" s="70" t="s">
        <v>126</v>
      </c>
      <c r="E29" s="125" t="s">
        <v>293</v>
      </c>
      <c r="F29" s="127" t="s">
        <v>295</v>
      </c>
    </row>
    <row r="30" spans="1:8" x14ac:dyDescent="0.35">
      <c r="B30" s="21">
        <f>E6</f>
        <v>2019</v>
      </c>
      <c r="C30" s="89">
        <f>SUM(E$7,E$11,E$15,E$19)</f>
        <v>156.32999999999879</v>
      </c>
      <c r="D30" s="90">
        <f>C30</f>
        <v>156.32999999999879</v>
      </c>
      <c r="E30" s="128">
        <f>SUM($E$9,$E$13,$E$17,$E$21)</f>
        <v>72595.685372065243</v>
      </c>
      <c r="F30" s="129">
        <f>E30</f>
        <v>72595.685372065243</v>
      </c>
    </row>
    <row r="31" spans="1:8" x14ac:dyDescent="0.35">
      <c r="B31" s="21">
        <f>B30+1</f>
        <v>2020</v>
      </c>
      <c r="C31" s="89">
        <f>SUM(F$7,F$11,F$15,F$19)</f>
        <v>241.38</v>
      </c>
      <c r="D31" s="90">
        <f>D30+C31</f>
        <v>397.70999999999879</v>
      </c>
      <c r="E31" s="128">
        <f>SUM($F$9,$F$13,$F$17,$F$21)</f>
        <v>112850.90471632221</v>
      </c>
      <c r="F31" s="129">
        <f>F30+E31</f>
        <v>185446.59008838746</v>
      </c>
    </row>
    <row r="32" spans="1:8" x14ac:dyDescent="0.35">
      <c r="B32" s="21">
        <f t="shared" ref="B32" si="4">B31+1</f>
        <v>2021</v>
      </c>
      <c r="C32" s="89">
        <f>SUM(G$7,G$11,G$15,G$19)</f>
        <v>524.42999999999961</v>
      </c>
      <c r="D32" s="90">
        <f t="shared" ref="D32" si="5">D31+C32</f>
        <v>922.13999999999839</v>
      </c>
      <c r="E32" s="128">
        <f>SUM($G$9,$G$13,$G$17,$G$21)</f>
        <v>243446.80049284047</v>
      </c>
      <c r="F32" s="129">
        <f t="shared" ref="F32" si="6">F31+E32</f>
        <v>428893.39058122796</v>
      </c>
    </row>
    <row r="33" spans="2:6" x14ac:dyDescent="0.35">
      <c r="B33" s="67" t="s">
        <v>90</v>
      </c>
      <c r="C33" s="68">
        <f>SUM(C30:C32)</f>
        <v>922.13999999999839</v>
      </c>
      <c r="D33" s="69"/>
      <c r="E33" s="130">
        <f>SUM(E30:E32)</f>
        <v>428893.39058122796</v>
      </c>
      <c r="F33" s="131"/>
    </row>
    <row r="40" spans="2:6" x14ac:dyDescent="0.35">
      <c r="C40" s="99"/>
      <c r="D40" s="99"/>
    </row>
  </sheetData>
  <sheetProtection sheet="1" objects="1" scenarios="1"/>
  <mergeCells count="13">
    <mergeCell ref="A27:A28"/>
    <mergeCell ref="B26:B29"/>
    <mergeCell ref="B7:B10"/>
    <mergeCell ref="C1:G1"/>
    <mergeCell ref="A2:H2"/>
    <mergeCell ref="H5:H6"/>
    <mergeCell ref="C26:D27"/>
    <mergeCell ref="E26:F27"/>
    <mergeCell ref="B11:B14"/>
    <mergeCell ref="B15:B18"/>
    <mergeCell ref="B19:B22"/>
    <mergeCell ref="A7:A22"/>
    <mergeCell ref="E5:G5"/>
  </mergeCells>
  <pageMargins left="0.511811024" right="0.511811024" top="0.78740157499999996" bottom="0.78740157499999996" header="0.31496062000000002" footer="0.31496062000000002"/>
  <pageSetup paperSize="9" orientation="portrait" r:id="rId1"/>
  <ignoredErrors>
    <ignoredError sqref="F21:G21 F19:G19 F17:G17 E15:G15 E13:G13 F11:G11 G9"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D3B7B-ACE9-4FA6-AC8B-6066E4DD3D55}">
  <sheetPr codeName="Planilha7">
    <tabColor theme="9"/>
  </sheetPr>
  <dimension ref="A1:L31"/>
  <sheetViews>
    <sheetView showGridLines="0" zoomScaleNormal="100" workbookViewId="0">
      <selection activeCell="D6" sqref="D6:G21"/>
    </sheetView>
  </sheetViews>
  <sheetFormatPr defaultRowHeight="14.5" x14ac:dyDescent="0.35"/>
  <cols>
    <col min="1" max="1" width="10.453125" customWidth="1"/>
    <col min="2" max="2" width="22.81640625" customWidth="1"/>
    <col min="3" max="3" width="13.54296875" style="46" bestFit="1" customWidth="1"/>
    <col min="4" max="4" width="11.81640625" bestFit="1" customWidth="1"/>
    <col min="5" max="6" width="12.81640625" bestFit="1" customWidth="1"/>
    <col min="7" max="7" width="16" bestFit="1" customWidth="1"/>
    <col min="8" max="8" width="14.54296875" bestFit="1" customWidth="1"/>
    <col min="9" max="9" width="14.81640625" bestFit="1" customWidth="1"/>
    <col min="10" max="10" width="11.1796875" bestFit="1" customWidth="1"/>
    <col min="11" max="11" width="12.1796875" bestFit="1" customWidth="1"/>
  </cols>
  <sheetData>
    <row r="1" spans="1:12" ht="25.25" customHeight="1" x14ac:dyDescent="0.35">
      <c r="A1" s="40" t="s">
        <v>0</v>
      </c>
      <c r="B1" s="40"/>
      <c r="C1" s="432" t="str">
        <f>Projeto</f>
        <v>FLORESTAL SANTA MARIA - CARAGUA AGRONEGÓCIOS LTDA</v>
      </c>
      <c r="D1" s="432"/>
      <c r="E1" s="432"/>
      <c r="F1" s="432"/>
      <c r="G1" s="432"/>
      <c r="H1" s="432"/>
      <c r="I1" s="432"/>
      <c r="J1" s="432"/>
      <c r="K1" s="41"/>
    </row>
    <row r="2" spans="1:12" x14ac:dyDescent="0.35">
      <c r="A2" s="432" t="s">
        <v>302</v>
      </c>
      <c r="B2" s="432"/>
      <c r="C2" s="432"/>
      <c r="D2" s="432"/>
      <c r="E2" s="432"/>
      <c r="F2" s="432"/>
      <c r="G2" s="432"/>
      <c r="H2" s="432"/>
      <c r="I2" s="432"/>
      <c r="J2" s="432"/>
      <c r="K2" s="432"/>
    </row>
    <row r="4" spans="1:12" x14ac:dyDescent="0.35">
      <c r="B4" s="462" t="s">
        <v>67</v>
      </c>
      <c r="C4" s="462" t="s">
        <v>69</v>
      </c>
      <c r="D4" s="462" t="s">
        <v>216</v>
      </c>
      <c r="E4" s="462"/>
      <c r="F4" s="462"/>
      <c r="G4" s="462" t="s">
        <v>217</v>
      </c>
      <c r="L4" s="24"/>
    </row>
    <row r="5" spans="1:12" x14ac:dyDescent="0.35">
      <c r="B5" s="462"/>
      <c r="C5" s="462"/>
      <c r="D5" s="295">
        <f>Overview!B9</f>
        <v>2019</v>
      </c>
      <c r="E5" s="295">
        <f>D5+1</f>
        <v>2020</v>
      </c>
      <c r="F5" s="295">
        <f t="shared" ref="F5" si="0">E5+1</f>
        <v>2021</v>
      </c>
      <c r="G5" s="462"/>
    </row>
    <row r="6" spans="1:12" x14ac:dyDescent="0.35">
      <c r="A6" s="474" t="s">
        <v>17</v>
      </c>
      <c r="B6" s="271" t="s">
        <v>90</v>
      </c>
      <c r="C6" s="276" t="s">
        <v>293</v>
      </c>
      <c r="D6" s="281">
        <f>'BL-ED'!E30</f>
        <v>72595.685372065243</v>
      </c>
      <c r="E6" s="281">
        <f>'BL-ED'!E31</f>
        <v>112850.90471632221</v>
      </c>
      <c r="F6" s="281">
        <f>'BL-ED'!E32</f>
        <v>243446.80049284047</v>
      </c>
      <c r="G6" s="287">
        <f>SUM(D6:F6)</f>
        <v>428893.39058122796</v>
      </c>
    </row>
    <row r="7" spans="1:12" x14ac:dyDescent="0.35">
      <c r="A7" s="475"/>
      <c r="B7" s="272" t="s">
        <v>301</v>
      </c>
      <c r="C7" s="277" t="s">
        <v>295</v>
      </c>
      <c r="D7" s="282">
        <f>D6</f>
        <v>72595.685372065243</v>
      </c>
      <c r="E7" s="282">
        <f>E6+D7</f>
        <v>185446.59008838746</v>
      </c>
      <c r="F7" s="282">
        <f t="shared" ref="F7" si="1">F6+E7</f>
        <v>428893.39058122796</v>
      </c>
      <c r="G7" s="288"/>
    </row>
    <row r="8" spans="1:12" ht="14.5" customHeight="1" x14ac:dyDescent="0.35">
      <c r="B8" s="271" t="s">
        <v>303</v>
      </c>
      <c r="C8" s="276" t="s">
        <v>126</v>
      </c>
      <c r="D8" s="283">
        <f>Deforestation!D10</f>
        <v>156.32999999999879</v>
      </c>
      <c r="E8" s="283">
        <f>Deforestation!E10</f>
        <v>241.38</v>
      </c>
      <c r="F8" s="283">
        <f>Deforestation!F10</f>
        <v>524.42999999999961</v>
      </c>
      <c r="G8" s="289">
        <f>SUM(D8:F8)</f>
        <v>922.13999999999839</v>
      </c>
    </row>
    <row r="9" spans="1:12" x14ac:dyDescent="0.35">
      <c r="B9" s="271" t="s">
        <v>304</v>
      </c>
      <c r="C9" s="276" t="s">
        <v>126</v>
      </c>
      <c r="D9" s="283">
        <f>D8</f>
        <v>156.32999999999879</v>
      </c>
      <c r="E9" s="283">
        <f>D9+E8</f>
        <v>397.70999999999879</v>
      </c>
      <c r="F9" s="283">
        <f t="shared" ref="F9" si="2">E9+F8</f>
        <v>922.13999999999839</v>
      </c>
      <c r="G9" s="289"/>
    </row>
    <row r="10" spans="1:12" s="8" customFormat="1" ht="17" customHeight="1" x14ac:dyDescent="0.35">
      <c r="A10" s="464" t="s">
        <v>305</v>
      </c>
      <c r="B10" s="273" t="s">
        <v>306</v>
      </c>
      <c r="C10" s="278" t="s">
        <v>295</v>
      </c>
      <c r="D10" s="396">
        <f>D8*COMFi*GgCH4*GWPgCH4*Conversion*$I$26</f>
        <v>2731.3671175448721</v>
      </c>
      <c r="E10" s="284">
        <f t="shared" ref="E10:F10" si="3">E8*COMFi*GgCH4*GWPgCH4*Conversion*$I$26</f>
        <v>4217.3440467791606</v>
      </c>
      <c r="F10" s="284">
        <f t="shared" si="3"/>
        <v>9162.7381657651604</v>
      </c>
      <c r="G10" s="290">
        <f>SUM(D10:F10)</f>
        <v>16111.449330089194</v>
      </c>
      <c r="L10" s="402"/>
    </row>
    <row r="11" spans="1:12" s="8" customFormat="1" ht="17" customHeight="1" x14ac:dyDescent="0.35">
      <c r="A11" s="465"/>
      <c r="B11" s="274" t="s">
        <v>307</v>
      </c>
      <c r="C11" s="279" t="s">
        <v>295</v>
      </c>
      <c r="D11" s="285">
        <f>D10</f>
        <v>2731.3671175448721</v>
      </c>
      <c r="E11" s="285">
        <f>D11+E10</f>
        <v>6948.7111643240332</v>
      </c>
      <c r="F11" s="285">
        <f t="shared" ref="F11" si="4">E11+F10</f>
        <v>16111.449330089194</v>
      </c>
      <c r="G11" s="291"/>
    </row>
    <row r="12" spans="1:12" ht="14.5" customHeight="1" x14ac:dyDescent="0.35">
      <c r="A12" s="466" t="s">
        <v>308</v>
      </c>
      <c r="B12" s="275" t="s">
        <v>309</v>
      </c>
      <c r="C12" s="280" t="s">
        <v>295</v>
      </c>
      <c r="D12" s="397">
        <f>D8*COMFi*GgN2O*GWPgN2O*Conversion*$I$26</f>
        <v>1077.1016162937367</v>
      </c>
      <c r="E12" s="286">
        <f t="shared" ref="E12:F12" si="5">E8*COMFi*GgN2O*GWPgN2O*Conversion*$I$26</f>
        <v>1663.0895422566634</v>
      </c>
      <c r="F12" s="286">
        <f t="shared" si="5"/>
        <v>3613.2821635829878</v>
      </c>
      <c r="G12" s="292">
        <f>SUM(D12:F12)</f>
        <v>6353.4733221333881</v>
      </c>
    </row>
    <row r="13" spans="1:12" x14ac:dyDescent="0.35">
      <c r="A13" s="467"/>
      <c r="B13" s="272" t="s">
        <v>310</v>
      </c>
      <c r="C13" s="277" t="s">
        <v>295</v>
      </c>
      <c r="D13" s="282">
        <f>D12</f>
        <v>1077.1016162937367</v>
      </c>
      <c r="E13" s="282">
        <f>E12+D13</f>
        <v>2740.1911585504004</v>
      </c>
      <c r="F13" s="282">
        <f t="shared" ref="F13" si="6">F12+E13</f>
        <v>6353.4733221333881</v>
      </c>
      <c r="G13" s="288"/>
    </row>
    <row r="14" spans="1:12" x14ac:dyDescent="0.35">
      <c r="B14" s="271" t="s">
        <v>311</v>
      </c>
      <c r="C14" s="276" t="s">
        <v>295</v>
      </c>
      <c r="D14" s="283">
        <f>SUM(D10,D12)</f>
        <v>3808.4687338386088</v>
      </c>
      <c r="E14" s="283">
        <f t="shared" ref="E14:F14" si="7">SUM(E10,E12)</f>
        <v>5880.4335890358243</v>
      </c>
      <c r="F14" s="283">
        <f t="shared" si="7"/>
        <v>12776.020329348148</v>
      </c>
      <c r="G14" s="289">
        <f>SUM(D14:F14)</f>
        <v>22464.92265222258</v>
      </c>
    </row>
    <row r="15" spans="1:12" x14ac:dyDescent="0.35">
      <c r="A15" s="468" t="s">
        <v>312</v>
      </c>
      <c r="B15" s="273" t="s">
        <v>313</v>
      </c>
      <c r="C15" s="278" t="s">
        <v>295</v>
      </c>
      <c r="D15" s="286">
        <f>D8*CWP_average</f>
        <v>408.4592160661557</v>
      </c>
      <c r="E15" s="286">
        <f t="shared" ref="E15:F15" si="8">E8*CWP_average</f>
        <v>630.67796055811061</v>
      </c>
      <c r="F15" s="286">
        <f t="shared" si="8"/>
        <v>1370.2313483117478</v>
      </c>
      <c r="G15" s="292">
        <f>SUM(D15:F15)</f>
        <v>2409.3685249360142</v>
      </c>
    </row>
    <row r="16" spans="1:12" x14ac:dyDescent="0.35">
      <c r="A16" s="469"/>
      <c r="B16" s="274" t="s">
        <v>314</v>
      </c>
      <c r="C16" s="279" t="s">
        <v>295</v>
      </c>
      <c r="D16" s="282">
        <f>D15</f>
        <v>408.4592160661557</v>
      </c>
      <c r="E16" s="282">
        <f>E15+D16</f>
        <v>1039.1371766242664</v>
      </c>
      <c r="F16" s="282">
        <f t="shared" ref="F16" si="9">F15+E16</f>
        <v>2409.3685249360142</v>
      </c>
      <c r="G16" s="288"/>
    </row>
    <row r="17" spans="1:11" x14ac:dyDescent="0.35">
      <c r="A17" s="470" t="s">
        <v>315</v>
      </c>
      <c r="B17" s="273" t="s">
        <v>316</v>
      </c>
      <c r="C17" s="278" t="s">
        <v>295</v>
      </c>
      <c r="D17" s="286">
        <f t="shared" ref="D17:F17" si="10">D8*pasture_percentage*pasture_tco2ha</f>
        <v>2109.4701209999835</v>
      </c>
      <c r="E17" s="286">
        <f t="shared" si="10"/>
        <v>3257.1093059999994</v>
      </c>
      <c r="F17" s="286">
        <f t="shared" si="10"/>
        <v>7076.5010909999937</v>
      </c>
      <c r="G17" s="292">
        <f>SUM(D17:F17)</f>
        <v>12443.080517999977</v>
      </c>
    </row>
    <row r="18" spans="1:11" x14ac:dyDescent="0.35">
      <c r="A18" s="471"/>
      <c r="B18" s="274" t="s">
        <v>317</v>
      </c>
      <c r="C18" s="279" t="s">
        <v>295</v>
      </c>
      <c r="D18" s="282">
        <f>D17</f>
        <v>2109.4701209999835</v>
      </c>
      <c r="E18" s="282">
        <f>E17+D18</f>
        <v>5366.5794269999824</v>
      </c>
      <c r="F18" s="282">
        <f t="shared" ref="F18" si="11">F17+E18</f>
        <v>12443.080517999977</v>
      </c>
      <c r="G18" s="288"/>
      <c r="H18" s="2"/>
      <c r="I18" s="2"/>
      <c r="J18" s="2"/>
      <c r="K18" s="2"/>
    </row>
    <row r="19" spans="1:11" x14ac:dyDescent="0.35">
      <c r="A19" s="472" t="s">
        <v>318</v>
      </c>
      <c r="B19" s="273" t="s">
        <v>319</v>
      </c>
      <c r="C19" s="278" t="s">
        <v>295</v>
      </c>
      <c r="D19" s="286">
        <f>D8*coffee_percentage*coffee_tcoha</f>
        <v>1312.6508999999896</v>
      </c>
      <c r="E19" s="286">
        <f>E8*coffee_percentage*coffee_tcoha</f>
        <v>2026.7873999999999</v>
      </c>
      <c r="F19" s="286">
        <f t="shared" ref="F19" si="12">F8*coffee_percentage*coffee_tcoha</f>
        <v>4403.4638999999961</v>
      </c>
      <c r="G19" s="292">
        <f>SUM(D19:F19)</f>
        <v>7742.9021999999859</v>
      </c>
      <c r="H19" s="2"/>
      <c r="I19" s="2"/>
      <c r="J19" s="2"/>
      <c r="K19" s="2"/>
    </row>
    <row r="20" spans="1:11" x14ac:dyDescent="0.35">
      <c r="A20" s="473"/>
      <c r="B20" s="274" t="s">
        <v>320</v>
      </c>
      <c r="C20" s="279" t="s">
        <v>295</v>
      </c>
      <c r="D20" s="282">
        <f>D19</f>
        <v>1312.6508999999896</v>
      </c>
      <c r="E20" s="282">
        <f>E19+D20</f>
        <v>3339.4382999999898</v>
      </c>
      <c r="F20" s="282">
        <f t="shared" ref="F20" si="13">F19+E20</f>
        <v>7742.9021999999859</v>
      </c>
      <c r="G20" s="288"/>
      <c r="H20" s="2"/>
      <c r="I20" s="2"/>
      <c r="J20" s="2"/>
      <c r="K20" s="2"/>
    </row>
    <row r="21" spans="1:11" x14ac:dyDescent="0.35">
      <c r="A21" s="135"/>
      <c r="B21" s="135"/>
      <c r="C21" s="293" t="s">
        <v>321</v>
      </c>
      <c r="D21" s="294">
        <f>D6+D10+D12-(D15+D17+D19)</f>
        <v>72573.573868837717</v>
      </c>
      <c r="E21" s="294">
        <f t="shared" ref="E21:F21" si="14">E6+E10+E12-(E15+E17+E19)</f>
        <v>112816.76363879994</v>
      </c>
      <c r="F21" s="294">
        <f t="shared" si="14"/>
        <v>243372.62448287685</v>
      </c>
      <c r="G21" s="2"/>
      <c r="H21" s="2"/>
      <c r="I21" s="2"/>
      <c r="J21" s="2"/>
      <c r="K21" s="2"/>
    </row>
    <row r="22" spans="1:11" x14ac:dyDescent="0.35">
      <c r="B22" s="5"/>
    </row>
    <row r="23" spans="1:11" ht="30" customHeight="1" x14ac:dyDescent="0.35">
      <c r="B23" s="446" t="s">
        <v>67</v>
      </c>
      <c r="C23" s="446" t="s">
        <v>69</v>
      </c>
      <c r="D23" s="432" t="s">
        <v>255</v>
      </c>
      <c r="E23" s="432"/>
      <c r="F23" s="432"/>
      <c r="G23" s="432"/>
      <c r="H23" s="51" t="s">
        <v>322</v>
      </c>
      <c r="I23" s="51" t="s">
        <v>322</v>
      </c>
      <c r="J23" s="51" t="s">
        <v>90</v>
      </c>
    </row>
    <row r="24" spans="1:11" ht="29" x14ac:dyDescent="0.4">
      <c r="B24" s="446"/>
      <c r="C24" s="446"/>
      <c r="D24" s="30" t="s">
        <v>221</v>
      </c>
      <c r="E24" s="30" t="s">
        <v>222</v>
      </c>
      <c r="F24" s="30" t="s">
        <v>223</v>
      </c>
      <c r="G24" s="30" t="s">
        <v>256</v>
      </c>
      <c r="H24" s="78" t="s">
        <v>323</v>
      </c>
      <c r="I24" s="77" t="s">
        <v>324</v>
      </c>
      <c r="J24" s="78" t="s">
        <v>323</v>
      </c>
    </row>
    <row r="25" spans="1:11" ht="16.5" x14ac:dyDescent="0.45">
      <c r="B25" s="5" t="s">
        <v>275</v>
      </c>
      <c r="C25" s="16" t="s">
        <v>325</v>
      </c>
      <c r="D25" s="90">
        <f>SUM(D26:D27)</f>
        <v>470.09177813954449</v>
      </c>
      <c r="E25" s="90">
        <f t="shared" ref="E25:G25" si="15">SUM(E26:E27)</f>
        <v>478.76992451386366</v>
      </c>
      <c r="F25" s="90">
        <f t="shared" si="15"/>
        <v>494.74584576811208</v>
      </c>
      <c r="G25" s="90">
        <f t="shared" si="15"/>
        <v>455.546916816909</v>
      </c>
      <c r="H25" s="95">
        <f>SUMPRODUCT(D25:G25,$D$29:$G$29)/SUM($D$29:$G$29)</f>
        <v>463.79771329350808</v>
      </c>
      <c r="I25" s="25">
        <f>H25/CF/tC_to_tCO2</f>
        <v>269.12826690145539</v>
      </c>
      <c r="J25" s="94">
        <f>SUM(D25:G25)</f>
        <v>1899.1544652384293</v>
      </c>
      <c r="K25" s="463" t="s">
        <v>326</v>
      </c>
    </row>
    <row r="26" spans="1:11" ht="15.65" customHeight="1" x14ac:dyDescent="0.45">
      <c r="B26" s="5" t="s">
        <v>272</v>
      </c>
      <c r="C26" s="16" t="s">
        <v>325</v>
      </c>
      <c r="D26" s="90">
        <f>Biomass!L13</f>
        <v>385.00555130183824</v>
      </c>
      <c r="E26" s="90">
        <f>Biomass!M13</f>
        <v>392.11296028981462</v>
      </c>
      <c r="F26" s="90">
        <f>Biomass!N13</f>
        <v>405.19725288133668</v>
      </c>
      <c r="G26" s="90">
        <f>Biomass!O13</f>
        <v>373.09329796634643</v>
      </c>
      <c r="H26" s="95">
        <v>379.7132542259186</v>
      </c>
      <c r="I26" s="25">
        <f>H26/CF/tC_to_tCO2</f>
        <v>220.33651115623906</v>
      </c>
      <c r="J26" s="94">
        <f>SUM(D26:G26)</f>
        <v>1555.4090624393359</v>
      </c>
      <c r="K26" s="463"/>
    </row>
    <row r="27" spans="1:11" ht="16.5" x14ac:dyDescent="0.45">
      <c r="B27" s="5" t="s">
        <v>273</v>
      </c>
      <c r="C27" s="16" t="s">
        <v>325</v>
      </c>
      <c r="D27" s="90">
        <f>Biomass!L14</f>
        <v>85.086226837706249</v>
      </c>
      <c r="E27" s="90">
        <f>Biomass!M14</f>
        <v>86.656964224049034</v>
      </c>
      <c r="F27" s="90">
        <f>Biomass!N14</f>
        <v>89.54859288677541</v>
      </c>
      <c r="G27" s="90">
        <f>Biomass!O14</f>
        <v>82.453618850562563</v>
      </c>
      <c r="H27" s="95">
        <f>SUMPRODUCT(D27:G27,$D$29:$G$29)/SUM($D$29:$G$29)</f>
        <v>83.947006255417918</v>
      </c>
      <c r="I27" s="25">
        <f>H27/CF/tC_to_tCO2</f>
        <v>48.711995892892418</v>
      </c>
      <c r="J27" s="94">
        <f>SUM(D27:G27)</f>
        <v>343.74540279909326</v>
      </c>
      <c r="K27" s="463"/>
    </row>
    <row r="28" spans="1:11" ht="16.5" x14ac:dyDescent="0.45">
      <c r="B28" s="5" t="s">
        <v>276</v>
      </c>
      <c r="C28" s="16" t="s">
        <v>325</v>
      </c>
      <c r="D28" s="157">
        <v>0</v>
      </c>
      <c r="E28" s="157">
        <v>0</v>
      </c>
      <c r="F28" s="157">
        <v>0</v>
      </c>
      <c r="G28" s="157">
        <v>0</v>
      </c>
      <c r="H28" s="158">
        <v>0</v>
      </c>
      <c r="I28" s="158">
        <v>0</v>
      </c>
      <c r="J28" s="94">
        <f>SUM(D28:G28)</f>
        <v>0</v>
      </c>
      <c r="K28" s="463"/>
    </row>
    <row r="29" spans="1:11" x14ac:dyDescent="0.35">
      <c r="B29" s="64" t="s">
        <v>327</v>
      </c>
      <c r="C29" s="65" t="s">
        <v>73</v>
      </c>
      <c r="D29" s="96">
        <v>0.1647467828974678</v>
      </c>
      <c r="E29" s="96">
        <v>0.1099522623495226</v>
      </c>
      <c r="F29" s="96">
        <v>8.4215442092154452E-2</v>
      </c>
      <c r="G29" s="96">
        <v>0.64108551266085512</v>
      </c>
      <c r="H29" s="10"/>
      <c r="I29" s="10"/>
      <c r="J29" s="10"/>
      <c r="K29" s="463"/>
    </row>
    <row r="30" spans="1:11" x14ac:dyDescent="0.35">
      <c r="B30" s="72"/>
      <c r="C30" s="73"/>
      <c r="D30" s="76"/>
      <c r="E30" s="76"/>
      <c r="F30" s="76"/>
      <c r="G30" s="74"/>
    </row>
    <row r="31" spans="1:11" x14ac:dyDescent="0.35">
      <c r="B31" s="71"/>
      <c r="C31" s="2"/>
      <c r="D31" s="23"/>
      <c r="E31" s="23"/>
      <c r="F31" s="23"/>
      <c r="G31" s="23"/>
    </row>
  </sheetData>
  <mergeCells count="16">
    <mergeCell ref="D4:F4"/>
    <mergeCell ref="K25:K29"/>
    <mergeCell ref="C1:J1"/>
    <mergeCell ref="A2:K2"/>
    <mergeCell ref="B4:B5"/>
    <mergeCell ref="C4:C5"/>
    <mergeCell ref="B23:B24"/>
    <mergeCell ref="C23:C24"/>
    <mergeCell ref="D23:G23"/>
    <mergeCell ref="G4:G5"/>
    <mergeCell ref="A10:A11"/>
    <mergeCell ref="A12:A13"/>
    <mergeCell ref="A15:A16"/>
    <mergeCell ref="A17:A18"/>
    <mergeCell ref="A19:A20"/>
    <mergeCell ref="A6:A7"/>
  </mergeCells>
  <pageMargins left="0.511811024" right="0.511811024" top="0.78740157499999996" bottom="0.78740157499999996" header="0.31496062000000002" footer="0.31496062000000002"/>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D6F96-9A14-4984-A017-F102416F0DD4}">
  <sheetPr>
    <tabColor theme="4"/>
  </sheetPr>
  <dimension ref="A1:P30"/>
  <sheetViews>
    <sheetView showGridLines="0" zoomScale="115" zoomScaleNormal="115" workbookViewId="0">
      <selection activeCell="U20" sqref="U20"/>
    </sheetView>
  </sheetViews>
  <sheetFormatPr defaultRowHeight="14.5" x14ac:dyDescent="0.35"/>
  <cols>
    <col min="1" max="1" width="7.1796875" customWidth="1"/>
    <col min="2" max="2" width="21.1796875" customWidth="1"/>
    <col min="3" max="3" width="14.81640625" bestFit="1" customWidth="1"/>
    <col min="4" max="4" width="13.1796875" bestFit="1" customWidth="1"/>
    <col min="5" max="6" width="12.81640625" bestFit="1" customWidth="1"/>
    <col min="7" max="7" width="12" bestFit="1" customWidth="1"/>
    <col min="8" max="8" width="12" customWidth="1"/>
    <col min="9" max="9" width="19.81640625" hidden="1" customWidth="1"/>
    <col min="10" max="10" width="22.1796875" hidden="1" customWidth="1"/>
    <col min="11" max="11" width="12" hidden="1" customWidth="1"/>
    <col min="12" max="12" width="11.81640625" hidden="1" customWidth="1"/>
    <col min="13" max="13" width="13" hidden="1" customWidth="1"/>
    <col min="14" max="14" width="11.81640625" hidden="1" customWidth="1"/>
    <col min="15" max="15" width="10.81640625" hidden="1" customWidth="1"/>
    <col min="16" max="16" width="17.81640625" hidden="1" customWidth="1"/>
    <col min="17" max="17" width="0" hidden="1" customWidth="1"/>
  </cols>
  <sheetData>
    <row r="1" spans="1:16" x14ac:dyDescent="0.35">
      <c r="A1" s="40" t="s">
        <v>0</v>
      </c>
      <c r="B1" s="432" t="str">
        <f>Projeto</f>
        <v>FLORESTAL SANTA MARIA - CARAGUA AGRONEGÓCIOS LTDA</v>
      </c>
      <c r="C1" s="432"/>
      <c r="D1" s="432"/>
      <c r="E1" s="432"/>
      <c r="F1" s="432"/>
      <c r="G1" s="432"/>
      <c r="H1" s="40"/>
      <c r="I1" s="40"/>
      <c r="J1" s="40"/>
      <c r="K1" s="40"/>
      <c r="L1" s="40"/>
      <c r="M1" s="40"/>
      <c r="N1" s="40"/>
      <c r="O1" s="40"/>
    </row>
    <row r="2" spans="1:16" x14ac:dyDescent="0.35">
      <c r="A2" s="432" t="s">
        <v>328</v>
      </c>
      <c r="B2" s="432"/>
      <c r="C2" s="432"/>
      <c r="D2" s="432"/>
      <c r="E2" s="432"/>
      <c r="F2" s="432"/>
      <c r="G2" s="432"/>
      <c r="H2" s="40"/>
      <c r="I2" s="40"/>
      <c r="J2" s="40"/>
      <c r="K2" s="40"/>
      <c r="L2" s="40"/>
      <c r="M2" s="40"/>
      <c r="N2" s="40"/>
      <c r="O2" s="40"/>
    </row>
    <row r="3" spans="1:16" s="190" customFormat="1" ht="22.25" customHeight="1" x14ac:dyDescent="0.35">
      <c r="A3" s="322"/>
      <c r="B3" s="323"/>
      <c r="C3" s="323"/>
      <c r="D3" s="323"/>
      <c r="E3" s="322"/>
      <c r="F3" s="322"/>
      <c r="G3" s="322"/>
      <c r="H3" s="322"/>
      <c r="I3" s="322"/>
      <c r="J3" s="322"/>
      <c r="K3" s="322"/>
      <c r="L3" s="322"/>
      <c r="M3" s="322"/>
      <c r="N3" s="322"/>
      <c r="O3" s="322"/>
    </row>
    <row r="4" spans="1:16" x14ac:dyDescent="0.35">
      <c r="B4" s="323" t="s">
        <v>329</v>
      </c>
      <c r="C4" s="323" t="s">
        <v>330</v>
      </c>
    </row>
    <row r="5" spans="1:16" x14ac:dyDescent="0.35">
      <c r="B5" s="446" t="s">
        <v>67</v>
      </c>
      <c r="C5" s="446" t="s">
        <v>69</v>
      </c>
      <c r="D5" s="446" t="s">
        <v>290</v>
      </c>
      <c r="E5" s="446"/>
      <c r="F5" s="446"/>
      <c r="G5" s="446" t="s">
        <v>90</v>
      </c>
      <c r="H5" s="24"/>
      <c r="J5" s="446" t="s">
        <v>67</v>
      </c>
      <c r="K5" s="446" t="s">
        <v>69</v>
      </c>
      <c r="L5" s="479" t="s">
        <v>331</v>
      </c>
      <c r="M5" s="479"/>
      <c r="N5" s="479"/>
      <c r="O5" s="446" t="s">
        <v>332</v>
      </c>
      <c r="P5" s="446" t="s">
        <v>65</v>
      </c>
    </row>
    <row r="6" spans="1:16" x14ac:dyDescent="0.35">
      <c r="B6" s="446"/>
      <c r="C6" s="446"/>
      <c r="D6" s="30">
        <v>2019</v>
      </c>
      <c r="E6" s="30">
        <v>2020</v>
      </c>
      <c r="F6" s="30">
        <v>2021</v>
      </c>
      <c r="G6" s="446"/>
      <c r="J6" s="446"/>
      <c r="K6" s="446"/>
      <c r="L6" s="479"/>
      <c r="M6" s="479"/>
      <c r="N6" s="479"/>
      <c r="O6" s="446"/>
      <c r="P6" s="446"/>
    </row>
    <row r="7" spans="1:16" ht="14.5" customHeight="1" x14ac:dyDescent="0.35">
      <c r="A7" s="482" t="s">
        <v>333</v>
      </c>
      <c r="B7" s="46" t="s">
        <v>334</v>
      </c>
      <c r="C7" s="46" t="s">
        <v>335</v>
      </c>
      <c r="D7" s="149">
        <f>'Resume_Ex-post'!C7</f>
        <v>0</v>
      </c>
      <c r="E7" s="149">
        <f>'Resume_Ex-post'!D7</f>
        <v>0</v>
      </c>
      <c r="F7" s="149">
        <f>'Resume_Ex-post'!E7</f>
        <v>0</v>
      </c>
      <c r="I7" s="480" t="s">
        <v>333</v>
      </c>
      <c r="J7" s="46" t="s">
        <v>334</v>
      </c>
      <c r="K7" s="46" t="s">
        <v>335</v>
      </c>
      <c r="L7" s="23">
        <v>1188.9136100000001</v>
      </c>
      <c r="M7" s="23">
        <v>1399.2025333333333</v>
      </c>
      <c r="N7" s="23">
        <v>1439.0627899999999</v>
      </c>
      <c r="O7" s="318">
        <f>AVERAGE(L7:N7)</f>
        <v>1342.3929777777778</v>
      </c>
      <c r="P7" s="330" t="s">
        <v>336</v>
      </c>
    </row>
    <row r="8" spans="1:16" ht="17.5" x14ac:dyDescent="0.45">
      <c r="A8" s="482"/>
      <c r="B8" s="46" t="s">
        <v>337</v>
      </c>
      <c r="C8" s="46" t="s">
        <v>338</v>
      </c>
      <c r="D8" s="23">
        <f>'Resume_Ex-post'!C8</f>
        <v>0</v>
      </c>
      <c r="E8" s="23">
        <f>'Resume_Ex-post'!D8</f>
        <v>0</v>
      </c>
      <c r="F8" s="23">
        <f>'Resume_Ex-post'!E8</f>
        <v>0</v>
      </c>
      <c r="I8" s="480"/>
      <c r="J8" s="46" t="s">
        <v>337</v>
      </c>
      <c r="K8" s="46" t="s">
        <v>338</v>
      </c>
      <c r="L8" s="23">
        <v>30</v>
      </c>
      <c r="M8" s="23">
        <v>30</v>
      </c>
      <c r="N8" s="316">
        <v>30</v>
      </c>
      <c r="O8" s="320">
        <f t="shared" ref="O8:O13" si="0">AVERAGE(L8:N8)</f>
        <v>30</v>
      </c>
      <c r="P8" s="330" t="s">
        <v>339</v>
      </c>
    </row>
    <row r="9" spans="1:16" ht="16.25" customHeight="1" x14ac:dyDescent="0.45">
      <c r="A9" s="482"/>
      <c r="B9" s="46" t="s">
        <v>340</v>
      </c>
      <c r="C9" s="43" t="s">
        <v>341</v>
      </c>
      <c r="D9" s="26">
        <f>D8*D7</f>
        <v>0</v>
      </c>
      <c r="E9" s="26">
        <f t="shared" ref="E9:F9" si="1">E8*E7</f>
        <v>0</v>
      </c>
      <c r="F9" s="26">
        <f t="shared" si="1"/>
        <v>0</v>
      </c>
      <c r="I9" s="476" t="s">
        <v>342</v>
      </c>
      <c r="J9" s="102" t="s">
        <v>343</v>
      </c>
      <c r="K9" s="103"/>
      <c r="L9" s="74">
        <v>123</v>
      </c>
      <c r="M9" s="74">
        <v>107</v>
      </c>
      <c r="N9" s="74">
        <v>141</v>
      </c>
      <c r="O9" s="321">
        <f t="shared" si="0"/>
        <v>123.66666666666667</v>
      </c>
      <c r="P9" s="330" t="s">
        <v>344</v>
      </c>
    </row>
    <row r="10" spans="1:16" ht="16.5" x14ac:dyDescent="0.45">
      <c r="A10" s="482"/>
      <c r="B10" s="46" t="s">
        <v>340</v>
      </c>
      <c r="C10" s="43" t="s">
        <v>345</v>
      </c>
      <c r="D10" s="26">
        <f t="shared" ref="D10:F10" si="2">D9*Dmn</f>
        <v>0</v>
      </c>
      <c r="E10" s="26">
        <f t="shared" si="2"/>
        <v>0</v>
      </c>
      <c r="F10" s="26">
        <f t="shared" si="2"/>
        <v>0</v>
      </c>
      <c r="I10" s="477"/>
      <c r="J10" s="46" t="s">
        <v>346</v>
      </c>
      <c r="K10" s="46" t="s">
        <v>189</v>
      </c>
      <c r="L10" s="150">
        <f>9257.87+12488.72+41960.12</f>
        <v>63706.710000000006</v>
      </c>
      <c r="M10" s="150">
        <f>(42725+3283+20900)</f>
        <v>66908</v>
      </c>
      <c r="N10" s="150">
        <f>24833+20600</f>
        <v>45433</v>
      </c>
      <c r="O10" s="318">
        <f t="shared" si="0"/>
        <v>58682.570000000007</v>
      </c>
      <c r="P10" s="330" t="s">
        <v>344</v>
      </c>
    </row>
    <row r="11" spans="1:16" ht="20.5" customHeight="1" x14ac:dyDescent="0.45">
      <c r="A11" s="482"/>
      <c r="B11" s="46" t="s">
        <v>347</v>
      </c>
      <c r="C11" s="43" t="s">
        <v>348</v>
      </c>
      <c r="D11" s="26">
        <f t="shared" ref="D11:F11" si="3">D7*D8*Dmn*tC_to_tCO2*CF</f>
        <v>0</v>
      </c>
      <c r="E11" s="26">
        <f t="shared" si="3"/>
        <v>0</v>
      </c>
      <c r="F11" s="26">
        <f t="shared" si="3"/>
        <v>0</v>
      </c>
      <c r="G11" s="23"/>
      <c r="I11" s="477"/>
      <c r="J11" s="46" t="s">
        <v>349</v>
      </c>
      <c r="K11" s="46" t="s">
        <v>189</v>
      </c>
      <c r="L11" s="23">
        <v>6</v>
      </c>
      <c r="M11" s="23">
        <v>6</v>
      </c>
      <c r="N11" s="23">
        <v>6</v>
      </c>
      <c r="O11" s="318">
        <f t="shared" si="0"/>
        <v>6</v>
      </c>
      <c r="P11" s="330" t="s">
        <v>344</v>
      </c>
    </row>
    <row r="12" spans="1:16" ht="15.65" customHeight="1" x14ac:dyDescent="0.45">
      <c r="A12" s="482"/>
      <c r="B12" s="46" t="s">
        <v>350</v>
      </c>
      <c r="C12" s="43" t="s">
        <v>351</v>
      </c>
      <c r="D12" s="26">
        <f t="shared" ref="D12:F12" si="4">D11+(D8*D7*LDF*tC_to_tCO2)</f>
        <v>0</v>
      </c>
      <c r="E12" s="26">
        <f t="shared" si="4"/>
        <v>0</v>
      </c>
      <c r="F12" s="26">
        <f t="shared" si="4"/>
        <v>0</v>
      </c>
      <c r="I12" s="478"/>
      <c r="J12" s="46" t="s">
        <v>352</v>
      </c>
      <c r="K12" s="46" t="s">
        <v>126</v>
      </c>
      <c r="L12" s="317">
        <f>L9*25*20/10000</f>
        <v>6.15</v>
      </c>
      <c r="M12" s="317">
        <f t="shared" ref="M12" si="5">M9*25*20/10000</f>
        <v>5.35</v>
      </c>
      <c r="N12" s="317">
        <f>N9*25*20/10000</f>
        <v>7.05</v>
      </c>
      <c r="O12" s="320">
        <f t="shared" si="0"/>
        <v>6.1833333333333336</v>
      </c>
      <c r="P12" s="330" t="s">
        <v>344</v>
      </c>
    </row>
    <row r="13" spans="1:16" ht="14.5" customHeight="1" x14ac:dyDescent="0.35">
      <c r="A13" s="483" t="s">
        <v>342</v>
      </c>
      <c r="B13" s="102" t="s">
        <v>343</v>
      </c>
      <c r="C13" s="103"/>
      <c r="D13" s="76"/>
      <c r="E13" s="76"/>
      <c r="F13" s="76"/>
      <c r="G13" s="103"/>
      <c r="I13" s="319" t="s">
        <v>353</v>
      </c>
      <c r="J13" s="102" t="s">
        <v>74</v>
      </c>
      <c r="K13" s="103"/>
      <c r="L13" s="23">
        <f>BCEF</f>
        <v>1.66</v>
      </c>
      <c r="M13" s="23">
        <f>BCEF</f>
        <v>1.66</v>
      </c>
      <c r="N13" s="23">
        <f>BCEF</f>
        <v>1.66</v>
      </c>
      <c r="O13" s="318">
        <f t="shared" si="0"/>
        <v>1.66</v>
      </c>
      <c r="P13" s="330" t="s">
        <v>76</v>
      </c>
    </row>
    <row r="14" spans="1:16" x14ac:dyDescent="0.35">
      <c r="A14" s="484"/>
      <c r="B14" s="46" t="s">
        <v>354</v>
      </c>
      <c r="D14" s="151">
        <f t="shared" ref="D14:F14" si="6">D13*ATL*NTL</f>
        <v>0</v>
      </c>
      <c r="E14" s="151">
        <f t="shared" si="6"/>
        <v>0</v>
      </c>
      <c r="F14" s="151">
        <f t="shared" si="6"/>
        <v>0</v>
      </c>
      <c r="I14" s="46"/>
      <c r="J14" s="46"/>
    </row>
    <row r="15" spans="1:16" ht="16.5" x14ac:dyDescent="0.45">
      <c r="A15" s="484"/>
      <c r="B15" s="46" t="s">
        <v>355</v>
      </c>
      <c r="C15" s="43" t="s">
        <v>351</v>
      </c>
      <c r="D15" s="151">
        <f t="shared" ref="D15:F15" si="7">D14*SK</f>
        <v>0</v>
      </c>
      <c r="E15" s="151">
        <f t="shared" si="7"/>
        <v>0</v>
      </c>
      <c r="F15" s="151">
        <f t="shared" si="7"/>
        <v>0</v>
      </c>
      <c r="I15" s="46"/>
      <c r="J15" s="46"/>
    </row>
    <row r="16" spans="1:16" x14ac:dyDescent="0.35">
      <c r="A16" s="484"/>
      <c r="B16" s="46" t="s">
        <v>346</v>
      </c>
      <c r="C16" s="46" t="s">
        <v>189</v>
      </c>
      <c r="D16" s="149"/>
      <c r="E16" s="149"/>
      <c r="F16" s="149"/>
      <c r="G16" s="98">
        <f>SUM(D16:F16)</f>
        <v>0</v>
      </c>
      <c r="I16" s="46"/>
      <c r="J16" s="46"/>
    </row>
    <row r="17" spans="1:13" x14ac:dyDescent="0.35">
      <c r="A17" s="484"/>
      <c r="B17" s="46" t="s">
        <v>349</v>
      </c>
      <c r="C17" s="46" t="s">
        <v>189</v>
      </c>
      <c r="D17" s="110"/>
      <c r="E17" s="110"/>
      <c r="F17" s="110"/>
      <c r="G17" s="99"/>
      <c r="I17" s="46"/>
      <c r="J17" s="46"/>
      <c r="M17" s="197"/>
    </row>
    <row r="18" spans="1:13" x14ac:dyDescent="0.35">
      <c r="A18" s="484"/>
      <c r="B18" s="46" t="s">
        <v>356</v>
      </c>
      <c r="C18" s="46" t="s">
        <v>126</v>
      </c>
      <c r="D18" s="151">
        <f>D17*D16/10000</f>
        <v>0</v>
      </c>
      <c r="E18" s="151">
        <f t="shared" ref="E18:F18" si="8">E17*E16/10000</f>
        <v>0</v>
      </c>
      <c r="F18" s="151">
        <f t="shared" si="8"/>
        <v>0</v>
      </c>
      <c r="G18" s="99"/>
      <c r="I18" s="46"/>
    </row>
    <row r="19" spans="1:13" ht="16.5" x14ac:dyDescent="0.45">
      <c r="A19" s="484"/>
      <c r="B19" s="46" t="s">
        <v>357</v>
      </c>
      <c r="C19" s="43" t="s">
        <v>351</v>
      </c>
      <c r="D19" s="151">
        <f>D18*Biomass!$D$11</f>
        <v>0</v>
      </c>
      <c r="E19" s="151">
        <f>E18*Biomass!$D$11</f>
        <v>0</v>
      </c>
      <c r="F19" s="151">
        <f>F18*Biomass!$D$11</f>
        <v>0</v>
      </c>
      <c r="G19" s="99"/>
      <c r="H19" s="99"/>
      <c r="I19" s="46"/>
    </row>
    <row r="20" spans="1:13" x14ac:dyDescent="0.35">
      <c r="A20" s="484"/>
      <c r="B20" s="46" t="s">
        <v>352</v>
      </c>
      <c r="C20" s="46" t="s">
        <v>126</v>
      </c>
      <c r="D20" s="149"/>
      <c r="E20" s="149"/>
      <c r="F20" s="149"/>
      <c r="I20" s="46"/>
    </row>
    <row r="21" spans="1:13" ht="16.5" x14ac:dyDescent="0.45">
      <c r="A21" s="484"/>
      <c r="B21" s="46" t="s">
        <v>358</v>
      </c>
      <c r="C21" s="43" t="s">
        <v>351</v>
      </c>
      <c r="D21" s="151">
        <f>D20*Biomass!$D$11</f>
        <v>0</v>
      </c>
      <c r="E21" s="151">
        <f>E20*Biomass!$D$11</f>
        <v>0</v>
      </c>
      <c r="F21" s="151">
        <f>F20*Biomass!$D$11</f>
        <v>0</v>
      </c>
    </row>
    <row r="22" spans="1:13" ht="16.5" x14ac:dyDescent="0.45">
      <c r="A22" s="485"/>
      <c r="B22" s="97" t="s">
        <v>359</v>
      </c>
      <c r="C22" s="100" t="s">
        <v>351</v>
      </c>
      <c r="D22" s="198">
        <f>D21+D19+D15</f>
        <v>0</v>
      </c>
      <c r="E22" s="198">
        <f t="shared" ref="E22:F22" si="9">E21+E19+E15</f>
        <v>0</v>
      </c>
      <c r="F22" s="198">
        <f t="shared" si="9"/>
        <v>0</v>
      </c>
      <c r="G22" s="101"/>
    </row>
    <row r="23" spans="1:13" ht="14.5" customHeight="1" x14ac:dyDescent="0.45">
      <c r="A23" s="486" t="s">
        <v>353</v>
      </c>
      <c r="B23" s="46" t="s">
        <v>337</v>
      </c>
      <c r="C23" s="46" t="s">
        <v>338</v>
      </c>
      <c r="D23" s="108">
        <f>D8</f>
        <v>0</v>
      </c>
      <c r="E23" s="108">
        <f t="shared" ref="E23:F23" si="10">E8</f>
        <v>0</v>
      </c>
      <c r="F23" s="108">
        <f t="shared" si="10"/>
        <v>0</v>
      </c>
    </row>
    <row r="24" spans="1:13" ht="17" customHeight="1" x14ac:dyDescent="0.45">
      <c r="A24" s="486"/>
      <c r="B24" s="46" t="s">
        <v>360</v>
      </c>
      <c r="C24" s="43" t="s">
        <v>361</v>
      </c>
      <c r="D24" s="75">
        <f>IF(D23=0,0, AVERAGE(Biomass!#REF!))</f>
        <v>0</v>
      </c>
      <c r="E24" s="75">
        <f>IF(E23=0,0, AVERAGE(Biomass!#REF!))</f>
        <v>0</v>
      </c>
      <c r="F24" s="75">
        <f>IF(F23=0,0, AVERAGE(Biomass!#REF!))</f>
        <v>0</v>
      </c>
    </row>
    <row r="25" spans="1:13" x14ac:dyDescent="0.35">
      <c r="A25" s="486"/>
      <c r="B25" s="46" t="s">
        <v>74</v>
      </c>
      <c r="D25" s="24"/>
      <c r="E25" s="24"/>
      <c r="F25" s="24"/>
    </row>
    <row r="26" spans="1:13" ht="16.5" x14ac:dyDescent="0.45">
      <c r="A26" s="486"/>
      <c r="B26" s="46" t="s">
        <v>278</v>
      </c>
      <c r="D26" s="75">
        <f>IF(D23=0, 0, D23/D24)</f>
        <v>0</v>
      </c>
      <c r="E26" s="75">
        <f t="shared" ref="E26:F26" si="11">IF(E23=0, 0, E23/E24)</f>
        <v>0</v>
      </c>
      <c r="F26" s="75">
        <f t="shared" si="11"/>
        <v>0</v>
      </c>
    </row>
    <row r="27" spans="1:13" ht="16.5" x14ac:dyDescent="0.45">
      <c r="A27" s="486"/>
      <c r="B27" s="46" t="s">
        <v>362</v>
      </c>
      <c r="D27" s="75">
        <f>IF(D25=0, 0, D24*D26/D25)</f>
        <v>0</v>
      </c>
      <c r="E27" s="75">
        <f t="shared" ref="E27:F27" si="12">IF(E25=0, 0, E24*E26/E25)</f>
        <v>0</v>
      </c>
      <c r="F27" s="75">
        <f t="shared" si="12"/>
        <v>0</v>
      </c>
    </row>
    <row r="28" spans="1:13" ht="16.5" x14ac:dyDescent="0.45">
      <c r="A28" s="486"/>
      <c r="B28" s="46" t="s">
        <v>363</v>
      </c>
      <c r="D28" s="108">
        <f t="shared" ref="D28:F28" si="13">D27*(1-WWTY)</f>
        <v>0</v>
      </c>
      <c r="E28" s="108">
        <f t="shared" si="13"/>
        <v>0</v>
      </c>
      <c r="F28" s="108">
        <f t="shared" si="13"/>
        <v>0</v>
      </c>
    </row>
    <row r="29" spans="1:13" ht="16.5" x14ac:dyDescent="0.45">
      <c r="A29" s="486"/>
      <c r="B29" s="46" t="s">
        <v>364</v>
      </c>
      <c r="D29" s="75">
        <f t="shared" ref="D29:F29" si="14">D28-(D28*((1-SLFTY)*(1-OFTY)))</f>
        <v>0</v>
      </c>
      <c r="E29" s="75">
        <f t="shared" si="14"/>
        <v>0</v>
      </c>
      <c r="F29" s="75">
        <f t="shared" si="14"/>
        <v>0</v>
      </c>
    </row>
    <row r="30" spans="1:13" ht="28.25" customHeight="1" x14ac:dyDescent="0.35">
      <c r="A30" s="481" t="s">
        <v>328</v>
      </c>
      <c r="B30" s="481"/>
      <c r="C30" s="107" t="s">
        <v>351</v>
      </c>
      <c r="D30" s="106">
        <f>IF(D8=0,0,D12+D22-D29)</f>
        <v>0</v>
      </c>
      <c r="E30" s="106">
        <f t="shared" ref="E30:F30" si="15">IF(E8=0,0,E12+E22-E29)</f>
        <v>0</v>
      </c>
      <c r="F30" s="106">
        <f t="shared" si="15"/>
        <v>0</v>
      </c>
      <c r="G30" s="103"/>
    </row>
  </sheetData>
  <mergeCells count="17">
    <mergeCell ref="P5:P6"/>
    <mergeCell ref="C5:C6"/>
    <mergeCell ref="B1:G1"/>
    <mergeCell ref="A2:G2"/>
    <mergeCell ref="B5:B6"/>
    <mergeCell ref="A30:B30"/>
    <mergeCell ref="G5:G6"/>
    <mergeCell ref="A7:A12"/>
    <mergeCell ref="A13:A22"/>
    <mergeCell ref="D5:F5"/>
    <mergeCell ref="A23:A29"/>
    <mergeCell ref="I9:I12"/>
    <mergeCell ref="L5:N6"/>
    <mergeCell ref="J5:J6"/>
    <mergeCell ref="K5:K6"/>
    <mergeCell ref="O5:O6"/>
    <mergeCell ref="I7:I8"/>
  </mergeCells>
  <pageMargins left="0.511811024" right="0.511811024" top="0.78740157499999996" bottom="0.78740157499999996" header="0.31496062000000002" footer="0.31496062000000002"/>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78024-3D1F-4D69-B55B-32385D1203B9}">
  <sheetPr>
    <tabColor theme="5"/>
  </sheetPr>
  <dimension ref="A1:K40"/>
  <sheetViews>
    <sheetView showGridLines="0" topLeftCell="A6" zoomScale="120" zoomScaleNormal="120" workbookViewId="0">
      <selection activeCell="E12" sqref="E12"/>
    </sheetView>
  </sheetViews>
  <sheetFormatPr defaultRowHeight="14.5" x14ac:dyDescent="0.35"/>
  <cols>
    <col min="1" max="1" width="5.1796875" customWidth="1"/>
    <col min="2" max="2" width="15.54296875" style="1" customWidth="1"/>
    <col min="3" max="3" width="24.453125" style="180" customWidth="1"/>
    <col min="4" max="5" width="9.54296875" bestFit="1" customWidth="1"/>
    <col min="6" max="8" width="11.81640625" bestFit="1" customWidth="1"/>
    <col min="9" max="9" width="34.1796875" bestFit="1" customWidth="1"/>
    <col min="10" max="10" width="10.1796875" bestFit="1" customWidth="1"/>
  </cols>
  <sheetData>
    <row r="1" spans="1:11" ht="25.25" customHeight="1" x14ac:dyDescent="0.35">
      <c r="A1" s="40" t="s">
        <v>0</v>
      </c>
      <c r="B1" s="432" t="str">
        <f>Projeto</f>
        <v>FLORESTAL SANTA MARIA - CARAGUA AGRONEGÓCIOS LTDA</v>
      </c>
      <c r="C1" s="432"/>
      <c r="D1" s="432"/>
      <c r="E1" s="432"/>
      <c r="F1" s="432"/>
      <c r="G1" s="432"/>
      <c r="H1" s="432"/>
      <c r="I1" s="41"/>
      <c r="J1" s="41"/>
    </row>
    <row r="2" spans="1:11" x14ac:dyDescent="0.35">
      <c r="A2" s="432" t="s">
        <v>365</v>
      </c>
      <c r="B2" s="432"/>
      <c r="C2" s="432"/>
      <c r="D2" s="432"/>
      <c r="E2" s="432"/>
      <c r="F2" s="432"/>
      <c r="G2" s="432"/>
      <c r="H2" s="432"/>
      <c r="I2" s="432"/>
      <c r="J2" s="432"/>
    </row>
    <row r="3" spans="1:11" x14ac:dyDescent="0.35">
      <c r="J3" s="24"/>
    </row>
    <row r="4" spans="1:11" ht="14.5" customHeight="1" x14ac:dyDescent="0.35">
      <c r="B4" s="48" t="s">
        <v>366</v>
      </c>
      <c r="C4" s="48"/>
      <c r="D4" s="43"/>
      <c r="E4" s="43"/>
      <c r="F4" s="43"/>
      <c r="G4" s="43"/>
      <c r="H4" s="43"/>
      <c r="I4" s="43"/>
      <c r="J4" s="42"/>
      <c r="K4" s="42"/>
    </row>
    <row r="5" spans="1:11" s="4" customFormat="1" x14ac:dyDescent="0.35">
      <c r="B5" s="446" t="s">
        <v>67</v>
      </c>
      <c r="C5" s="462" t="s">
        <v>68</v>
      </c>
      <c r="D5" s="446" t="s">
        <v>69</v>
      </c>
      <c r="E5" s="446" t="s">
        <v>290</v>
      </c>
      <c r="F5" s="446"/>
      <c r="G5" s="446"/>
      <c r="H5" s="446" t="s">
        <v>90</v>
      </c>
      <c r="I5" s="43"/>
      <c r="J5" s="42"/>
      <c r="K5" s="42"/>
    </row>
    <row r="6" spans="1:11" ht="14.5" customHeight="1" x14ac:dyDescent="0.35">
      <c r="B6" s="446"/>
      <c r="C6" s="462"/>
      <c r="D6" s="446"/>
      <c r="E6" s="30">
        <v>2019</v>
      </c>
      <c r="F6" s="30">
        <v>2020</v>
      </c>
      <c r="G6" s="30">
        <v>2021</v>
      </c>
      <c r="H6" s="446"/>
      <c r="I6" s="43"/>
      <c r="J6" s="42"/>
      <c r="K6" s="42"/>
    </row>
    <row r="7" spans="1:11" ht="16.5" x14ac:dyDescent="0.35">
      <c r="A7" s="487" t="s">
        <v>367</v>
      </c>
      <c r="B7" s="169" t="s">
        <v>368</v>
      </c>
      <c r="C7" s="175"/>
      <c r="D7" s="43" t="s">
        <v>369</v>
      </c>
      <c r="E7" s="160">
        <f>Deforestation!D10</f>
        <v>156.32999999999879</v>
      </c>
      <c r="F7" s="160">
        <f>Deforestation!E10</f>
        <v>241.38</v>
      </c>
      <c r="G7" s="160">
        <f>Deforestation!F10</f>
        <v>524.42999999999961</v>
      </c>
      <c r="H7" s="47"/>
      <c r="I7" s="43"/>
      <c r="J7" s="42"/>
      <c r="K7" s="42"/>
    </row>
    <row r="8" spans="1:11" ht="31.5" x14ac:dyDescent="0.35">
      <c r="A8" s="487"/>
      <c r="B8" s="169" t="s">
        <v>370</v>
      </c>
      <c r="C8" s="175" t="s">
        <v>371</v>
      </c>
      <c r="D8" s="43" t="s">
        <v>361</v>
      </c>
      <c r="E8" s="160">
        <f>((VBSL*Dmn*CF)+(VBSL*LDF)+(VBSL*LIF))*44/12</f>
        <v>159.14977466666664</v>
      </c>
      <c r="F8" s="160">
        <f t="shared" ref="F8:G8" si="0">((VBSL*Dmn*CF)+(VBSL*LDF)+(VBSL*LIF))*44/12</f>
        <v>159.14977466666664</v>
      </c>
      <c r="G8" s="160">
        <f t="shared" si="0"/>
        <v>159.14977466666664</v>
      </c>
      <c r="H8" s="47"/>
      <c r="I8" s="43"/>
      <c r="J8" s="42"/>
      <c r="K8" s="42"/>
    </row>
    <row r="9" spans="1:11" ht="42" x14ac:dyDescent="0.35">
      <c r="A9" s="487"/>
      <c r="B9" s="169" t="s">
        <v>372</v>
      </c>
      <c r="C9" s="175" t="s">
        <v>373</v>
      </c>
      <c r="D9" s="43" t="s">
        <v>351</v>
      </c>
      <c r="E9" s="160">
        <f>E8*E7</f>
        <v>24879.884273639804</v>
      </c>
      <c r="F9" s="160">
        <f t="shared" ref="F9:G9" si="1">F8*F7</f>
        <v>38415.572609039991</v>
      </c>
      <c r="G9" s="160">
        <f t="shared" si="1"/>
        <v>83462.916328439926</v>
      </c>
      <c r="H9" s="161">
        <f>SUM(E9:G9)</f>
        <v>146758.37321111973</v>
      </c>
      <c r="I9" s="43"/>
      <c r="J9" s="42"/>
      <c r="K9" s="42"/>
    </row>
    <row r="10" spans="1:11" ht="46.25" customHeight="1" x14ac:dyDescent="0.35">
      <c r="A10" s="487"/>
      <c r="B10" s="169" t="s">
        <v>510</v>
      </c>
      <c r="C10" s="175" t="s">
        <v>375</v>
      </c>
      <c r="D10" s="169" t="s">
        <v>345</v>
      </c>
      <c r="E10" s="187">
        <v>30</v>
      </c>
      <c r="F10" s="187">
        <v>30</v>
      </c>
      <c r="G10" s="187">
        <v>30</v>
      </c>
      <c r="H10" s="47"/>
      <c r="I10" s="43"/>
      <c r="J10" s="42"/>
      <c r="K10" s="42"/>
    </row>
    <row r="11" spans="1:11" ht="39" customHeight="1" x14ac:dyDescent="0.35">
      <c r="A11" s="487"/>
      <c r="B11" s="169" t="s">
        <v>511</v>
      </c>
      <c r="C11" s="175" t="s">
        <v>377</v>
      </c>
      <c r="D11" s="169" t="s">
        <v>345</v>
      </c>
      <c r="E11" s="187">
        <f>VBSL</f>
        <v>35.08</v>
      </c>
      <c r="F11" s="187">
        <f t="shared" ref="F11:G11" si="2">VBSL</f>
        <v>35.08</v>
      </c>
      <c r="G11" s="187">
        <f t="shared" si="2"/>
        <v>35.08</v>
      </c>
      <c r="H11" s="47"/>
      <c r="I11" s="227" t="s">
        <v>185</v>
      </c>
      <c r="J11" s="42"/>
      <c r="K11" s="42"/>
    </row>
    <row r="12" spans="1:11" ht="21" x14ac:dyDescent="0.35">
      <c r="A12" s="487"/>
      <c r="B12" s="169" t="s">
        <v>378</v>
      </c>
      <c r="C12" s="175" t="s">
        <v>379</v>
      </c>
      <c r="D12" s="170"/>
      <c r="E12" s="160">
        <f>IF(E11=0, 1,1-(E10/E11))</f>
        <v>0.1448118586088939</v>
      </c>
      <c r="F12" s="160">
        <f t="shared" ref="F12:G12" si="3">IF(F11=0, 1,1-(F10/F11))</f>
        <v>0.1448118586088939</v>
      </c>
      <c r="G12" s="160">
        <f t="shared" si="3"/>
        <v>0.1448118586088939</v>
      </c>
      <c r="H12" s="47"/>
      <c r="I12" s="43"/>
      <c r="J12" s="42"/>
      <c r="K12" s="42"/>
    </row>
    <row r="13" spans="1:11" ht="31.5" x14ac:dyDescent="0.35">
      <c r="A13" s="487"/>
      <c r="B13" s="165" t="s">
        <v>380</v>
      </c>
      <c r="C13" s="181" t="s">
        <v>381</v>
      </c>
      <c r="D13" s="165" t="s">
        <v>351</v>
      </c>
      <c r="E13" s="260">
        <f>E9*LFME*E12</f>
        <v>2522.0315985479788</v>
      </c>
      <c r="F13" s="260">
        <f t="shared" ref="F13:G13" si="4">F9*LFME*F12</f>
        <v>3894.1213283279976</v>
      </c>
      <c r="G13" s="260">
        <f t="shared" si="4"/>
        <v>8460.4940269079889</v>
      </c>
      <c r="H13" s="166">
        <f>SUM(E13:G13)</f>
        <v>14876.646953783966</v>
      </c>
      <c r="I13" s="43"/>
      <c r="J13" s="42"/>
      <c r="K13" s="42"/>
    </row>
    <row r="14" spans="1:11" ht="52.5" hidden="1" x14ac:dyDescent="0.35">
      <c r="A14" s="488" t="s">
        <v>382</v>
      </c>
      <c r="B14" s="169" t="s">
        <v>383</v>
      </c>
      <c r="C14" s="175" t="s">
        <v>384</v>
      </c>
      <c r="D14" s="43" t="s">
        <v>348</v>
      </c>
      <c r="E14" s="159"/>
      <c r="F14" s="159"/>
      <c r="G14" s="159"/>
      <c r="H14" s="47"/>
      <c r="I14" s="43"/>
      <c r="J14" s="42"/>
      <c r="K14" s="42"/>
    </row>
    <row r="15" spans="1:11" ht="42" hidden="1" x14ac:dyDescent="0.35">
      <c r="A15" s="488"/>
      <c r="B15" s="169" t="s">
        <v>385</v>
      </c>
      <c r="C15" s="175" t="s">
        <v>386</v>
      </c>
      <c r="D15" s="169" t="s">
        <v>387</v>
      </c>
      <c r="E15" s="187">
        <v>0</v>
      </c>
      <c r="F15" s="187">
        <v>0</v>
      </c>
      <c r="G15" s="187">
        <v>0</v>
      </c>
      <c r="H15" s="186">
        <v>0</v>
      </c>
      <c r="I15" s="43"/>
      <c r="J15" s="42"/>
      <c r="K15" s="42"/>
    </row>
    <row r="16" spans="1:11" ht="63" hidden="1" x14ac:dyDescent="0.35">
      <c r="A16" s="488"/>
      <c r="B16" s="169" t="s">
        <v>388</v>
      </c>
      <c r="C16" s="175" t="s">
        <v>389</v>
      </c>
      <c r="D16" s="169" t="s">
        <v>387</v>
      </c>
      <c r="E16" s="187">
        <v>0</v>
      </c>
      <c r="F16" s="187">
        <v>0</v>
      </c>
      <c r="G16" s="187">
        <v>0</v>
      </c>
      <c r="H16" s="47"/>
      <c r="I16" s="43"/>
      <c r="J16" s="42"/>
      <c r="K16" s="42"/>
    </row>
    <row r="17" spans="1:11" ht="42" hidden="1" x14ac:dyDescent="0.35">
      <c r="A17" s="488"/>
      <c r="B17" s="169" t="s">
        <v>390</v>
      </c>
      <c r="C17" s="175" t="s">
        <v>391</v>
      </c>
      <c r="D17" s="169" t="s">
        <v>348</v>
      </c>
      <c r="E17" s="160">
        <f t="shared" ref="E17:G17" si="5">((E16*Dmn*CF)-(E15*Dmn*CF))*44/12</f>
        <v>0</v>
      </c>
      <c r="F17" s="160">
        <f t="shared" si="5"/>
        <v>0</v>
      </c>
      <c r="G17" s="160">
        <f t="shared" si="5"/>
        <v>0</v>
      </c>
      <c r="H17" s="47"/>
      <c r="I17" s="43"/>
      <c r="J17" s="42"/>
      <c r="K17" s="42"/>
    </row>
    <row r="18" spans="1:11" ht="52.5" hidden="1" x14ac:dyDescent="0.35">
      <c r="A18" s="488"/>
      <c r="B18" s="169" t="s">
        <v>392</v>
      </c>
      <c r="C18" s="175" t="s">
        <v>384</v>
      </c>
      <c r="D18" s="169" t="s">
        <v>351</v>
      </c>
      <c r="E18" s="160">
        <f t="shared" ref="E18:G18" si="6">E17*E14</f>
        <v>0</v>
      </c>
      <c r="F18" s="160">
        <f t="shared" si="6"/>
        <v>0</v>
      </c>
      <c r="G18" s="160">
        <f t="shared" si="6"/>
        <v>0</v>
      </c>
      <c r="H18" s="161">
        <f>SUM(E18:G18)</f>
        <v>0</v>
      </c>
      <c r="I18" s="43"/>
      <c r="J18" s="42"/>
      <c r="K18" s="42"/>
    </row>
    <row r="19" spans="1:11" ht="21" hidden="1" x14ac:dyDescent="0.35">
      <c r="A19" s="488"/>
      <c r="B19" s="169" t="s">
        <v>374</v>
      </c>
      <c r="C19" s="175" t="s">
        <v>393</v>
      </c>
      <c r="D19" s="169" t="s">
        <v>345</v>
      </c>
      <c r="E19" s="261"/>
      <c r="F19" s="187"/>
      <c r="G19" s="187"/>
      <c r="H19" s="47"/>
      <c r="I19" s="43"/>
      <c r="J19" s="42"/>
      <c r="K19" s="42"/>
    </row>
    <row r="20" spans="1:11" ht="21" hidden="1" x14ac:dyDescent="0.35">
      <c r="A20" s="488"/>
      <c r="B20" s="169" t="s">
        <v>376</v>
      </c>
      <c r="C20" s="175" t="s">
        <v>394</v>
      </c>
      <c r="D20" s="169" t="s">
        <v>345</v>
      </c>
      <c r="E20" s="261"/>
      <c r="F20" s="187"/>
      <c r="G20" s="187"/>
      <c r="H20" s="47"/>
      <c r="I20" s="43"/>
      <c r="J20" s="42"/>
      <c r="K20" s="42"/>
    </row>
    <row r="21" spans="1:11" ht="21" hidden="1" x14ac:dyDescent="0.35">
      <c r="A21" s="488"/>
      <c r="B21" s="169" t="s">
        <v>378</v>
      </c>
      <c r="C21" s="175" t="s">
        <v>395</v>
      </c>
      <c r="D21" s="169"/>
      <c r="E21" s="160" t="e">
        <f>1-(E19/E20)</f>
        <v>#DIV/0!</v>
      </c>
      <c r="F21" s="160" t="e">
        <f>1-(F19/F20)</f>
        <v>#DIV/0!</v>
      </c>
      <c r="G21" s="160" t="e">
        <f t="shared" ref="G21" si="7">1-(G19/G20)</f>
        <v>#DIV/0!</v>
      </c>
      <c r="H21" s="47"/>
      <c r="I21" s="43"/>
      <c r="J21" s="42"/>
      <c r="K21" s="42"/>
    </row>
    <row r="22" spans="1:11" ht="52.5" hidden="1" x14ac:dyDescent="0.35">
      <c r="A22" s="488"/>
      <c r="B22" s="167" t="s">
        <v>396</v>
      </c>
      <c r="C22" s="182" t="s">
        <v>397</v>
      </c>
      <c r="D22" s="167" t="s">
        <v>351</v>
      </c>
      <c r="E22" s="262">
        <f t="shared" ref="E22:G22" si="8">IF(E18=0,0,E18*LFME*E21)</f>
        <v>0</v>
      </c>
      <c r="F22" s="262">
        <f t="shared" si="8"/>
        <v>0</v>
      </c>
      <c r="G22" s="262">
        <f t="shared" si="8"/>
        <v>0</v>
      </c>
      <c r="H22" s="168">
        <f>SUM(E22:G22)</f>
        <v>0</v>
      </c>
      <c r="I22" s="43"/>
      <c r="J22" s="42"/>
      <c r="K22" s="42"/>
    </row>
    <row r="23" spans="1:11" ht="20.5" hidden="1" customHeight="1" x14ac:dyDescent="0.35">
      <c r="A23" s="489" t="s">
        <v>398</v>
      </c>
      <c r="B23" s="169" t="s">
        <v>399</v>
      </c>
      <c r="C23" s="175" t="s">
        <v>400</v>
      </c>
      <c r="D23" s="169"/>
      <c r="E23" s="187">
        <v>0</v>
      </c>
      <c r="F23" s="187">
        <v>0</v>
      </c>
      <c r="G23" s="187">
        <v>0</v>
      </c>
      <c r="H23" s="174"/>
      <c r="I23" s="43"/>
      <c r="J23" s="42"/>
      <c r="K23" s="42"/>
    </row>
    <row r="24" spans="1:11" ht="31.5" hidden="1" x14ac:dyDescent="0.35">
      <c r="A24" s="489"/>
      <c r="B24" s="169" t="s">
        <v>401</v>
      </c>
      <c r="C24" s="175" t="s">
        <v>402</v>
      </c>
      <c r="D24" s="43" t="s">
        <v>348</v>
      </c>
      <c r="E24" s="160" t="e">
        <f>E25/E26</f>
        <v>#DIV/0!</v>
      </c>
      <c r="F24" s="160" t="e">
        <f t="shared" ref="F24:G24" si="9">F25/F26</f>
        <v>#DIV/0!</v>
      </c>
      <c r="G24" s="160" t="e">
        <f t="shared" si="9"/>
        <v>#DIV/0!</v>
      </c>
      <c r="H24" s="174"/>
      <c r="I24" s="43"/>
      <c r="J24" s="42"/>
      <c r="K24" s="42"/>
    </row>
    <row r="25" spans="1:11" ht="16.5" hidden="1" x14ac:dyDescent="0.35">
      <c r="A25" s="489"/>
      <c r="B25" s="169" t="s">
        <v>403</v>
      </c>
      <c r="C25" s="175" t="s">
        <v>404</v>
      </c>
      <c r="D25" s="43" t="s">
        <v>348</v>
      </c>
      <c r="E25" s="160">
        <f>E27*E28*10</f>
        <v>0</v>
      </c>
      <c r="F25" s="160">
        <f t="shared" ref="F25:G25" si="10">F27*F28*10</f>
        <v>0</v>
      </c>
      <c r="G25" s="160">
        <f t="shared" si="10"/>
        <v>0</v>
      </c>
      <c r="H25" s="174">
        <f>SUM(E25:G25)</f>
        <v>0</v>
      </c>
      <c r="I25" s="43"/>
      <c r="J25" s="42"/>
      <c r="K25" s="42"/>
    </row>
    <row r="26" spans="1:11" ht="21" hidden="1" x14ac:dyDescent="0.35">
      <c r="A26" s="489"/>
      <c r="B26" s="169" t="s">
        <v>405</v>
      </c>
      <c r="C26" s="175" t="s">
        <v>406</v>
      </c>
      <c r="D26" s="43" t="s">
        <v>348</v>
      </c>
      <c r="E26" s="160">
        <f>E29</f>
        <v>0</v>
      </c>
      <c r="F26" s="160">
        <f t="shared" ref="F26:G26" si="11">F29</f>
        <v>0</v>
      </c>
      <c r="G26" s="160">
        <f t="shared" si="11"/>
        <v>0</v>
      </c>
      <c r="H26" s="174"/>
      <c r="I26" s="43"/>
      <c r="J26" s="42"/>
      <c r="K26" s="42"/>
    </row>
    <row r="27" spans="1:11" ht="16.5" hidden="1" x14ac:dyDescent="0.35">
      <c r="A27" s="489"/>
      <c r="B27" s="169" t="s">
        <v>407</v>
      </c>
      <c r="C27" s="175" t="s">
        <v>408</v>
      </c>
      <c r="D27" s="169" t="s">
        <v>189</v>
      </c>
      <c r="E27" s="187">
        <v>0</v>
      </c>
      <c r="F27" s="187">
        <v>0</v>
      </c>
      <c r="G27" s="187">
        <v>0</v>
      </c>
      <c r="H27" s="174"/>
      <c r="I27" s="43"/>
      <c r="J27" s="42"/>
      <c r="K27" s="42"/>
    </row>
    <row r="28" spans="1:11" ht="21" hidden="1" x14ac:dyDescent="0.35">
      <c r="A28" s="489"/>
      <c r="B28" s="169" t="s">
        <v>409</v>
      </c>
      <c r="C28" s="175" t="s">
        <v>410</v>
      </c>
      <c r="D28" s="169" t="s">
        <v>411</v>
      </c>
      <c r="E28" s="187">
        <v>0</v>
      </c>
      <c r="F28" s="187">
        <v>0</v>
      </c>
      <c r="G28" s="187">
        <v>0</v>
      </c>
      <c r="H28" s="174"/>
      <c r="I28" s="43"/>
      <c r="J28" s="42"/>
      <c r="K28" s="42"/>
    </row>
    <row r="29" spans="1:11" ht="21" hidden="1" x14ac:dyDescent="0.35">
      <c r="A29" s="489"/>
      <c r="B29" s="169" t="s">
        <v>412</v>
      </c>
      <c r="C29" s="175" t="s">
        <v>413</v>
      </c>
      <c r="D29" s="43" t="s">
        <v>348</v>
      </c>
      <c r="E29" s="160">
        <f t="shared" ref="E29:G29" si="12">(E30*Dmn*CF)*44/12</f>
        <v>0</v>
      </c>
      <c r="F29" s="160">
        <f t="shared" si="12"/>
        <v>0</v>
      </c>
      <c r="G29" s="160">
        <f t="shared" si="12"/>
        <v>0</v>
      </c>
      <c r="H29" s="174"/>
      <c r="I29" s="43"/>
      <c r="J29" s="42"/>
      <c r="K29" s="42"/>
    </row>
    <row r="30" spans="1:11" ht="21" hidden="1" x14ac:dyDescent="0.35">
      <c r="A30" s="489"/>
      <c r="B30" s="169" t="s">
        <v>414</v>
      </c>
      <c r="C30" s="175" t="s">
        <v>415</v>
      </c>
      <c r="D30" s="169"/>
      <c r="E30" s="187">
        <v>0</v>
      </c>
      <c r="F30" s="187">
        <v>0</v>
      </c>
      <c r="G30" s="187">
        <v>0</v>
      </c>
      <c r="H30" s="174"/>
      <c r="I30" s="43"/>
      <c r="J30" s="42"/>
      <c r="K30" s="42"/>
    </row>
    <row r="31" spans="1:11" ht="52.5" hidden="1" x14ac:dyDescent="0.35">
      <c r="A31" s="490"/>
      <c r="B31" s="178" t="s">
        <v>416</v>
      </c>
      <c r="C31" s="183" t="s">
        <v>417</v>
      </c>
      <c r="D31" s="178" t="s">
        <v>351</v>
      </c>
      <c r="E31" s="263">
        <f>IF(E23=0,0,(E22+E13)*E23*E24)</f>
        <v>0</v>
      </c>
      <c r="F31" s="263">
        <f t="shared" ref="F31:G31" si="13">IF(F23=0,0,(F22+F13)*F23*F24)</f>
        <v>0</v>
      </c>
      <c r="G31" s="263">
        <f t="shared" si="13"/>
        <v>0</v>
      </c>
      <c r="H31" s="179">
        <f>SUM(E31:G31)</f>
        <v>0</v>
      </c>
      <c r="I31" s="43"/>
      <c r="J31" s="42"/>
      <c r="K31" s="42"/>
    </row>
    <row r="32" spans="1:11" ht="47" customHeight="1" x14ac:dyDescent="0.35">
      <c r="A32" s="265" t="s">
        <v>418</v>
      </c>
      <c r="B32" s="176" t="s">
        <v>419</v>
      </c>
      <c r="C32" s="184" t="s">
        <v>420</v>
      </c>
      <c r="D32" s="176" t="s">
        <v>351</v>
      </c>
      <c r="E32" s="264">
        <f>E13+E22+E31</f>
        <v>2522.0315985479788</v>
      </c>
      <c r="F32" s="264">
        <f t="shared" ref="F32:G32" si="14">F13+F22+F31</f>
        <v>3894.1213283279976</v>
      </c>
      <c r="G32" s="264">
        <f t="shared" si="14"/>
        <v>8460.4940269079889</v>
      </c>
      <c r="H32" s="177">
        <f>SUM(E32:G32)</f>
        <v>14876.646953783966</v>
      </c>
      <c r="I32" s="43"/>
      <c r="J32" s="42"/>
      <c r="K32" s="42"/>
    </row>
    <row r="33" spans="1:11" x14ac:dyDescent="0.35">
      <c r="A33" s="172"/>
      <c r="B33" s="169"/>
      <c r="C33" s="175"/>
      <c r="D33" s="169"/>
      <c r="E33" s="173"/>
      <c r="F33" s="171"/>
      <c r="G33" s="171"/>
      <c r="H33" s="174"/>
      <c r="I33" s="43"/>
      <c r="J33" s="42"/>
      <c r="K33" s="42"/>
    </row>
    <row r="34" spans="1:11" x14ac:dyDescent="0.35">
      <c r="A34" s="172"/>
      <c r="B34" s="169"/>
      <c r="C34" s="175"/>
      <c r="D34" s="169"/>
      <c r="E34" s="173"/>
      <c r="F34" s="171"/>
      <c r="G34" s="171"/>
      <c r="H34" s="174"/>
      <c r="I34" s="43"/>
      <c r="J34" s="42"/>
      <c r="K34" s="42"/>
    </row>
    <row r="35" spans="1:11" x14ac:dyDescent="0.35">
      <c r="A35" s="172"/>
      <c r="B35" s="169"/>
      <c r="C35" s="175"/>
      <c r="D35" s="169"/>
      <c r="E35" s="173"/>
      <c r="F35" s="171"/>
      <c r="G35" s="171"/>
      <c r="H35" s="174"/>
      <c r="I35" s="43"/>
      <c r="J35" s="42"/>
      <c r="K35" s="42"/>
    </row>
    <row r="36" spans="1:11" x14ac:dyDescent="0.35">
      <c r="A36" s="172"/>
      <c r="B36" s="169"/>
      <c r="C36" s="175"/>
      <c r="D36" s="169"/>
      <c r="E36" s="173"/>
      <c r="F36" s="171"/>
      <c r="G36" s="171"/>
      <c r="H36" s="174"/>
      <c r="I36" s="43"/>
      <c r="J36" s="42"/>
      <c r="K36" s="42"/>
    </row>
    <row r="37" spans="1:11" x14ac:dyDescent="0.35">
      <c r="A37" s="172"/>
      <c r="B37" s="169"/>
      <c r="C37" s="175"/>
      <c r="D37" s="169"/>
      <c r="E37" s="173"/>
      <c r="F37" s="171"/>
      <c r="G37" s="171"/>
      <c r="H37" s="174"/>
      <c r="I37" s="43"/>
      <c r="J37" s="42"/>
      <c r="K37" s="42"/>
    </row>
    <row r="38" spans="1:11" x14ac:dyDescent="0.35">
      <c r="A38" s="172"/>
      <c r="B38" s="169"/>
      <c r="C38" s="175"/>
      <c r="D38" s="169"/>
      <c r="E38" s="173"/>
      <c r="F38" s="171"/>
      <c r="G38" s="171"/>
      <c r="H38" s="174"/>
      <c r="I38" s="43"/>
      <c r="J38" s="42"/>
      <c r="K38" s="42"/>
    </row>
    <row r="39" spans="1:11" x14ac:dyDescent="0.35">
      <c r="A39" s="172"/>
      <c r="B39" s="169"/>
      <c r="C39" s="175"/>
      <c r="D39" s="169"/>
      <c r="E39" s="173"/>
      <c r="F39" s="171"/>
      <c r="G39" s="171"/>
      <c r="H39" s="174"/>
      <c r="I39" s="43"/>
      <c r="J39" s="42"/>
      <c r="K39" s="42"/>
    </row>
    <row r="40" spans="1:11" x14ac:dyDescent="0.35">
      <c r="A40" s="44"/>
      <c r="H40" s="44"/>
    </row>
  </sheetData>
  <sheetProtection sheet="1" objects="1" scenarios="1"/>
  <mergeCells count="10">
    <mergeCell ref="A7:A13"/>
    <mergeCell ref="A14:A22"/>
    <mergeCell ref="A23:A31"/>
    <mergeCell ref="B1:H1"/>
    <mergeCell ref="A2:J2"/>
    <mergeCell ref="B5:B6"/>
    <mergeCell ref="D5:D6"/>
    <mergeCell ref="E5:G5"/>
    <mergeCell ref="H5:H6"/>
    <mergeCell ref="C5:C6"/>
  </mergeCells>
  <pageMargins left="0.511811024" right="0.511811024" top="0.78740157499999996" bottom="0.78740157499999996" header="0.31496062000000002" footer="0.31496062000000002"/>
  <pageSetup paperSize="9" orientation="portrait" r:id="rId1"/>
  <headerFooter>
    <oddHeader>&amp;L&amp;G</oddHead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944c9fc-9421-4c39-b608-61ce31788618">
      <Terms xmlns="http://schemas.microsoft.com/office/infopath/2007/PartnerControls"/>
    </lcf76f155ced4ddcb4097134ff3c332f>
    <TaxCatchAll xmlns="3ba820af-9c36-47fb-8383-9944acc4573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DDC1F0F2D97C04690DF7AC407C65BA5" ma:contentTypeVersion="19" ma:contentTypeDescription="Creare un nuovo documento." ma:contentTypeScope="" ma:versionID="8e191aa03ed2b3dd1d6e9ff69f994070">
  <xsd:schema xmlns:xsd="http://www.w3.org/2001/XMLSchema" xmlns:xs="http://www.w3.org/2001/XMLSchema" xmlns:p="http://schemas.microsoft.com/office/2006/metadata/properties" xmlns:ns2="5944c9fc-9421-4c39-b608-61ce31788618" xmlns:ns3="3ba820af-9c36-47fb-8383-9944acc4573c" targetNamespace="http://schemas.microsoft.com/office/2006/metadata/properties" ma:root="true" ma:fieldsID="f075b6befc357a33f6906afdc54d6895" ns2:_="" ns3:_="">
    <xsd:import namespace="5944c9fc-9421-4c39-b608-61ce31788618"/>
    <xsd:import namespace="3ba820af-9c36-47fb-8383-9944acc4573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44c9fc-9421-4c39-b608-61ce317886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4b97863a-9c53-4d79-aa62-b4edf9878b66"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a820af-9c36-47fb-8383-9944acc4573c" elementFormDefault="qualified">
    <xsd:import namespace="http://schemas.microsoft.com/office/2006/documentManagement/types"/>
    <xsd:import namespace="http://schemas.microsoft.com/office/infopath/2007/PartnerControls"/>
    <xsd:element name="SharedWithUsers" ma:index="19"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34e236bb-6ba1-491a-998c-53c379aa7070}" ma:internalName="TaxCatchAll" ma:showField="CatchAllData" ma:web="3ba820af-9c36-47fb-8383-9944acc457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DA71C3-4A32-44CA-A100-278011141026}">
  <ds:schemaRefs>
    <ds:schemaRef ds:uri="http://schemas.microsoft.com/sharepoint/v3/contenttype/forms"/>
  </ds:schemaRefs>
</ds:datastoreItem>
</file>

<file path=customXml/itemProps2.xml><?xml version="1.0" encoding="utf-8"?>
<ds:datastoreItem xmlns:ds="http://schemas.openxmlformats.org/officeDocument/2006/customXml" ds:itemID="{0A5C784F-86CC-46CE-AB6D-8D264829B5BE}">
  <ds:schemaRefs>
    <ds:schemaRef ds:uri="http://schemas.microsoft.com/office/2006/documentManagement/types"/>
    <ds:schemaRef ds:uri="http://purl.org/dc/terms/"/>
    <ds:schemaRef ds:uri="http://purl.org/dc/dcmitype/"/>
    <ds:schemaRef ds:uri="af19579a-da13-490b-9f47-db1980ace3c5"/>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elements/1.1/"/>
    <ds:schemaRef ds:uri="34523105-b43d-442e-92f7-f651c68401a2"/>
    <ds:schemaRef ds:uri="baf5775a-c773-45c5-a379-7481f4a7839d"/>
  </ds:schemaRefs>
</ds:datastoreItem>
</file>

<file path=customXml/itemProps3.xml><?xml version="1.0" encoding="utf-8"?>
<ds:datastoreItem xmlns:ds="http://schemas.openxmlformats.org/officeDocument/2006/customXml" ds:itemID="{98F7951F-046A-4D2B-9F36-16A0C28361F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16</vt:i4>
      </vt:variant>
      <vt:variant>
        <vt:lpstr>Intervalos Nomeados</vt:lpstr>
      </vt:variant>
      <vt:variant>
        <vt:i4>40</vt:i4>
      </vt:variant>
    </vt:vector>
  </HeadingPairs>
  <TitlesOfParts>
    <vt:vector size="56" baseType="lpstr">
      <vt:lpstr>Overview</vt:lpstr>
      <vt:lpstr>Default factors</vt:lpstr>
      <vt:lpstr>Deforestation</vt:lpstr>
      <vt:lpstr>Biomass inventory</vt:lpstr>
      <vt:lpstr>Biomass</vt:lpstr>
      <vt:lpstr>BL-ED</vt:lpstr>
      <vt:lpstr>BL-GHG</vt:lpstr>
      <vt:lpstr>PER</vt:lpstr>
      <vt:lpstr>Leakage_ME</vt:lpstr>
      <vt:lpstr>LK-GHG_ex_ante</vt:lpstr>
      <vt:lpstr>LK-GHG_ex_post</vt:lpstr>
      <vt:lpstr>Leakage_AS</vt:lpstr>
      <vt:lpstr>Leakage_Outside</vt:lpstr>
      <vt:lpstr>Total Leakage_Ex-post</vt:lpstr>
      <vt:lpstr>Resume_Ex-post</vt:lpstr>
      <vt:lpstr>Net GHG</vt:lpstr>
      <vt:lpstr>ATL</vt:lpstr>
      <vt:lpstr>BCEF</vt:lpstr>
      <vt:lpstr>Buffer</vt:lpstr>
      <vt:lpstr>CBSLi</vt:lpstr>
      <vt:lpstr>CF</vt:lpstr>
      <vt:lpstr>CLB</vt:lpstr>
      <vt:lpstr>coffee_percentage</vt:lpstr>
      <vt:lpstr>coffee_tcoha</vt:lpstr>
      <vt:lpstr>COLB</vt:lpstr>
      <vt:lpstr>COMFi</vt:lpstr>
      <vt:lpstr>Conversion</vt:lpstr>
      <vt:lpstr>CWP_average</vt:lpstr>
      <vt:lpstr>Dmn</vt:lpstr>
      <vt:lpstr>Dolar</vt:lpstr>
      <vt:lpstr>GgCH4</vt:lpstr>
      <vt:lpstr>GgN2O</vt:lpstr>
      <vt:lpstr>GWPgCH4</vt:lpstr>
      <vt:lpstr>GWPgN2O</vt:lpstr>
      <vt:lpstr>LBFOR</vt:lpstr>
      <vt:lpstr>LDF</vt:lpstr>
      <vt:lpstr>LFME</vt:lpstr>
      <vt:lpstr>LIF</vt:lpstr>
      <vt:lpstr>LK_percentage</vt:lpstr>
      <vt:lpstr>LKPROP</vt:lpstr>
      <vt:lpstr>MWE</vt:lpstr>
      <vt:lpstr>NTL</vt:lpstr>
      <vt:lpstr>OFTY</vt:lpstr>
      <vt:lpstr>pasture_percentage</vt:lpstr>
      <vt:lpstr>pasture_tco2ha</vt:lpstr>
      <vt:lpstr>Projeto</vt:lpstr>
      <vt:lpstr>PROPIMM</vt:lpstr>
      <vt:lpstr>root_shoot</vt:lpstr>
      <vt:lpstr>SK</vt:lpstr>
      <vt:lpstr>SLFTY</vt:lpstr>
      <vt:lpstr>tC_to_tCO2</vt:lpstr>
      <vt:lpstr>tCO2_to_tC</vt:lpstr>
      <vt:lpstr>VBSL</vt:lpstr>
      <vt:lpstr>VCU</vt:lpstr>
      <vt:lpstr>WSKID</vt:lpstr>
      <vt:lpstr>WWTY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Larissa Paulista</dc:creator>
  <cp:keywords/>
  <dc:description/>
  <cp:lastModifiedBy>Pedro Henrique Presumido</cp:lastModifiedBy>
  <cp:revision/>
  <dcterms:created xsi:type="dcterms:W3CDTF">2022-05-25T13:03:37Z</dcterms:created>
  <dcterms:modified xsi:type="dcterms:W3CDTF">2025-03-06T20:42:27Z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0x010100CDDC1F0F2D97C04690DF7AC407C65BA5</vt:lpwstr>
  </property>
  <property fmtid="{D5CDD505-2E9C-101B-9397-08002B2CF9AE}" pid="3" name="MediaServiceImageTags">
    <vt:lpwstr/>
  </property>
  <property fmtid="{D5CDD505-2E9C-101B-9397-08002B2CF9AE}" pid="4" name="Order">
    <vt:r8>1235300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