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Override PartName="/xl/commentsmeta6"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mc:AlternateContent xmlns:mc="http://schemas.openxmlformats.org/markup-compatibility/2006">
    <mc:Choice Requires="x15">
      <x15ac:absPath xmlns:x15ac="http://schemas.microsoft.com/office/spreadsheetml/2010/11/ac" url="G:\Drive condivisi\NbS Africa AQ Projects\AQ Projects\304176 CSG Boumba-and-Ngoko CP029\04. Verification\2022-2023 2nd Verification\06_CARs\06_VERRA_1stReview_240913\1_VVB-241023\"/>
    </mc:Choice>
  </mc:AlternateContent>
  <xr:revisionPtr revIDLastSave="0" documentId="13_ncr:1_{38D1427E-ED61-41AD-A913-AC358F34DC4B}" xr6:coauthVersionLast="47" xr6:coauthVersionMax="47" xr10:uidLastSave="{00000000-0000-0000-0000-000000000000}"/>
  <bookViews>
    <workbookView xWindow="28680" yWindow="-120" windowWidth="29040" windowHeight="15720" firstSheet="8" activeTab="8" xr2:uid="{00000000-000D-0000-FFFF-FFFF00000000}"/>
  </bookViews>
  <sheets>
    <sheet name="Areas_TimberHarvestSchedule" sheetId="1" r:id="rId1"/>
    <sheet name="BSL_ExPost" sheetId="2" r:id="rId2"/>
    <sheet name="BSL_ExPost_total" sheetId="3" r:id="rId3"/>
    <sheet name="PRJ_Illegal_Logging" sheetId="4" r:id="rId4"/>
    <sheet name="PRJ_ExPost" sheetId="5" r:id="rId5"/>
    <sheet name="Uncertainty" sheetId="6" r:id="rId6"/>
    <sheet name="MarketLeakage_PMP" sheetId="7" r:id="rId7"/>
    <sheet name="MarketLeakage_Factor" sheetId="8" r:id="rId8"/>
    <sheet name="Significance" sheetId="9" r:id="rId9"/>
    <sheet name="VCU" sheetId="10" r:id="rId10"/>
    <sheet name="Bibliography" sheetId="11" r:id="rId11"/>
  </sheets>
  <definedNames>
    <definedName name="_ftn1" localSheetId="5">Uncertainty!$B$16</definedName>
    <definedName name="_ftnref1" localSheetId="5">Uncertainty!$D$13</definedName>
    <definedName name="BEF">Bibliography!$D$8</definedName>
    <definedName name="LF_ME">MarketLeakage_Factor!$E$29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D9rDNJBTpMDELOuUZYkxYBIwF8p07Oky69/aQMJdEhE="/>
    </ext>
  </extLst>
</workbook>
</file>

<file path=xl/calcChain.xml><?xml version="1.0" encoding="utf-8"?>
<calcChain xmlns="http://schemas.openxmlformats.org/spreadsheetml/2006/main">
  <c r="V54" i="4" l="1"/>
  <c r="K17" i="11"/>
  <c r="H17" i="11"/>
  <c r="D79" i="11"/>
  <c r="D78" i="11"/>
  <c r="D39" i="11"/>
  <c r="C32" i="11"/>
  <c r="K18" i="11"/>
  <c r="F23" i="11" s="1"/>
  <c r="G23" i="11" s="1"/>
  <c r="J30" i="6" s="1"/>
  <c r="H18" i="11"/>
  <c r="G18" i="11"/>
  <c r="G17" i="11"/>
  <c r="F22" i="11" s="1"/>
  <c r="G22" i="11" s="1"/>
  <c r="J28" i="6" s="1"/>
  <c r="G20" i="8"/>
  <c r="H19" i="8"/>
  <c r="H18" i="8"/>
  <c r="H17" i="8"/>
  <c r="H16" i="8"/>
  <c r="H15" i="8"/>
  <c r="H14" i="8"/>
  <c r="H13" i="8"/>
  <c r="H12" i="8"/>
  <c r="H11" i="8"/>
  <c r="H10" i="8"/>
  <c r="H20" i="8" s="1"/>
  <c r="J10" i="8" s="1"/>
  <c r="C48" i="7"/>
  <c r="B48" i="7"/>
  <c r="C47" i="7"/>
  <c r="B47" i="7"/>
  <c r="C46" i="7"/>
  <c r="B46" i="7"/>
  <c r="C45" i="7"/>
  <c r="B45" i="7"/>
  <c r="C44" i="7"/>
  <c r="B44" i="7"/>
  <c r="C43" i="7"/>
  <c r="B43" i="7"/>
  <c r="C42" i="7"/>
  <c r="B42" i="7"/>
  <c r="C41" i="7"/>
  <c r="B41" i="7"/>
  <c r="C40" i="7"/>
  <c r="B40" i="7"/>
  <c r="C39" i="7"/>
  <c r="B39" i="7"/>
  <c r="C38" i="7"/>
  <c r="B38" i="7"/>
  <c r="C37" i="7"/>
  <c r="B37" i="7"/>
  <c r="C36" i="7"/>
  <c r="B36" i="7"/>
  <c r="C35" i="7"/>
  <c r="B35" i="7"/>
  <c r="C34" i="7"/>
  <c r="B34" i="7"/>
  <c r="C33" i="7"/>
  <c r="B33" i="7"/>
  <c r="C32" i="7"/>
  <c r="B32" i="7"/>
  <c r="C31" i="7"/>
  <c r="B31" i="7"/>
  <c r="C30" i="7"/>
  <c r="B30" i="7"/>
  <c r="C29" i="7"/>
  <c r="B29" i="7"/>
  <c r="C28" i="7"/>
  <c r="B28" i="7"/>
  <c r="C27" i="7"/>
  <c r="B27" i="7"/>
  <c r="C26" i="7"/>
  <c r="B26" i="7"/>
  <c r="C25" i="7"/>
  <c r="B25" i="7"/>
  <c r="C24" i="7"/>
  <c r="B24" i="7"/>
  <c r="C23" i="7"/>
  <c r="B23" i="7"/>
  <c r="C22" i="7"/>
  <c r="B22" i="7"/>
  <c r="C21" i="7"/>
  <c r="B21" i="7"/>
  <c r="C20" i="7"/>
  <c r="B20" i="7"/>
  <c r="C19" i="7"/>
  <c r="B19" i="7"/>
  <c r="C18" i="7"/>
  <c r="B18" i="7"/>
  <c r="C17" i="7"/>
  <c r="B17" i="7"/>
  <c r="C16" i="7"/>
  <c r="B16" i="7"/>
  <c r="C15" i="7"/>
  <c r="B15" i="7"/>
  <c r="C14" i="7"/>
  <c r="B14" i="7"/>
  <c r="C13" i="7"/>
  <c r="B13" i="7"/>
  <c r="C12" i="7"/>
  <c r="B12" i="7"/>
  <c r="H11" i="7"/>
  <c r="N11" i="7" s="1"/>
  <c r="G11" i="7"/>
  <c r="M11" i="7" s="1"/>
  <c r="C11" i="7"/>
  <c r="B11" i="7"/>
  <c r="H10" i="7"/>
  <c r="N10" i="7" s="1"/>
  <c r="G10" i="7"/>
  <c r="M10" i="7" s="1"/>
  <c r="C10" i="7"/>
  <c r="C49" i="7" s="1"/>
  <c r="B10" i="7"/>
  <c r="B49" i="7" s="1"/>
  <c r="D38" i="6"/>
  <c r="H38" i="6" s="1"/>
  <c r="J31" i="6"/>
  <c r="D40" i="6" s="1"/>
  <c r="H40" i="6" s="1"/>
  <c r="H30" i="6"/>
  <c r="E30" i="6"/>
  <c r="D30" i="6"/>
  <c r="J29" i="6"/>
  <c r="F29" i="6"/>
  <c r="H28" i="6"/>
  <c r="E28" i="6"/>
  <c r="D28" i="6"/>
  <c r="I23" i="6"/>
  <c r="K23" i="6" s="1"/>
  <c r="E23" i="6"/>
  <c r="H23" i="6" s="1"/>
  <c r="J22" i="6"/>
  <c r="I22" i="6"/>
  <c r="G22" i="6"/>
  <c r="E22" i="6"/>
  <c r="K21" i="6"/>
  <c r="I21" i="6"/>
  <c r="H21" i="6"/>
  <c r="E21" i="6"/>
  <c r="J20" i="6"/>
  <c r="G20" i="6"/>
  <c r="E20" i="6"/>
  <c r="C29" i="4"/>
  <c r="C30" i="4" s="1"/>
  <c r="C36" i="4" s="1"/>
  <c r="C21" i="4"/>
  <c r="C35" i="4" s="1"/>
  <c r="V16" i="4"/>
  <c r="V17" i="4" s="1"/>
  <c r="V8" i="4"/>
  <c r="V9" i="4" s="1"/>
  <c r="J8" i="3"/>
  <c r="I8" i="3"/>
  <c r="I16" i="3" s="1"/>
  <c r="G8" i="3"/>
  <c r="G16" i="3" s="1"/>
  <c r="C8" i="3"/>
  <c r="J7" i="3"/>
  <c r="J9" i="3" s="1"/>
  <c r="H39" i="6" s="1"/>
  <c r="I7" i="3"/>
  <c r="I9" i="3" s="1"/>
  <c r="H37" i="6" s="1"/>
  <c r="G7" i="3"/>
  <c r="G10" i="3" s="1"/>
  <c r="C7" i="3"/>
  <c r="C15" i="3" s="1"/>
  <c r="AB61" i="2"/>
  <c r="Z61" i="2"/>
  <c r="AG60" i="2"/>
  <c r="D39" i="6" s="1"/>
  <c r="AF60" i="2"/>
  <c r="D37" i="6" s="1"/>
  <c r="AB60" i="2"/>
  <c r="G28" i="6" s="1"/>
  <c r="Y60" i="2"/>
  <c r="X60" i="2"/>
  <c r="I20" i="6" s="1"/>
  <c r="AG59" i="2"/>
  <c r="AF59" i="2"/>
  <c r="AE59" i="2"/>
  <c r="AD59" i="2"/>
  <c r="AD61" i="2" s="1"/>
  <c r="AC59" i="2"/>
  <c r="AB59" i="2"/>
  <c r="AA59" i="2"/>
  <c r="Z59" i="2"/>
  <c r="Y59" i="2"/>
  <c r="X59" i="2"/>
  <c r="W59" i="2"/>
  <c r="V59" i="2"/>
  <c r="V61" i="2" s="1"/>
  <c r="U59" i="2"/>
  <c r="M59" i="2"/>
  <c r="F59" i="2"/>
  <c r="E59" i="2"/>
  <c r="AG58" i="2"/>
  <c r="AG61" i="2" s="1"/>
  <c r="AF58" i="2"/>
  <c r="AF61" i="2" s="1"/>
  <c r="AE58" i="2"/>
  <c r="AE61" i="2" s="1"/>
  <c r="AD58" i="2"/>
  <c r="AC58" i="2"/>
  <c r="AC60" i="2" s="1"/>
  <c r="G30" i="6" s="1"/>
  <c r="AB58" i="2"/>
  <c r="AA58" i="2"/>
  <c r="AA61" i="2" s="1"/>
  <c r="Z58" i="2"/>
  <c r="Z60" i="2" s="1"/>
  <c r="F28" i="6" s="1"/>
  <c r="Y58" i="2"/>
  <c r="Y61" i="2" s="1"/>
  <c r="X58" i="2"/>
  <c r="X61" i="2" s="1"/>
  <c r="W58" i="2"/>
  <c r="W61" i="2" s="1"/>
  <c r="V58" i="2"/>
  <c r="U58" i="2"/>
  <c r="N58" i="2"/>
  <c r="M58" i="2"/>
  <c r="G58" i="2"/>
  <c r="E58" i="2"/>
  <c r="Q49" i="2"/>
  <c r="P49" i="2"/>
  <c r="O49" i="2"/>
  <c r="N49" i="2"/>
  <c r="M49" i="2"/>
  <c r="O58" i="2" s="1"/>
  <c r="L49" i="2"/>
  <c r="N59" i="2" s="1"/>
  <c r="K49" i="2"/>
  <c r="J49" i="2"/>
  <c r="H49" i="2"/>
  <c r="I58" i="2" s="1"/>
  <c r="G49" i="2"/>
  <c r="H58" i="2" s="1"/>
  <c r="F49" i="2"/>
  <c r="G59" i="2" s="1"/>
  <c r="E49" i="2"/>
  <c r="F58" i="2" s="1"/>
  <c r="D49" i="2"/>
  <c r="C49" i="2"/>
  <c r="AA73" i="1"/>
  <c r="O73" i="1"/>
  <c r="H8" i="3" s="1"/>
  <c r="AA72" i="1"/>
  <c r="O72" i="1"/>
  <c r="H7" i="3" s="1"/>
  <c r="G72" i="1"/>
  <c r="G71" i="1"/>
  <c r="AA63" i="1"/>
  <c r="O63" i="1"/>
  <c r="F8" i="3" s="1"/>
  <c r="G63" i="1"/>
  <c r="E8" i="3" s="1"/>
  <c r="AA62" i="1"/>
  <c r="O62" i="1"/>
  <c r="F7" i="3" s="1"/>
  <c r="G62" i="1"/>
  <c r="E7" i="3" s="1"/>
  <c r="AA53" i="1"/>
  <c r="O53" i="1"/>
  <c r="D8" i="3" s="1"/>
  <c r="G53" i="1"/>
  <c r="AA52" i="1"/>
  <c r="O52" i="1"/>
  <c r="D7" i="3" s="1"/>
  <c r="G52" i="1"/>
  <c r="F18" i="1"/>
  <c r="E18" i="1"/>
  <c r="G17" i="1"/>
  <c r="G16" i="1"/>
  <c r="L15" i="1"/>
  <c r="G15" i="1"/>
  <c r="L14" i="1"/>
  <c r="G14" i="1"/>
  <c r="L13" i="1"/>
  <c r="G13" i="1"/>
  <c r="L12" i="1"/>
  <c r="G12" i="1"/>
  <c r="G18" i="1" s="1"/>
  <c r="C22" i="4" l="1"/>
  <c r="V22" i="4"/>
  <c r="I10" i="7"/>
  <c r="I11" i="7"/>
  <c r="D9" i="3"/>
  <c r="E39" i="6" s="1"/>
  <c r="L7" i="3"/>
  <c r="D10" i="3"/>
  <c r="E16" i="3"/>
  <c r="G61" i="2"/>
  <c r="G29" i="6"/>
  <c r="I29" i="6" s="1"/>
  <c r="G38" i="6" s="1"/>
  <c r="V23" i="4"/>
  <c r="V18" i="4"/>
  <c r="J11" i="7"/>
  <c r="J10" i="7"/>
  <c r="E15" i="3"/>
  <c r="E10" i="3"/>
  <c r="E9" i="3"/>
  <c r="F37" i="6" s="1"/>
  <c r="H10" i="3"/>
  <c r="H9" i="3"/>
  <c r="G39" i="6" s="1"/>
  <c r="F10" i="3"/>
  <c r="F9" i="3"/>
  <c r="F39" i="6" s="1"/>
  <c r="I61" i="2"/>
  <c r="I60" i="2"/>
  <c r="H22" i="6" s="1"/>
  <c r="C37" i="4"/>
  <c r="C38" i="4" s="1"/>
  <c r="M12" i="7"/>
  <c r="N61" i="2"/>
  <c r="N12" i="7"/>
  <c r="L8" i="3"/>
  <c r="N8" i="3" s="1"/>
  <c r="F61" i="2"/>
  <c r="F60" i="2"/>
  <c r="D20" i="6" s="1"/>
  <c r="C16" i="3"/>
  <c r="V24" i="4"/>
  <c r="V55" i="4" s="1"/>
  <c r="N60" i="2"/>
  <c r="K20" i="6" s="1"/>
  <c r="H59" i="2"/>
  <c r="H61" i="2" s="1"/>
  <c r="V60" i="2"/>
  <c r="L20" i="6" s="1"/>
  <c r="AD60" i="2"/>
  <c r="I28" i="6" s="1"/>
  <c r="I10" i="3"/>
  <c r="G15" i="3"/>
  <c r="I59" i="2"/>
  <c r="W60" i="2"/>
  <c r="L22" i="6" s="1"/>
  <c r="AE60" i="2"/>
  <c r="I30" i="6" s="1"/>
  <c r="AC61" i="2"/>
  <c r="J10" i="3"/>
  <c r="I15" i="3"/>
  <c r="C31" i="4"/>
  <c r="F31" i="6"/>
  <c r="G60" i="2"/>
  <c r="D22" i="6" s="1"/>
  <c r="K8" i="3"/>
  <c r="C10" i="3"/>
  <c r="O59" i="2"/>
  <c r="O60" i="2" s="1"/>
  <c r="K22" i="6" s="1"/>
  <c r="G9" i="3"/>
  <c r="G37" i="6" s="1"/>
  <c r="AA60" i="2"/>
  <c r="F30" i="6" s="1"/>
  <c r="G31" i="6" s="1"/>
  <c r="K7" i="3"/>
  <c r="C9" i="3"/>
  <c r="E37" i="6" s="1"/>
  <c r="I31" i="6" l="1"/>
  <c r="G40" i="6"/>
  <c r="O61" i="2"/>
  <c r="E40" i="6"/>
  <c r="I40" i="6" s="1"/>
  <c r="F40" i="6"/>
  <c r="V25" i="4"/>
  <c r="J12" i="7"/>
  <c r="Q10" i="7" s="1"/>
  <c r="C29" i="8" s="1"/>
  <c r="L9" i="3"/>
  <c r="I39" i="6" s="1"/>
  <c r="L10" i="3"/>
  <c r="N7" i="3"/>
  <c r="H60" i="2"/>
  <c r="H20" i="6" s="1"/>
  <c r="L21" i="6" s="1"/>
  <c r="E38" i="6" s="1"/>
  <c r="M8" i="3"/>
  <c r="M16" i="3" s="1"/>
  <c r="K16" i="3"/>
  <c r="L23" i="6"/>
  <c r="K15" i="3"/>
  <c r="K10" i="3"/>
  <c r="M7" i="3"/>
  <c r="K9" i="3"/>
  <c r="I37" i="6" s="1"/>
  <c r="I12" i="7"/>
  <c r="P10" i="7" s="1"/>
  <c r="C28" i="8" s="1"/>
  <c r="F8" i="10" l="1"/>
  <c r="E10" i="9" s="1"/>
  <c r="B8" i="10"/>
  <c r="C10" i="9"/>
  <c r="V62" i="4"/>
  <c r="J8" i="5" s="1"/>
  <c r="K8" i="5" s="1"/>
  <c r="L8" i="5" s="1"/>
  <c r="D10" i="9" s="1"/>
  <c r="V61" i="4"/>
  <c r="F38" i="6"/>
  <c r="I38" i="6" s="1"/>
  <c r="I42" i="6" s="1"/>
  <c r="O7" i="10" s="1"/>
  <c r="M10" i="3"/>
  <c r="M15" i="3"/>
  <c r="M9" i="3"/>
  <c r="N10" i="3"/>
  <c r="N9" i="3"/>
  <c r="V63" i="4" l="1"/>
  <c r="J7" i="5"/>
  <c r="K7" i="5" s="1"/>
  <c r="F10" i="9"/>
  <c r="F7" i="10"/>
  <c r="C9" i="9"/>
  <c r="B7" i="10"/>
  <c r="M17" i="3"/>
  <c r="M18" i="3"/>
  <c r="F9" i="10" l="1"/>
  <c r="E9" i="9"/>
  <c r="E11" i="9" s="1"/>
  <c r="B9" i="10"/>
  <c r="C11" i="9"/>
  <c r="L7" i="5"/>
  <c r="K10" i="5"/>
  <c r="K9" i="5"/>
  <c r="D9" i="9" l="1"/>
  <c r="L9" i="5"/>
  <c r="L10" i="5"/>
  <c r="D11" i="9" l="1"/>
  <c r="F9" i="9"/>
  <c r="F11" i="9" s="1"/>
  <c r="E22" i="9" s="1"/>
  <c r="E21" i="9" l="1"/>
  <c r="C8" i="10" l="1"/>
  <c r="N8" i="10" s="1"/>
  <c r="P8" i="10" s="1"/>
  <c r="C7" i="10"/>
  <c r="C9" i="10" l="1"/>
  <c r="N7" i="10"/>
  <c r="Q8" i="10"/>
  <c r="R8" i="10" s="1"/>
  <c r="O20" i="10" s="1"/>
  <c r="P20" i="10" s="1"/>
  <c r="N9" i="10" l="1"/>
  <c r="N10" i="10"/>
  <c r="P7" i="10"/>
  <c r="P9" i="10" l="1"/>
  <c r="P10" i="10"/>
  <c r="Q7" i="10"/>
  <c r="R7" i="10" s="1"/>
  <c r="O19" i="10" l="1"/>
  <c r="P19" i="10" s="1"/>
  <c r="R10" i="10"/>
  <c r="R9" i="10"/>
  <c r="Q10" i="10"/>
  <c r="Q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1" authorId="0" shapeId="0" xr:uid="{00000000-0006-0000-0000-000001000000}">
      <text>
        <r>
          <rPr>
            <sz val="11"/>
            <color theme="1"/>
            <rFont val="Calibri"/>
            <scheme val="minor"/>
          </rPr>
          <t>======
ID#AAAAgpCNaqE
Enrico Casagrande    (2022-09-30 14:47:24)
Assiette Annuelle de Coupe (Annual Area of Allowable Cut)</t>
        </r>
      </text>
    </comment>
  </commentList>
  <extLst>
    <ext xmlns:r="http://schemas.openxmlformats.org/officeDocument/2006/relationships" uri="GoogleSheetsCustomDataVersion2">
      <go:sheetsCustomData xmlns:go="http://customooxmlschemas.google.com/" r:id="rId1" roundtripDataSignature="AMtx7mhx0BvgiTTK6C290S1zjtL47Sxeu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I7" authorId="0" shapeId="0" xr:uid="{00000000-0006-0000-0100-000001000000}">
      <text>
        <r>
          <rPr>
            <sz val="11"/>
            <color theme="1"/>
            <rFont val="Calibri"/>
            <scheme val="minor"/>
          </rPr>
          <t>======
ID#AAAAgpCNaqc
Enrico Casagrande    (2022-09-30 14:47:24)
see 'Bibliography'</t>
        </r>
      </text>
    </comment>
  </commentList>
  <extLst>
    <ext xmlns:r="http://schemas.openxmlformats.org/officeDocument/2006/relationships" uri="GoogleSheetsCustomDataVersion2">
      <go:sheetsCustomData xmlns:go="http://customooxmlschemas.google.com/" r:id="rId1" roundtripDataSignature="AMtx7mjcfKpaDtoo+76T9oa112HkyydJq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Enrico Casagrande</author>
  </authors>
  <commentList>
    <comment ref="V16" authorId="0" shapeId="0" xr:uid="{00000000-0006-0000-0300-000002000000}">
      <text>
        <r>
          <rPr>
            <sz val="11"/>
            <color theme="1"/>
            <rFont val="Calibri"/>
            <scheme val="minor"/>
          </rPr>
          <t>======
ID#AAABV_0PrVU
tc={856FA376-97C4-4563-9148-FEAB7019BF71}    (2024-09-30 11:18:10)
[Threaded comment]
Your version of Excel allows you to read this threaded comment; however, any edits to it will get removed if the file is opened in a newer version of Excel. Learn more: https://go.microsoft.com/fwlink/?linkid=870924
Comment:
    For the sake of estimation, it was considered that each logged tree equal to 0.1 ha of deforestation (individual tree+ residual standing damage)</t>
        </r>
      </text>
    </comment>
    <comment ref="C29" authorId="0" shapeId="0" xr:uid="{00000000-0006-0000-0300-000001000000}">
      <text>
        <r>
          <rPr>
            <sz val="11"/>
            <color theme="1"/>
            <rFont val="Calibri"/>
            <scheme val="minor"/>
          </rPr>
          <t>======
ID#AAABV_0PrVc
tc={C710D129-87CC-4146-BA47-4323078F0B2B}    (2024-09-30 11:18:10)
[Threaded comment]
Your version of Excel allows you to read this threaded comment; however, any edits to it will get removed if the file is opened in a newer version of Excel. Learn more: https://go.microsoft.com/fwlink/?linkid=870924
Comment:
    For the sake of estimation, it was considered that each logged tree equal to 0.1 ha of deforestation (individual tree+ residual standing damage)</t>
        </r>
      </text>
    </comment>
    <comment ref="Y54" authorId="1" shapeId="0" xr:uid="{4B12E119-B0EB-41DB-972A-7A478C594120}">
      <text>
        <r>
          <rPr>
            <b/>
            <sz val="9"/>
            <color indexed="81"/>
            <rFont val="Tahoma"/>
            <charset val="1"/>
          </rPr>
          <t>Enrico Casagrande:</t>
        </r>
        <r>
          <rPr>
            <sz val="9"/>
            <color indexed="81"/>
            <rFont val="Tahoma"/>
            <charset val="1"/>
          </rPr>
          <t xml:space="preserve">
Taken from MINFOF and FAO (2005). Evaluation Des Ressources Forestières Nationales Du Cameroun. Unité Technique du Projet d’Inventaire forestier national en collaboration avec la FAO, Yaounde, Cameroun.</t>
        </r>
      </text>
    </comment>
  </commentList>
  <extLst>
    <ext xmlns:r="http://schemas.openxmlformats.org/officeDocument/2006/relationships" uri="GoogleSheetsCustomDataVersion2">
      <go:sheetsCustomData xmlns:go="http://customooxmlschemas.google.com/" r:id="rId1" roundtripDataSignature="AMtx7mhF8lgDPwIzlY8WYO1+OI2AEHSucw=="/>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K7" authorId="0" shapeId="0" xr:uid="{00000000-0006-0000-0600-000001000000}">
      <text>
        <r>
          <rPr>
            <sz val="11"/>
            <color theme="1"/>
            <rFont val="Calibri"/>
            <scheme val="minor"/>
          </rPr>
          <t>======
ID#AAABV_0PrVY
    (2024-09-30 11:18:10)
Taken from the "PA_agb_ESA_CCI-2017" shapefile.</t>
        </r>
      </text>
    </comment>
  </commentList>
  <extLst>
    <ext xmlns:r="http://schemas.openxmlformats.org/officeDocument/2006/relationships" uri="GoogleSheetsCustomDataVersion2">
      <go:sheetsCustomData xmlns:go="http://customooxmlschemas.google.com/" r:id="rId1" roundtripDataSignature="AMtx7mjDpa7LHubq47tSWNBc5W2oiL1YoA=="/>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D8" authorId="0" shapeId="0" xr:uid="{00000000-0006-0000-0700-000001000000}">
      <text>
        <r>
          <rPr>
            <sz val="11"/>
            <color theme="1"/>
            <rFont val="Calibri"/>
            <scheme val="minor"/>
          </rPr>
          <t>======
ID#AAABV_0PrVg
    (2024-09-30 11:18:10)
Retrieved from the "UFA_agb_ESA_CCI-2017" shapefile</t>
        </r>
      </text>
    </comment>
    <comment ref="E8" authorId="0" shapeId="0" xr:uid="{00000000-0006-0000-0700-000003000000}">
      <text>
        <r>
          <rPr>
            <sz val="11"/>
            <color theme="1"/>
            <rFont val="Calibri"/>
            <scheme val="minor"/>
          </rPr>
          <t>======
ID#AAABV_0PrVQ
    (2024-09-30 11:18:10)
Taken from the UFA management plans (retrieved from https://cmr.forest-atlas.org/pages/domaine-forestier), considering the productive forest strata surface area</t>
        </r>
      </text>
    </comment>
    <comment ref="F8" authorId="0" shapeId="0" xr:uid="{00000000-0006-0000-0700-000002000000}">
      <text>
        <r>
          <rPr>
            <sz val="11"/>
            <color theme="1"/>
            <rFont val="Calibri"/>
            <scheme val="minor"/>
          </rPr>
          <t>======
ID#AAABV_0PrVk
    (2024-09-30 11:18:10)
Taken from the UFA management plans (retrieved from https://cmr.forest-atlas.org/pages/domaine-forestier), considering the "volume exploitable"</t>
        </r>
      </text>
    </comment>
  </commentList>
  <extLst>
    <ext xmlns:r="http://schemas.openxmlformats.org/officeDocument/2006/relationships" uri="GoogleSheetsCustomDataVersion2">
      <go:sheetsCustomData xmlns:go="http://customooxmlschemas.google.com/" r:id="rId1" roundtripDataSignature="AMtx7mgDGh0Gy7ecqYj0JJ/YNL18m57rqg=="/>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F4" authorId="0" shapeId="0" xr:uid="{00000000-0006-0000-0900-000002000000}">
      <text>
        <r>
          <rPr>
            <sz val="11"/>
            <color theme="1"/>
            <rFont val="Calibri"/>
            <scheme val="minor"/>
          </rPr>
          <t>======
ID#AAABV_0PrVo
    (2024-09-30 11:18:10)
See the tab 'MarketLeakage_PA' and MarketLeakage_Cameroon' for calculation reference</t>
        </r>
      </text>
    </comment>
    <comment ref="I4" authorId="0" shapeId="0" xr:uid="{00000000-0006-0000-0900-000001000000}">
      <text>
        <r>
          <rPr>
            <sz val="11"/>
            <color theme="1"/>
            <rFont val="Calibri"/>
            <scheme val="minor"/>
          </rPr>
          <t>======
ID#AAABV_0PrVw
    (2024-09-30 11:18:10)
Refer to the spreadsheet 'BoumbaAndNgoko-NPRR-Calculation_2018-2022'</t>
        </r>
      </text>
    </comment>
  </commentList>
  <extLst>
    <ext xmlns:r="http://schemas.openxmlformats.org/officeDocument/2006/relationships" uri="GoogleSheetsCustomDataVersion2">
      <go:sheetsCustomData xmlns:go="http://customooxmlschemas.google.com/" r:id="rId1" roundtripDataSignature="AMtx7mgK56y6XMijSbL2oXL3co+T4YJphg=="/>
    </ext>
  </extL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H5" authorId="0" shapeId="0" xr:uid="{00000000-0006-0000-0A00-000005000000}">
      <text>
        <r>
          <rPr>
            <sz val="11"/>
            <color theme="1"/>
            <rFont val="Calibri"/>
            <scheme val="minor"/>
          </rPr>
          <t>======
ID#AAAAgpCNaqY
Enrico Casagrande    (2022-09-30 14:47:24)
W</t>
        </r>
      </text>
    </comment>
    <comment ref="H7" authorId="0" shapeId="0" xr:uid="{00000000-0006-0000-0A00-000009000000}">
      <text>
        <r>
          <rPr>
            <sz val="11"/>
            <color theme="1"/>
            <rFont val="Calibri"/>
            <scheme val="minor"/>
          </rPr>
          <t>======
ID#AAAAgpCNaqA
Enrico Casagrande    (2022-09-30 14:47:24)
We selected this value because the study area of the reference source was contiguous to our study area (see p.5</t>
        </r>
      </text>
    </comment>
    <comment ref="F15" authorId="0" shapeId="0" xr:uid="{00000000-0006-0000-0A00-000001000000}">
      <text>
        <r>
          <rPr>
            <sz val="11"/>
            <color theme="1"/>
            <rFont val="Calibri"/>
            <scheme val="minor"/>
          </rPr>
          <t>2019 Refinement of 2006 IPCC Guidelines for National Greenhouse Gas Inventories, Volume 4, Chapter 4, Table 4.7; for African moist decidous forest</t>
        </r>
      </text>
    </comment>
    <comment ref="I15" authorId="0" shapeId="0" xr:uid="{00000000-0006-0000-0A00-00000D000000}">
      <text>
        <r>
          <rPr>
            <sz val="11"/>
            <color theme="1"/>
            <rFont val="Calibri"/>
            <scheme val="minor"/>
          </rPr>
          <t>======
ID#AAAAgpCNaps
Enrico Casagrande    (2022-09-30 14:47:24)
2019 Refinement of 2006 IPCC Guidelines for National Greenhouse Gas Inventories, Volume 4, Chapter 4, Table 4.9; for African moist decidous forest</t>
        </r>
      </text>
    </comment>
    <comment ref="J15" authorId="0" shapeId="0" xr:uid="{00000000-0006-0000-0A00-000007000000}">
      <text>
        <r>
          <rPr>
            <sz val="11"/>
            <color theme="1"/>
            <rFont val="Calibri"/>
            <scheme val="minor"/>
          </rPr>
          <t>======
ID#AAAAgpCNaqM
Enrico Casagrande    (2022-09-30 14:47:24)
Source: tab 4.9, chapter 4 forest land, IPCC 2019 Refinement to the 2006 IPCC Guidelines for National Greenhouse Gas Inventories --
African tropical moist deciduous forest for Secondary Forest &lt;20 years</t>
        </r>
      </text>
    </comment>
    <comment ref="B28" authorId="0" shapeId="0" xr:uid="{00000000-0006-0000-0A00-00000A000000}">
      <text>
        <r>
          <rPr>
            <sz val="11"/>
            <color theme="1"/>
            <rFont val="Calibri"/>
            <scheme val="minor"/>
          </rPr>
          <t>======
ID#AAAAgpCNap4
Enrico Casagrande    (2022-09-30 14:47:24)
see documents in "Sawmill activity" folder, referring to the sawmill activities in the 5 years before the project starting date (2013-2017)</t>
        </r>
      </text>
    </comment>
    <comment ref="B31" authorId="0" shapeId="0" xr:uid="{00000000-0006-0000-0A00-000002000000}">
      <text>
        <r>
          <rPr>
            <sz val="11"/>
            <color theme="1"/>
            <rFont val="Calibri"/>
            <scheme val="minor"/>
          </rPr>
          <t>======
ID#AAAAvFbqyOY
    (2023-04-13 08:23:15)
Bisogna dare una reference al fatto che sawnwood 100% (anche un documento interno di LFB o preso su internet). Non credo che basti che ce l'abbia detto Coates</t>
        </r>
      </text>
    </comment>
    <comment ref="D31" authorId="0" shapeId="0" xr:uid="{00000000-0006-0000-0A00-000004000000}">
      <text>
        <r>
          <rPr>
            <sz val="11"/>
            <color theme="1"/>
            <rFont val="Calibri"/>
            <scheme val="minor"/>
          </rPr>
          <t>======
ID#AAAAgpCNaqg
Enrico Casagrande    (2022-09-30 14:47:24)
Winjum et al. (1998)</t>
        </r>
      </text>
    </comment>
    <comment ref="E31" authorId="0" shapeId="0" xr:uid="{00000000-0006-0000-0A00-000006000000}">
      <text>
        <r>
          <rPr>
            <sz val="11"/>
            <color theme="1"/>
            <rFont val="Calibri"/>
            <scheme val="minor"/>
          </rPr>
          <t>======
ID#AAAAgpCNaqU
Enrico Casagrande    (2022-09-30 14:47:24)
Winjum et al. (1998)</t>
        </r>
      </text>
    </comment>
    <comment ref="F31" authorId="0" shapeId="0" xr:uid="{00000000-0006-0000-0A00-00000B000000}">
      <text>
        <r>
          <rPr>
            <sz val="11"/>
            <color theme="1"/>
            <rFont val="Calibri"/>
            <scheme val="minor"/>
          </rPr>
          <t>======
ID#AAAAgpCNap0
nicolò capella    (2022-09-30 14:47:24)
Winjum et al. (1998), for sawnwood in tropical forest</t>
        </r>
      </text>
    </comment>
    <comment ref="D32" authorId="0" shapeId="0" xr:uid="{00000000-0006-0000-0A00-00000C000000}">
      <text>
        <r>
          <rPr>
            <sz val="11"/>
            <color theme="1"/>
            <rFont val="Calibri"/>
            <scheme val="minor"/>
          </rPr>
          <t>======
ID#AAAAgpCNapw
Enrico Casagrande    (2022-09-30 14:47:24)
Winjum et al. (1998)</t>
        </r>
      </text>
    </comment>
    <comment ref="E32" authorId="0" shapeId="0" xr:uid="{00000000-0006-0000-0A00-000003000000}">
      <text>
        <r>
          <rPr>
            <sz val="11"/>
            <color theme="1"/>
            <rFont val="Calibri"/>
            <scheme val="minor"/>
          </rPr>
          <t>======
ID#AAAAgpCNaqo
Enrico Casagrande    (2022-09-30 14:47:24)
Winjum et al. (1998)</t>
        </r>
      </text>
    </comment>
    <comment ref="F32" authorId="0" shapeId="0" xr:uid="{00000000-0006-0000-0A00-000008000000}">
      <text>
        <r>
          <rPr>
            <sz val="11"/>
            <color theme="1"/>
            <rFont val="Calibri"/>
            <scheme val="minor"/>
          </rPr>
          <t>======
ID#AAAAgpCNaqI
nicolò capella    (2022-09-30 14:47:24)
Winjum et al. (1998), for sawnwood in tropical forest</t>
        </r>
      </text>
    </comment>
  </commentList>
  <extLst>
    <ext xmlns:r="http://schemas.openxmlformats.org/officeDocument/2006/relationships" uri="GoogleSheetsCustomDataVersion2">
      <go:sheetsCustomData xmlns:go="http://customooxmlschemas.google.com/" r:id="rId1" roundtripDataSignature="AMtx7mgIZTnbZmBe6hWvtRZQO5k1PGIW7Q=="/>
    </ext>
  </extLst>
</comments>
</file>

<file path=xl/sharedStrings.xml><?xml version="1.0" encoding="utf-8"?>
<sst xmlns="http://schemas.openxmlformats.org/spreadsheetml/2006/main" count="969" uniqueCount="425">
  <si>
    <t>Timber harvest schedule (following UFA 10-064 Forest Management Plan) during the monitoring period 2022-2023</t>
  </si>
  <si>
    <t>Surface areas calculated from the shapefile 'project-strata-AAC-v2'</t>
  </si>
  <si>
    <r>
      <rPr>
        <b/>
        <i/>
        <sz val="18"/>
        <color theme="1"/>
        <rFont val="Calibri"/>
      </rPr>
      <t>A</t>
    </r>
    <r>
      <rPr>
        <b/>
        <i/>
        <vertAlign val="subscript"/>
        <sz val="18"/>
        <color theme="1"/>
        <rFont val="Calibri"/>
      </rPr>
      <t>i,p</t>
    </r>
    <r>
      <rPr>
        <b/>
        <sz val="18"/>
        <color theme="1"/>
        <rFont val="Calibri"/>
      </rPr>
      <t xml:space="preserve"> [ha]</t>
    </r>
  </si>
  <si>
    <r>
      <rPr>
        <b/>
        <i/>
        <sz val="18"/>
        <color theme="1"/>
        <rFont val="Calibri"/>
      </rPr>
      <t>A</t>
    </r>
    <r>
      <rPr>
        <b/>
        <i/>
        <vertAlign val="subscript"/>
        <sz val="18"/>
        <color theme="1"/>
        <rFont val="Calibri"/>
      </rPr>
      <t>p</t>
    </r>
    <r>
      <rPr>
        <b/>
        <sz val="18"/>
        <color theme="1"/>
        <rFont val="Calibri"/>
      </rPr>
      <t xml:space="preserve"> [ha]</t>
    </r>
  </si>
  <si>
    <t>Areas calculated in the ex-ante calculations document</t>
  </si>
  <si>
    <t>DHC</t>
  </si>
  <si>
    <t>S</t>
  </si>
  <si>
    <t>Total</t>
  </si>
  <si>
    <r>
      <rPr>
        <b/>
        <sz val="18"/>
        <color theme="1"/>
        <rFont val="Calibri"/>
      </rPr>
      <t>A</t>
    </r>
    <r>
      <rPr>
        <b/>
        <vertAlign val="subscript"/>
        <sz val="18"/>
        <color theme="1"/>
        <rFont val="Calibri"/>
      </rPr>
      <t>i,</t>
    </r>
    <r>
      <rPr>
        <b/>
        <i/>
        <vertAlign val="subscript"/>
        <sz val="18"/>
        <color theme="1"/>
        <rFont val="Calibri"/>
      </rPr>
      <t>t*</t>
    </r>
    <r>
      <rPr>
        <b/>
        <sz val="18"/>
        <color theme="1"/>
        <rFont val="Calibri"/>
      </rPr>
      <t xml:space="preserve"> [ha]</t>
    </r>
  </si>
  <si>
    <r>
      <rPr>
        <b/>
        <sz val="18"/>
        <color theme="1"/>
        <rFont val="Calibri"/>
      </rPr>
      <t>A</t>
    </r>
    <r>
      <rPr>
        <b/>
        <i/>
        <vertAlign val="subscript"/>
        <sz val="18"/>
        <color theme="1"/>
        <rFont val="Calibri"/>
      </rPr>
      <t>t*</t>
    </r>
    <r>
      <rPr>
        <b/>
        <sz val="18"/>
        <color theme="1"/>
        <rFont val="Calibri"/>
      </rPr>
      <t xml:space="preserve"> [ha]</t>
    </r>
  </si>
  <si>
    <t>Planned year of harvest</t>
  </si>
  <si>
    <t>UFE</t>
  </si>
  <si>
    <t>AAC</t>
  </si>
  <si>
    <t>Project year</t>
  </si>
  <si>
    <t>Where:</t>
  </si>
  <si>
    <t>Primary forest</t>
  </si>
  <si>
    <t>Secondary forest</t>
  </si>
  <si>
    <t>Project schedule</t>
  </si>
  <si>
    <r>
      <rPr>
        <b/>
        <sz val="11"/>
        <color theme="1"/>
        <rFont val="Calibri"/>
      </rPr>
      <t xml:space="preserve">Parcel, </t>
    </r>
    <r>
      <rPr>
        <b/>
        <i/>
        <sz val="11"/>
        <color theme="1"/>
        <rFont val="Calibri"/>
      </rPr>
      <t>p</t>
    </r>
  </si>
  <si>
    <r>
      <rPr>
        <b/>
        <i/>
        <sz val="18"/>
        <color theme="1"/>
        <rFont val="Calibri"/>
      </rPr>
      <t>TH</t>
    </r>
    <r>
      <rPr>
        <b/>
        <i/>
        <vertAlign val="subscript"/>
        <sz val="18"/>
        <color theme="1"/>
        <rFont val="Calibri"/>
      </rPr>
      <t>p</t>
    </r>
    <r>
      <rPr>
        <b/>
        <i/>
        <sz val="18"/>
        <color theme="1"/>
        <rFont val="Calibri"/>
      </rPr>
      <t xml:space="preserve"> [years]</t>
    </r>
  </si>
  <si>
    <t>AAC 4-2 to 4.5 have been exempted from logging in the past monitoring period(s) (2018-2021). 
These AACs also enter in the calculations of the VCU, as the VM0010 v1.3 guidelines (see below for the project area schedule)</t>
  </si>
  <si>
    <t>4-2</t>
  </si>
  <si>
    <t>4-3</t>
  </si>
  <si>
    <t>4-4</t>
  </si>
  <si>
    <t>4-5</t>
  </si>
  <si>
    <t>5-1</t>
  </si>
  <si>
    <t>5-2</t>
  </si>
  <si>
    <t>-</t>
  </si>
  <si>
    <t>Project scheduled area (divided per stratum)</t>
  </si>
  <si>
    <r>
      <rPr>
        <sz val="11"/>
        <color theme="1"/>
        <rFont val="Calibri"/>
      </rPr>
      <t xml:space="preserve">These values were retrieved from the validated and verified </t>
    </r>
    <r>
      <rPr>
        <i/>
        <sz val="11"/>
        <color theme="1"/>
        <rFont val="Calibri"/>
      </rPr>
      <t>ex-ante</t>
    </r>
    <r>
      <rPr>
        <sz val="11"/>
        <color theme="1"/>
        <rFont val="Calibri"/>
      </rPr>
      <t xml:space="preserve"> calculations</t>
    </r>
  </si>
  <si>
    <t>A1,DHC,p [ha]</t>
  </si>
  <si>
    <r>
      <rPr>
        <b/>
        <sz val="18"/>
        <color theme="1"/>
        <rFont val="Calibri"/>
      </rPr>
      <t>Σ</t>
    </r>
    <r>
      <rPr>
        <b/>
        <i/>
        <sz val="18"/>
        <color theme="1"/>
        <rFont val="Calibri"/>
      </rPr>
      <t>A</t>
    </r>
    <r>
      <rPr>
        <b/>
        <i/>
        <vertAlign val="subscript"/>
        <sz val="18"/>
        <color theme="1"/>
        <rFont val="Calibri"/>
      </rPr>
      <t>1,DHC,p</t>
    </r>
    <r>
      <rPr>
        <b/>
        <i/>
        <sz val="18"/>
        <color theme="1"/>
        <rFont val="Calibri"/>
      </rPr>
      <t xml:space="preserve"> [ha]</t>
    </r>
  </si>
  <si>
    <r>
      <rPr>
        <b/>
        <i/>
        <sz val="18"/>
        <color theme="1"/>
        <rFont val="Calibri"/>
      </rPr>
      <t>A</t>
    </r>
    <r>
      <rPr>
        <b/>
        <i/>
        <vertAlign val="subscript"/>
        <sz val="18"/>
        <color theme="1"/>
        <rFont val="Calibri"/>
      </rPr>
      <t>1,S,p</t>
    </r>
    <r>
      <rPr>
        <b/>
        <i/>
        <sz val="18"/>
        <color theme="1"/>
        <rFont val="Calibri"/>
      </rPr>
      <t xml:space="preserve"> [ha]</t>
    </r>
  </si>
  <si>
    <r>
      <rPr>
        <b/>
        <sz val="18"/>
        <color theme="1"/>
        <rFont val="Calibri"/>
      </rPr>
      <t>Σ</t>
    </r>
    <r>
      <rPr>
        <b/>
        <i/>
        <sz val="18"/>
        <color theme="1"/>
        <rFont val="Calibri"/>
      </rPr>
      <t>A</t>
    </r>
    <r>
      <rPr>
        <b/>
        <i/>
        <vertAlign val="subscript"/>
        <sz val="18"/>
        <color theme="1"/>
        <rFont val="Calibri"/>
      </rPr>
      <t>1,S,p</t>
    </r>
    <r>
      <rPr>
        <b/>
        <i/>
        <sz val="18"/>
        <color theme="1"/>
        <rFont val="Calibri"/>
      </rPr>
      <t xml:space="preserve"> [ha]</t>
    </r>
  </si>
  <si>
    <r>
      <rPr>
        <b/>
        <i/>
        <sz val="18"/>
        <color theme="1"/>
        <rFont val="Calibri"/>
      </rPr>
      <t>A</t>
    </r>
    <r>
      <rPr>
        <b/>
        <i/>
        <vertAlign val="subscript"/>
        <sz val="18"/>
        <color theme="1"/>
        <rFont val="Calibri"/>
      </rPr>
      <t>1,p</t>
    </r>
    <r>
      <rPr>
        <b/>
        <i/>
        <sz val="18"/>
        <color theme="1"/>
        <rFont val="Calibri"/>
      </rPr>
      <t xml:space="preserve"> [ha]</t>
    </r>
  </si>
  <si>
    <r>
      <rPr>
        <b/>
        <sz val="18"/>
        <color theme="1"/>
        <rFont val="Calibri"/>
      </rPr>
      <t>Σ</t>
    </r>
    <r>
      <rPr>
        <b/>
        <i/>
        <sz val="18"/>
        <color theme="1"/>
        <rFont val="Calibri"/>
      </rPr>
      <t>A</t>
    </r>
    <r>
      <rPr>
        <b/>
        <i/>
        <vertAlign val="subscript"/>
        <sz val="18"/>
        <color theme="1"/>
        <rFont val="Calibri"/>
      </rPr>
      <t>1,p</t>
    </r>
    <r>
      <rPr>
        <b/>
        <i/>
        <sz val="18"/>
        <color theme="1"/>
        <rFont val="Calibri"/>
      </rPr>
      <t xml:space="preserve"> [ha]</t>
    </r>
  </si>
  <si>
    <r>
      <rPr>
        <b/>
        <i/>
        <sz val="18"/>
        <color theme="1"/>
        <rFont val="Calibri"/>
      </rPr>
      <t>A</t>
    </r>
    <r>
      <rPr>
        <b/>
        <i/>
        <vertAlign val="subscript"/>
        <sz val="18"/>
        <color theme="1"/>
        <rFont val="Calibri"/>
      </rPr>
      <t>2-10, DHC,p</t>
    </r>
    <r>
      <rPr>
        <b/>
        <i/>
        <sz val="18"/>
        <color theme="1"/>
        <rFont val="Calibri"/>
      </rPr>
      <t xml:space="preserve"> [ha]</t>
    </r>
  </si>
  <si>
    <r>
      <rPr>
        <b/>
        <sz val="18"/>
        <color theme="1"/>
        <rFont val="Calibri"/>
      </rPr>
      <t>Σ</t>
    </r>
    <r>
      <rPr>
        <b/>
        <i/>
        <sz val="18"/>
        <color theme="1"/>
        <rFont val="Calibri"/>
      </rPr>
      <t>A</t>
    </r>
    <r>
      <rPr>
        <b/>
        <i/>
        <vertAlign val="subscript"/>
        <sz val="18"/>
        <color theme="1"/>
        <rFont val="Calibri"/>
      </rPr>
      <t>2-10,DHC,p</t>
    </r>
    <r>
      <rPr>
        <b/>
        <i/>
        <sz val="18"/>
        <color theme="1"/>
        <rFont val="Calibri"/>
      </rPr>
      <t xml:space="preserve"> [ha]</t>
    </r>
  </si>
  <si>
    <r>
      <rPr>
        <b/>
        <i/>
        <sz val="18"/>
        <color theme="1"/>
        <rFont val="Calibri"/>
      </rPr>
      <t>A</t>
    </r>
    <r>
      <rPr>
        <b/>
        <i/>
        <vertAlign val="subscript"/>
        <sz val="18"/>
        <color theme="1"/>
        <rFont val="Calibri"/>
      </rPr>
      <t>2-10,S,p</t>
    </r>
    <r>
      <rPr>
        <b/>
        <i/>
        <sz val="18"/>
        <color theme="1"/>
        <rFont val="Calibri"/>
      </rPr>
      <t xml:space="preserve"> [ha]</t>
    </r>
  </si>
  <si>
    <r>
      <rPr>
        <b/>
        <sz val="18"/>
        <color theme="1"/>
        <rFont val="Calibri"/>
      </rPr>
      <t>Σ</t>
    </r>
    <r>
      <rPr>
        <b/>
        <i/>
        <sz val="18"/>
        <color theme="1"/>
        <rFont val="Calibri"/>
      </rPr>
      <t>A</t>
    </r>
    <r>
      <rPr>
        <b/>
        <i/>
        <vertAlign val="subscript"/>
        <sz val="18"/>
        <color theme="1"/>
        <rFont val="Calibri"/>
      </rPr>
      <t>2-10,S,p</t>
    </r>
    <r>
      <rPr>
        <b/>
        <i/>
        <sz val="18"/>
        <color theme="1"/>
        <rFont val="Calibri"/>
      </rPr>
      <t xml:space="preserve"> [ha]</t>
    </r>
  </si>
  <si>
    <r>
      <rPr>
        <b/>
        <i/>
        <sz val="18"/>
        <color theme="1"/>
        <rFont val="Calibri"/>
      </rPr>
      <t>A</t>
    </r>
    <r>
      <rPr>
        <b/>
        <i/>
        <vertAlign val="subscript"/>
        <sz val="18"/>
        <color theme="1"/>
        <rFont val="Calibri"/>
      </rPr>
      <t>2-10,p</t>
    </r>
    <r>
      <rPr>
        <b/>
        <i/>
        <sz val="18"/>
        <color theme="1"/>
        <rFont val="Calibri"/>
      </rPr>
      <t xml:space="preserve"> [ha]</t>
    </r>
  </si>
  <si>
    <r>
      <rPr>
        <b/>
        <sz val="18"/>
        <color theme="1"/>
        <rFont val="Calibri"/>
      </rPr>
      <t>Σ</t>
    </r>
    <r>
      <rPr>
        <b/>
        <i/>
        <sz val="18"/>
        <color theme="1"/>
        <rFont val="Calibri"/>
      </rPr>
      <t>A</t>
    </r>
    <r>
      <rPr>
        <b/>
        <i/>
        <vertAlign val="subscript"/>
        <sz val="18"/>
        <color theme="1"/>
        <rFont val="Calibri"/>
      </rPr>
      <t>11-20,DHC,p</t>
    </r>
    <r>
      <rPr>
        <b/>
        <i/>
        <sz val="18"/>
        <color theme="1"/>
        <rFont val="Calibri"/>
      </rPr>
      <t xml:space="preserve"> [ha]</t>
    </r>
  </si>
  <si>
    <r>
      <rPr>
        <b/>
        <i/>
        <sz val="18"/>
        <color theme="1"/>
        <rFont val="Calibri"/>
      </rPr>
      <t>A</t>
    </r>
    <r>
      <rPr>
        <b/>
        <i/>
        <vertAlign val="subscript"/>
        <sz val="18"/>
        <color theme="1"/>
        <rFont val="Calibri"/>
      </rPr>
      <t>11-20, DHC,p</t>
    </r>
    <r>
      <rPr>
        <b/>
        <i/>
        <sz val="18"/>
        <color theme="1"/>
        <rFont val="Calibri"/>
      </rPr>
      <t xml:space="preserve"> [ha]</t>
    </r>
  </si>
  <si>
    <r>
      <rPr>
        <b/>
        <i/>
        <sz val="18"/>
        <color theme="1"/>
        <rFont val="Calibri"/>
      </rPr>
      <t>A</t>
    </r>
    <r>
      <rPr>
        <b/>
        <i/>
        <vertAlign val="subscript"/>
        <sz val="18"/>
        <color theme="1"/>
        <rFont val="Calibri"/>
      </rPr>
      <t>11-20,S,p</t>
    </r>
    <r>
      <rPr>
        <b/>
        <i/>
        <sz val="18"/>
        <color theme="1"/>
        <rFont val="Calibri"/>
      </rPr>
      <t xml:space="preserve"> [ha]</t>
    </r>
  </si>
  <si>
    <r>
      <rPr>
        <b/>
        <sz val="18"/>
        <color theme="1"/>
        <rFont val="Calibri"/>
      </rPr>
      <t>Σ</t>
    </r>
    <r>
      <rPr>
        <b/>
        <i/>
        <sz val="18"/>
        <color theme="1"/>
        <rFont val="Calibri"/>
      </rPr>
      <t>A</t>
    </r>
    <r>
      <rPr>
        <b/>
        <i/>
        <vertAlign val="subscript"/>
        <sz val="18"/>
        <color theme="1"/>
        <rFont val="Calibri"/>
      </rPr>
      <t>11-20,S,p</t>
    </r>
    <r>
      <rPr>
        <b/>
        <i/>
        <sz val="18"/>
        <color theme="1"/>
        <rFont val="Calibri"/>
      </rPr>
      <t xml:space="preserve"> [ha]</t>
    </r>
  </si>
  <si>
    <r>
      <rPr>
        <b/>
        <i/>
        <sz val="18"/>
        <color theme="1"/>
        <rFont val="Calibri"/>
      </rPr>
      <t>A</t>
    </r>
    <r>
      <rPr>
        <b/>
        <i/>
        <vertAlign val="subscript"/>
        <sz val="18"/>
        <color theme="1"/>
        <rFont val="Calibri"/>
      </rPr>
      <t>11-20,p</t>
    </r>
    <r>
      <rPr>
        <b/>
        <i/>
        <sz val="18"/>
        <color theme="1"/>
        <rFont val="Calibri"/>
      </rPr>
      <t xml:space="preserve"> [ha]</t>
    </r>
  </si>
  <si>
    <t>Baseline Ex-Ante Estimations</t>
  </si>
  <si>
    <r>
      <rPr>
        <sz val="11"/>
        <color theme="1"/>
        <rFont val="Calibri"/>
      </rPr>
      <t xml:space="preserve">These data are retrieved from the </t>
    </r>
    <r>
      <rPr>
        <i/>
        <sz val="11"/>
        <color theme="1"/>
        <rFont val="Calibri"/>
      </rPr>
      <t>ex-ante</t>
    </r>
    <r>
      <rPr>
        <sz val="11"/>
        <color theme="1"/>
        <rFont val="Calibri"/>
      </rPr>
      <t xml:space="preserve"> file calculations for the project: '</t>
    </r>
    <r>
      <rPr>
        <b/>
        <sz val="11"/>
        <color theme="1"/>
        <rFont val="Calibri"/>
      </rPr>
      <t>[ref]ExAnte_BoumbaAndNgoko-VCS2897_VM0010_v4.xlsx</t>
    </r>
    <r>
      <rPr>
        <sz val="11"/>
        <color theme="1"/>
        <rFont val="Calibri"/>
      </rPr>
      <t xml:space="preserve">', provided as a supporting information. The data of extractable volumes are calculated in the spreadsheet </t>
    </r>
    <r>
      <rPr>
        <b/>
        <sz val="11"/>
        <color theme="1"/>
        <rFont val="Calibri"/>
      </rPr>
      <t>'[ref]ExtractableVolumes_Project_UFA1064-VCS2897.xlsx'</t>
    </r>
    <r>
      <rPr>
        <sz val="11"/>
        <color theme="1"/>
        <rFont val="Calibri"/>
      </rPr>
      <t xml:space="preserve"> (provided as supporting information)</t>
    </r>
  </si>
  <si>
    <t>Equation n° in Methodology</t>
  </si>
  <si>
    <t>Eq. 2</t>
  </si>
  <si>
    <t>Eq. 3</t>
  </si>
  <si>
    <t>Eq. 4</t>
  </si>
  <si>
    <t>Eq. 6</t>
  </si>
  <si>
    <t>Eq. 7</t>
  </si>
  <si>
    <t>Eq. 5</t>
  </si>
  <si>
    <t>Eq. 8</t>
  </si>
  <si>
    <t>Eq. 9</t>
  </si>
  <si>
    <t>Eq. 10</t>
  </si>
  <si>
    <t>Eq. 11</t>
  </si>
  <si>
    <t>Eq. 12</t>
  </si>
  <si>
    <t>Eq. 23.1</t>
  </si>
  <si>
    <t>Eq. 24.1</t>
  </si>
  <si>
    <r>
      <rPr>
        <b/>
        <i/>
        <sz val="16"/>
        <color theme="1"/>
        <rFont val="Calibri"/>
      </rPr>
      <t>V</t>
    </r>
    <r>
      <rPr>
        <b/>
        <i/>
        <vertAlign val="subscript"/>
        <sz val="16"/>
        <color theme="1"/>
        <rFont val="Calibri"/>
      </rPr>
      <t>j,i,sp</t>
    </r>
  </si>
  <si>
    <r>
      <rPr>
        <b/>
        <i/>
        <sz val="16"/>
        <color theme="1"/>
        <rFont val="Calibri"/>
      </rPr>
      <t>V</t>
    </r>
    <r>
      <rPr>
        <b/>
        <i/>
        <vertAlign val="subscript"/>
        <sz val="16"/>
        <color theme="1"/>
        <rFont val="Calibri"/>
      </rPr>
      <t>j,i|BSL</t>
    </r>
    <r>
      <rPr>
        <b/>
        <i/>
        <sz val="16"/>
        <color theme="1"/>
        <rFont val="Calibri"/>
      </rPr>
      <t xml:space="preserve"> = V</t>
    </r>
    <r>
      <rPr>
        <b/>
        <i/>
        <vertAlign val="subscript"/>
        <sz val="16"/>
        <color theme="1"/>
        <rFont val="Calibri"/>
      </rPr>
      <t>EX,j,i|BSL</t>
    </r>
  </si>
  <si>
    <r>
      <rPr>
        <b/>
        <i/>
        <sz val="16"/>
        <color theme="1"/>
        <rFont val="Calibri"/>
      </rPr>
      <t>C</t>
    </r>
    <r>
      <rPr>
        <b/>
        <i/>
        <vertAlign val="subscript"/>
        <sz val="16"/>
        <color theme="1"/>
        <rFont val="Calibri"/>
      </rPr>
      <t>HB,j,i|BSL</t>
    </r>
  </si>
  <si>
    <r>
      <rPr>
        <b/>
        <i/>
        <sz val="16"/>
        <color theme="1"/>
        <rFont val="Calibri"/>
      </rPr>
      <t>D</t>
    </r>
    <r>
      <rPr>
        <b/>
        <i/>
        <vertAlign val="subscript"/>
        <sz val="16"/>
        <color theme="1"/>
        <rFont val="Calibri"/>
      </rPr>
      <t>j</t>
    </r>
  </si>
  <si>
    <r>
      <rPr>
        <b/>
        <i/>
        <sz val="16"/>
        <color theme="1"/>
        <rFont val="Calibri"/>
      </rPr>
      <t>C</t>
    </r>
    <r>
      <rPr>
        <b/>
        <i/>
        <vertAlign val="subscript"/>
        <sz val="16"/>
        <color theme="1"/>
        <rFont val="Calibri"/>
      </rPr>
      <t>EX,j,i|BSL</t>
    </r>
  </si>
  <si>
    <r>
      <rPr>
        <b/>
        <i/>
        <sz val="16"/>
        <color theme="1"/>
        <rFont val="Calibri"/>
      </rPr>
      <t>C</t>
    </r>
    <r>
      <rPr>
        <b/>
        <i/>
        <vertAlign val="subscript"/>
        <sz val="16"/>
        <color theme="1"/>
        <rFont val="Calibri"/>
      </rPr>
      <t>RSD,j,i|BSL</t>
    </r>
  </si>
  <si>
    <r>
      <rPr>
        <b/>
        <i/>
        <sz val="16"/>
        <color theme="1"/>
        <rFont val="Calibri"/>
      </rPr>
      <t>C</t>
    </r>
    <r>
      <rPr>
        <b/>
        <i/>
        <vertAlign val="subscript"/>
        <sz val="16"/>
        <color theme="1"/>
        <rFont val="Calibri"/>
      </rPr>
      <t>notHB,inf,j,i|BSL</t>
    </r>
  </si>
  <si>
    <r>
      <rPr>
        <b/>
        <i/>
        <sz val="16"/>
        <color theme="1"/>
        <rFont val="Calibri"/>
      </rPr>
      <t>ΔC</t>
    </r>
    <r>
      <rPr>
        <b/>
        <i/>
        <vertAlign val="subscript"/>
        <sz val="16"/>
        <color theme="1"/>
        <rFont val="Calibri"/>
      </rPr>
      <t>DWSLASH,i,j,p|BSL</t>
    </r>
  </si>
  <si>
    <r>
      <rPr>
        <b/>
        <i/>
        <sz val="16"/>
        <color theme="1"/>
        <rFont val="Calibri"/>
      </rPr>
      <t>ΔC</t>
    </r>
    <r>
      <rPr>
        <b/>
        <i/>
        <vertAlign val="subscript"/>
        <sz val="16"/>
        <color theme="1"/>
        <rFont val="Calibri"/>
      </rPr>
      <t>DWSLASH,i,p|BSL</t>
    </r>
  </si>
  <si>
    <r>
      <rPr>
        <b/>
        <i/>
        <sz val="16"/>
        <color theme="1"/>
        <rFont val="Calibri"/>
      </rPr>
      <t>C</t>
    </r>
    <r>
      <rPr>
        <b/>
        <i/>
        <vertAlign val="subscript"/>
        <sz val="16"/>
        <color theme="1"/>
        <rFont val="Calibri"/>
      </rPr>
      <t>EX,i|BSL</t>
    </r>
  </si>
  <si>
    <r>
      <rPr>
        <b/>
        <i/>
        <sz val="16"/>
        <color theme="1"/>
        <rFont val="Calibri"/>
      </rPr>
      <t>C</t>
    </r>
    <r>
      <rPr>
        <b/>
        <i/>
        <vertAlign val="subscript"/>
        <sz val="16"/>
        <color theme="1"/>
        <rFont val="Calibri"/>
      </rPr>
      <t>WP0,i|BSL</t>
    </r>
  </si>
  <si>
    <r>
      <rPr>
        <b/>
        <i/>
        <sz val="16"/>
        <color theme="1"/>
        <rFont val="Calibri"/>
      </rPr>
      <t>C</t>
    </r>
    <r>
      <rPr>
        <b/>
        <i/>
        <vertAlign val="subscript"/>
        <sz val="16"/>
        <color theme="1"/>
        <rFont val="Calibri"/>
      </rPr>
      <t>WP,i|BSL</t>
    </r>
  </si>
  <si>
    <r>
      <rPr>
        <b/>
        <i/>
        <sz val="16"/>
        <color theme="1"/>
        <rFont val="Calibri"/>
      </rPr>
      <t>C</t>
    </r>
    <r>
      <rPr>
        <b/>
        <i/>
        <vertAlign val="subscript"/>
        <sz val="16"/>
        <color theme="1"/>
        <rFont val="Calibri"/>
      </rPr>
      <t>WP100,i|BSL</t>
    </r>
  </si>
  <si>
    <r>
      <rPr>
        <b/>
        <i/>
        <sz val="16"/>
        <color theme="1"/>
        <rFont val="Calibri"/>
      </rPr>
      <t>C</t>
    </r>
    <r>
      <rPr>
        <b/>
        <i/>
        <vertAlign val="subscript"/>
        <sz val="16"/>
        <color theme="1"/>
        <rFont val="Calibri"/>
      </rPr>
      <t>RG,i,p|BSL</t>
    </r>
  </si>
  <si>
    <t>5 + 9 + 11</t>
  </si>
  <si>
    <t>5 + 11</t>
  </si>
  <si>
    <r>
      <rPr>
        <b/>
        <sz val="12"/>
        <color theme="1"/>
        <rFont val="Calibri"/>
      </rPr>
      <t>m</t>
    </r>
    <r>
      <rPr>
        <b/>
        <vertAlign val="superscript"/>
        <sz val="12"/>
        <color theme="1"/>
        <rFont val="Calibri"/>
      </rPr>
      <t>3</t>
    </r>
  </si>
  <si>
    <r>
      <rPr>
        <b/>
        <sz val="12"/>
        <color theme="1"/>
        <rFont val="Calibri"/>
      </rPr>
      <t>m</t>
    </r>
    <r>
      <rPr>
        <b/>
        <vertAlign val="superscript"/>
        <sz val="12"/>
        <color theme="1"/>
        <rFont val="Calibri"/>
      </rPr>
      <t>3</t>
    </r>
    <r>
      <rPr>
        <b/>
        <sz val="12"/>
        <color theme="1"/>
        <rFont val="Calibri"/>
      </rPr>
      <t>/ha</t>
    </r>
  </si>
  <si>
    <t>tC/ha</t>
  </si>
  <si>
    <r>
      <rPr>
        <b/>
        <sz val="12"/>
        <color theme="1"/>
        <rFont val="Calibri"/>
      </rPr>
      <t>t d.m./m</t>
    </r>
    <r>
      <rPr>
        <b/>
        <vertAlign val="superscript"/>
        <sz val="12"/>
        <color theme="1"/>
        <rFont val="Calibri"/>
      </rPr>
      <t>3</t>
    </r>
  </si>
  <si>
    <t>tC/ha/yr</t>
  </si>
  <si>
    <t>Species or genus</t>
  </si>
  <si>
    <t>Scientific name</t>
  </si>
  <si>
    <t>Abam à poils rouges</t>
  </si>
  <si>
    <t>Gambeya beguei</t>
  </si>
  <si>
    <t>Abam vrai</t>
  </si>
  <si>
    <t>Gambeya lacourtiana</t>
  </si>
  <si>
    <t>Acajou blanc</t>
  </si>
  <si>
    <t>Khaya antheca</t>
  </si>
  <si>
    <t>Aiélé</t>
  </si>
  <si>
    <t>Canarium schweinfurthii</t>
  </si>
  <si>
    <t>Alep</t>
  </si>
  <si>
    <t>Desbordia glausescens</t>
  </si>
  <si>
    <t>Aningré A</t>
  </si>
  <si>
    <t>Aningeria altissima</t>
  </si>
  <si>
    <t>Aningré R</t>
  </si>
  <si>
    <t>Aningeria robusta</t>
  </si>
  <si>
    <t>Assamela</t>
  </si>
  <si>
    <t>Pericopsis elata</t>
  </si>
  <si>
    <t>Ayous</t>
  </si>
  <si>
    <t>Triplochyton sceroxylon</t>
  </si>
  <si>
    <t>Azobé</t>
  </si>
  <si>
    <t>Lophira alata</t>
  </si>
  <si>
    <t>Bahia</t>
  </si>
  <si>
    <t>Mitragyna ciliata</t>
  </si>
  <si>
    <t>Bété</t>
  </si>
  <si>
    <t>Mansonia altissima</t>
  </si>
  <si>
    <t>Bilinga</t>
  </si>
  <si>
    <t>Nauclea diderrichii</t>
  </si>
  <si>
    <t>Bongo H</t>
  </si>
  <si>
    <t>Fagara heitzii</t>
  </si>
  <si>
    <t>Bossé clair</t>
  </si>
  <si>
    <t>Guarea cedrata</t>
  </si>
  <si>
    <t>Bossé foncé</t>
  </si>
  <si>
    <t>Guarea thompsonii</t>
  </si>
  <si>
    <t>Dabéma</t>
  </si>
  <si>
    <t>Piptadeniastrum africanum</t>
  </si>
  <si>
    <t>Dibétou</t>
  </si>
  <si>
    <t>Lovoa trichilioides</t>
  </si>
  <si>
    <t>Doussié blanc</t>
  </si>
  <si>
    <t>Afzelia pachyloba</t>
  </si>
  <si>
    <t>Doussié rouge</t>
  </si>
  <si>
    <t>Afzelia bipindensis</t>
  </si>
  <si>
    <t>Ekaba</t>
  </si>
  <si>
    <t>Tetraberlinia bifoliolata</t>
  </si>
  <si>
    <t>Emien</t>
  </si>
  <si>
    <t>Astonia boonei</t>
  </si>
  <si>
    <t>Eyong</t>
  </si>
  <si>
    <t>Eribroma Oblongum</t>
  </si>
  <si>
    <t>Fraké</t>
  </si>
  <si>
    <t>Terminalia superba</t>
  </si>
  <si>
    <t>Fromager</t>
  </si>
  <si>
    <t>Ceiba pentandra</t>
  </si>
  <si>
    <t>Ilomba</t>
  </si>
  <si>
    <t>Pycnanthus angolensis</t>
  </si>
  <si>
    <t>Iroko</t>
  </si>
  <si>
    <t>Milicia excelsa</t>
  </si>
  <si>
    <t>Kossipo</t>
  </si>
  <si>
    <t>Entandrophragma candollei</t>
  </si>
  <si>
    <t>Kotibé</t>
  </si>
  <si>
    <t>Nesogordia papaverifera</t>
  </si>
  <si>
    <t>Koto</t>
  </si>
  <si>
    <t>Pterygota macrocarpa</t>
  </si>
  <si>
    <t>Longhi</t>
  </si>
  <si>
    <t>Gambeya africana</t>
  </si>
  <si>
    <t>Mambodé</t>
  </si>
  <si>
    <t>Detarium macrocarpum</t>
  </si>
  <si>
    <t>Niové</t>
  </si>
  <si>
    <t>Staudtia kamerunensis</t>
  </si>
  <si>
    <t>Okan</t>
  </si>
  <si>
    <t>Cylicodiscus gabonensis</t>
  </si>
  <si>
    <t>Padouk rouge</t>
  </si>
  <si>
    <t>Pterocarpus soyauxii</t>
  </si>
  <si>
    <t>Sapelli</t>
  </si>
  <si>
    <t>Entandrophragma cylindricum</t>
  </si>
  <si>
    <t>Sipo</t>
  </si>
  <si>
    <t>Entandrophragma utile</t>
  </si>
  <si>
    <t>Tali</t>
  </si>
  <si>
    <t>Erythropleum ivorense</t>
  </si>
  <si>
    <t>Tiama</t>
  </si>
  <si>
    <t>Entandrophragma angolense</t>
  </si>
  <si>
    <r>
      <rPr>
        <b/>
        <sz val="48"/>
        <color theme="1"/>
        <rFont val="Calibri"/>
      </rPr>
      <t xml:space="preserve">Baseline Ex-Post Estimations </t>
    </r>
    <r>
      <rPr>
        <b/>
        <sz val="12"/>
        <color theme="1"/>
        <rFont val="Calibri"/>
      </rPr>
      <t>(for the AACs exempted from logging during the monitoring period 2022-2023)</t>
    </r>
  </si>
  <si>
    <r>
      <rPr>
        <b/>
        <i/>
        <sz val="12"/>
        <color theme="1"/>
        <rFont val="Calibri"/>
      </rPr>
      <t>V</t>
    </r>
    <r>
      <rPr>
        <b/>
        <i/>
        <vertAlign val="subscript"/>
        <sz val="12"/>
        <color theme="1"/>
        <rFont val="Calibri"/>
      </rPr>
      <t>EX,i,p|BSL</t>
    </r>
  </si>
  <si>
    <r>
      <rPr>
        <b/>
        <i/>
        <sz val="12"/>
        <color theme="1"/>
        <rFont val="Calibri"/>
      </rPr>
      <t>C</t>
    </r>
    <r>
      <rPr>
        <b/>
        <i/>
        <vertAlign val="subscript"/>
        <sz val="12"/>
        <color theme="1"/>
        <rFont val="Calibri"/>
      </rPr>
      <t>HB,i,p|BSL</t>
    </r>
  </si>
  <si>
    <r>
      <rPr>
        <b/>
        <i/>
        <sz val="12"/>
        <color theme="1"/>
        <rFont val="Calibri"/>
      </rPr>
      <t>C</t>
    </r>
    <r>
      <rPr>
        <b/>
        <i/>
        <vertAlign val="subscript"/>
        <sz val="12"/>
        <color theme="1"/>
        <rFont val="Calibri"/>
      </rPr>
      <t>RSD,i,p|BSL</t>
    </r>
  </si>
  <si>
    <r>
      <rPr>
        <b/>
        <i/>
        <sz val="12"/>
        <color theme="1"/>
        <rFont val="Calibri"/>
      </rPr>
      <t>ΔC</t>
    </r>
    <r>
      <rPr>
        <b/>
        <i/>
        <vertAlign val="subscript"/>
        <sz val="12"/>
        <color theme="1"/>
        <rFont val="Calibri"/>
      </rPr>
      <t>DWSLASH,i,p|BSL</t>
    </r>
  </si>
  <si>
    <r>
      <rPr>
        <b/>
        <i/>
        <sz val="12"/>
        <color theme="1"/>
        <rFont val="Calibri"/>
      </rPr>
      <t>C</t>
    </r>
    <r>
      <rPr>
        <b/>
        <i/>
        <vertAlign val="subscript"/>
        <sz val="12"/>
        <color theme="1"/>
        <rFont val="Calibri"/>
      </rPr>
      <t>EX,i,p|BSL</t>
    </r>
  </si>
  <si>
    <r>
      <rPr>
        <b/>
        <i/>
        <sz val="12"/>
        <color theme="1"/>
        <rFont val="Calibri"/>
      </rPr>
      <t>C</t>
    </r>
    <r>
      <rPr>
        <b/>
        <i/>
        <vertAlign val="subscript"/>
        <sz val="12"/>
        <color theme="1"/>
        <rFont val="Calibri"/>
      </rPr>
      <t>WP0,i,p|BSL</t>
    </r>
  </si>
  <si>
    <r>
      <rPr>
        <b/>
        <i/>
        <sz val="12"/>
        <color theme="1"/>
        <rFont val="Calibri"/>
      </rPr>
      <t>C</t>
    </r>
    <r>
      <rPr>
        <b/>
        <i/>
        <vertAlign val="subscript"/>
        <sz val="12"/>
        <color theme="1"/>
        <rFont val="Calibri"/>
      </rPr>
      <t>WP,i,p|BSL</t>
    </r>
  </si>
  <si>
    <r>
      <rPr>
        <b/>
        <i/>
        <sz val="12"/>
        <color theme="1"/>
        <rFont val="Calibri"/>
      </rPr>
      <t>C</t>
    </r>
    <r>
      <rPr>
        <b/>
        <i/>
        <vertAlign val="subscript"/>
        <sz val="12"/>
        <color theme="1"/>
        <rFont val="Calibri"/>
      </rPr>
      <t>WP100,i,p|BSL</t>
    </r>
  </si>
  <si>
    <r>
      <rPr>
        <b/>
        <i/>
        <sz val="12"/>
        <color theme="1"/>
        <rFont val="Calibri"/>
      </rPr>
      <t>C</t>
    </r>
    <r>
      <rPr>
        <b/>
        <i/>
        <vertAlign val="subscript"/>
        <sz val="12"/>
        <color theme="1"/>
        <rFont val="Calibri"/>
      </rPr>
      <t>RG,i,p|BSL</t>
    </r>
  </si>
  <si>
    <t>Parcel (AAC), p</t>
  </si>
  <si>
    <t>tC</t>
  </si>
  <si>
    <t>Average</t>
  </si>
  <si>
    <r>
      <rPr>
        <b/>
        <sz val="28"/>
        <color theme="1"/>
        <rFont val="Calibri"/>
      </rPr>
      <t>Baseline GHG Net Emissions</t>
    </r>
    <r>
      <rPr>
        <b/>
        <sz val="12"/>
        <color theme="1"/>
        <rFont val="Calibri"/>
      </rPr>
      <t xml:space="preserve"> (for the whole project area)</t>
    </r>
  </si>
  <si>
    <r>
      <rPr>
        <b/>
        <i/>
        <sz val="12"/>
        <color theme="1"/>
        <rFont val="Calibri"/>
      </rPr>
      <t>ΔC</t>
    </r>
    <r>
      <rPr>
        <b/>
        <i/>
        <vertAlign val="subscript"/>
        <sz val="12"/>
        <color theme="1"/>
        <rFont val="Calibri"/>
      </rPr>
      <t>NET|BSL(1)</t>
    </r>
  </si>
  <si>
    <r>
      <rPr>
        <b/>
        <i/>
        <sz val="12"/>
        <color theme="1"/>
        <rFont val="Calibri"/>
      </rPr>
      <t>ΔC</t>
    </r>
    <r>
      <rPr>
        <b/>
        <i/>
        <vertAlign val="subscript"/>
        <sz val="12"/>
        <color theme="1"/>
        <rFont val="Calibri"/>
      </rPr>
      <t>NET|BSL(2-10)</t>
    </r>
  </si>
  <si>
    <r>
      <rPr>
        <b/>
        <i/>
        <sz val="12"/>
        <color theme="1"/>
        <rFont val="Calibri"/>
      </rPr>
      <t>ΔC</t>
    </r>
    <r>
      <rPr>
        <b/>
        <i/>
        <vertAlign val="subscript"/>
        <sz val="12"/>
        <color theme="1"/>
        <rFont val="Calibri"/>
      </rPr>
      <t>NET|BSL(11-20)</t>
    </r>
  </si>
  <si>
    <r>
      <rPr>
        <b/>
        <i/>
        <sz val="12"/>
        <color theme="1"/>
        <rFont val="Calibri"/>
      </rPr>
      <t>ΔC</t>
    </r>
    <r>
      <rPr>
        <b/>
        <i/>
        <vertAlign val="subscript"/>
        <sz val="12"/>
        <color theme="1"/>
        <rFont val="Calibri"/>
      </rPr>
      <t>NET|BSL(1+)</t>
    </r>
  </si>
  <si>
    <r>
      <rPr>
        <b/>
        <i/>
        <sz val="12"/>
        <color theme="1"/>
        <rFont val="Calibri"/>
      </rPr>
      <t>ΔC</t>
    </r>
    <r>
      <rPr>
        <b/>
        <i/>
        <vertAlign val="subscript"/>
        <sz val="12"/>
        <color theme="1"/>
        <rFont val="Calibri"/>
      </rPr>
      <t>NET|BSL,t*</t>
    </r>
  </si>
  <si>
    <r>
      <rPr>
        <b/>
        <i/>
        <sz val="12"/>
        <color theme="1"/>
        <rFont val="Calibri"/>
      </rPr>
      <t>GHG</t>
    </r>
    <r>
      <rPr>
        <b/>
        <i/>
        <vertAlign val="subscript"/>
        <sz val="12"/>
        <color theme="1"/>
        <rFont val="Calibri"/>
      </rPr>
      <t>NET|BSL,t*</t>
    </r>
  </si>
  <si>
    <r>
      <rPr>
        <b/>
        <sz val="12"/>
        <color theme="1"/>
        <rFont val="Calibri"/>
      </rPr>
      <t>tC0</t>
    </r>
    <r>
      <rPr>
        <b/>
        <vertAlign val="subscript"/>
        <sz val="12"/>
        <color theme="1"/>
        <rFont val="Calibri"/>
      </rPr>
      <t>2</t>
    </r>
    <r>
      <rPr>
        <b/>
        <sz val="12"/>
        <color theme="1"/>
        <rFont val="Calibri"/>
      </rPr>
      <t>e</t>
    </r>
  </si>
  <si>
    <t>Project area</t>
  </si>
  <si>
    <t>Illegal Deforestation Monitoring (Project Area, conservatively not used for accounting)</t>
  </si>
  <si>
    <r>
      <t xml:space="preserve">Illegal Deforestation Monitoring (whole area of AACs included in the project, </t>
    </r>
    <r>
      <rPr>
        <b/>
        <u/>
        <sz val="22"/>
        <color rgb="FFFF0000"/>
        <rFont val="Calibri"/>
        <family val="2"/>
      </rPr>
      <t>conservatively used for accounting</t>
    </r>
    <r>
      <rPr>
        <b/>
        <sz val="22"/>
        <color rgb="FFFF0000"/>
        <rFont val="Calibri"/>
        <family val="2"/>
      </rPr>
      <t>)</t>
    </r>
  </si>
  <si>
    <t>Loss 2022-2023</t>
  </si>
  <si>
    <t>ha</t>
  </si>
  <si>
    <t>4.2-6.5</t>
  </si>
  <si>
    <t>of total PA</t>
  </si>
  <si>
    <t>In-situ monitoring 2022-2023</t>
  </si>
  <si>
    <t>ID points</t>
  </si>
  <si>
    <t>Type</t>
  </si>
  <si>
    <t>Activity</t>
  </si>
  <si>
    <t>Year</t>
  </si>
  <si>
    <t xml:space="preserve">Cacaoyer </t>
  </si>
  <si>
    <t>Cocoa</t>
  </si>
  <si>
    <t xml:space="preserve">Champs vivriers </t>
  </si>
  <si>
    <t>Manioc</t>
  </si>
  <si>
    <t>Manioc/Plantain</t>
  </si>
  <si>
    <t>37-41</t>
  </si>
  <si>
    <t xml:space="preserve">Sciage sauvage </t>
  </si>
  <si>
    <t>9 logged trees</t>
  </si>
  <si>
    <t>Assessment method</t>
  </si>
  <si>
    <t>GIS Analysis</t>
  </si>
  <si>
    <t>In situ monitoring</t>
  </si>
  <si>
    <t>In situ monitoring 2022-2023</t>
  </si>
  <si>
    <t>Total (ha)</t>
  </si>
  <si>
    <r>
      <rPr>
        <b/>
        <sz val="11"/>
        <color theme="1"/>
        <rFont val="Calibri"/>
      </rPr>
      <t>A</t>
    </r>
    <r>
      <rPr>
        <b/>
        <vertAlign val="subscript"/>
        <sz val="11"/>
        <color theme="1"/>
        <rFont val="Calibri"/>
      </rPr>
      <t xml:space="preserve">DIST-IL,PA </t>
    </r>
  </si>
  <si>
    <t>2022-2023</t>
  </si>
  <si>
    <t>Total area potentially covered by illegal logging</t>
  </si>
  <si>
    <t>Total area (ha)</t>
  </si>
  <si>
    <t>Project Emissions related to Illegal Logging (whole area of AACs included in the project, conservatively used for accounting)</t>
  </si>
  <si>
    <t>C_DIST-IL,PA
(tC/ha)</t>
  </si>
  <si>
    <t>Aboveground biomass
(t d.m./ha)</t>
  </si>
  <si>
    <t>∆C_DIST-IL-22_23
(tC)</t>
  </si>
  <si>
    <r>
      <t>∆C</t>
    </r>
    <r>
      <rPr>
        <vertAlign val="subscript"/>
        <sz val="12"/>
        <color rgb="FFFF0000"/>
        <rFont val="Calibri"/>
        <family val="2"/>
      </rPr>
      <t>DIST-IL,t|PRJ</t>
    </r>
  </si>
  <si>
    <t>tCO2e</t>
  </si>
  <si>
    <t>Project GHG Net Emissions</t>
  </si>
  <si>
    <r>
      <t>C</t>
    </r>
    <r>
      <rPr>
        <vertAlign val="subscript"/>
        <sz val="12"/>
        <color rgb="FFFF0000"/>
        <rFont val="Calibri"/>
        <family val="2"/>
      </rPr>
      <t>AB,j,i,t,sp|PRJ</t>
    </r>
  </si>
  <si>
    <r>
      <t>C</t>
    </r>
    <r>
      <rPr>
        <vertAlign val="subscript"/>
        <sz val="12"/>
        <color rgb="FFFF0000"/>
        <rFont val="Calibri"/>
        <family val="2"/>
      </rPr>
      <t>AB,i,t,sp|PRJ</t>
    </r>
  </si>
  <si>
    <r>
      <t>C</t>
    </r>
    <r>
      <rPr>
        <vertAlign val="subscript"/>
        <sz val="12"/>
        <color rgb="FFFF0000"/>
        <rFont val="Calibri"/>
        <family val="2"/>
      </rPr>
      <t>AB,i,t|PRJ</t>
    </r>
  </si>
  <si>
    <r>
      <t>∆C</t>
    </r>
    <r>
      <rPr>
        <vertAlign val="subscript"/>
        <sz val="12"/>
        <color rgb="FFFF0000"/>
        <rFont val="Calibri"/>
        <family val="2"/>
      </rPr>
      <t>AB,t|PRJ</t>
    </r>
  </si>
  <si>
    <r>
      <t>∆C</t>
    </r>
    <r>
      <rPr>
        <vertAlign val="subscript"/>
        <sz val="12"/>
        <color rgb="FFFF0000"/>
        <rFont val="Calibri"/>
        <family val="2"/>
      </rPr>
      <t>DIST-FR,t|PRJ</t>
    </r>
  </si>
  <si>
    <r>
      <t>B</t>
    </r>
    <r>
      <rPr>
        <vertAlign val="subscript"/>
        <sz val="12"/>
        <color rgb="FFFF0000"/>
        <rFont val="Calibri"/>
        <family val="2"/>
      </rPr>
      <t>i,t|PRJ</t>
    </r>
  </si>
  <si>
    <r>
      <t>∆C</t>
    </r>
    <r>
      <rPr>
        <vertAlign val="subscript"/>
        <sz val="12"/>
        <color rgb="FFFF0000"/>
        <rFont val="Calibri"/>
        <family val="2"/>
      </rPr>
      <t>DIST,t|PRJ</t>
    </r>
  </si>
  <si>
    <r>
      <t>∆C</t>
    </r>
    <r>
      <rPr>
        <vertAlign val="subscript"/>
        <sz val="12"/>
        <color rgb="FFFF0000"/>
        <rFont val="Calibri"/>
        <family val="2"/>
      </rPr>
      <t>NET,t|PRJ</t>
    </r>
  </si>
  <si>
    <r>
      <t>GHG</t>
    </r>
    <r>
      <rPr>
        <b/>
        <vertAlign val="subscript"/>
        <sz val="12"/>
        <color rgb="FFFF0000"/>
        <rFont val="Calibri"/>
        <family val="2"/>
      </rPr>
      <t>NET|PRJ,t*</t>
    </r>
  </si>
  <si>
    <r>
      <t>tCˑha</t>
    </r>
    <r>
      <rPr>
        <vertAlign val="superscript"/>
        <sz val="11"/>
        <color rgb="FFFF0000"/>
        <rFont val="Calibri"/>
        <family val="2"/>
      </rPr>
      <t>-1</t>
    </r>
  </si>
  <si>
    <t>t d.m. ha-1</t>
  </si>
  <si>
    <t>Baseline Uncertainty</t>
  </si>
  <si>
    <t>From "2000 IPCC Good Practice Guidance and Uncertainty Management in National Greenhouse Gas Inventories", Chapter 6, ‘Quantifying Uncertainties in Practice’</t>
  </si>
  <si>
    <t>Parameter/Variable</t>
  </si>
  <si>
    <t>Uncertainty</t>
  </si>
  <si>
    <t>Source</t>
  </si>
  <si>
    <t>Motivation</t>
  </si>
  <si>
    <t>Mean extractable timber (m3/ha)</t>
  </si>
  <si>
    <t>±22%</t>
  </si>
  <si>
    <t>Nasi, Robert &amp; Mayaux, Philippe &amp; Devers, Didier &amp; Bayol, Nicolas &amp; Atyi, Richard &amp; Mugnier, Antoine &amp; Cassagne, Bernard &amp; Billand, Alain &amp; Sonwa, Denis. (2010). A First Look at Carbon Stocks and their Variation in Congo Basin Forests (https://doi.org/10.2788/32259), Table 12.8 (Error due to the use of allometric model in estimating biomass using a set of permanent sample plots)</t>
  </si>
  <si>
    <t>This uncertainty was associated with the fact that extractable timber volumes are calculated through allometrical equations applied to the measured DBH. The uncertainty associated was thus selected as the one related to the application of allometric models (with no corrections, in order to be more conservative)</t>
  </si>
  <si>
    <r>
      <rPr>
        <sz val="10"/>
        <color rgb="FF000000"/>
        <rFont val="Libre Franklin"/>
      </rPr>
      <t>Biomass expansion factor, BCEF</t>
    </r>
    <r>
      <rPr>
        <vertAlign val="subscript"/>
        <sz val="10"/>
        <color rgb="FF000000"/>
        <rFont val="Franklin Gothic Book"/>
      </rPr>
      <t>R</t>
    </r>
    <r>
      <rPr>
        <sz val="10"/>
        <color rgb="FF000000"/>
        <rFont val="Franklin Gothic Book"/>
      </rPr>
      <t xml:space="preserve"> </t>
    </r>
  </si>
  <si>
    <t>±30%</t>
  </si>
  <si>
    <t>2000 IPCC Good Practice Guidance for LULUCF, Chapter 3.2</t>
  </si>
  <si>
    <t>Since no local sources hase been found for this parameter, we used the IPCC standard value. The source tell that the uncertainty value for this parameter can be as high as ±30%</t>
  </si>
  <si>
    <t>Regrowth factor</t>
  </si>
  <si>
    <t>±48%</t>
  </si>
  <si>
    <t>Requena Suarez, D, Rozendaal, DMA, De Sy, V, et al. Estimating aboveground net biomass change for tropical and subtropical forests: Refinement of IPCC default rates using forest plot data. Glob Change Biol. 2019; 25: 3609– 3624. https://doi.org/10.1111/gcb.14767</t>
  </si>
  <si>
    <t>We considered a younger secondary forest from African tropical moist forest. We calculated uncertainty as defined by IPCC. This factor was considered for each project stratum, which is conservative</t>
  </si>
  <si>
    <t>Stratum</t>
  </si>
  <si>
    <t>Parameter</t>
  </si>
  <si>
    <r>
      <rPr>
        <sz val="11"/>
        <color theme="1"/>
        <rFont val="Calibri"/>
      </rPr>
      <t>V</t>
    </r>
    <r>
      <rPr>
        <vertAlign val="subscript"/>
        <sz val="11"/>
        <color theme="1"/>
        <rFont val="Calibri"/>
      </rPr>
      <t>EXi|BSL</t>
    </r>
  </si>
  <si>
    <r>
      <rPr>
        <sz val="11"/>
        <color theme="1"/>
        <rFont val="Calibri"/>
      </rPr>
      <t>BCEF</t>
    </r>
    <r>
      <rPr>
        <vertAlign val="subscript"/>
        <sz val="11"/>
        <color theme="1"/>
        <rFont val="Calibri"/>
      </rPr>
      <t>R</t>
    </r>
  </si>
  <si>
    <r>
      <rPr>
        <sz val="11"/>
        <color theme="1"/>
        <rFont val="Calibri"/>
      </rPr>
      <t>D</t>
    </r>
    <r>
      <rPr>
        <vertAlign val="subscript"/>
        <sz val="11"/>
        <color theme="1"/>
        <rFont val="Calibri"/>
      </rPr>
      <t>j</t>
    </r>
  </si>
  <si>
    <r>
      <rPr>
        <sz val="12"/>
        <color theme="1"/>
        <rFont val="Calibri"/>
      </rPr>
      <t>CF</t>
    </r>
    <r>
      <rPr>
        <vertAlign val="subscript"/>
        <sz val="12"/>
        <color theme="1"/>
        <rFont val="Calibri"/>
      </rPr>
      <t>j</t>
    </r>
  </si>
  <si>
    <r>
      <rPr>
        <sz val="12"/>
        <color theme="1"/>
        <rFont val="Calibri"/>
      </rPr>
      <t>C</t>
    </r>
    <r>
      <rPr>
        <vertAlign val="subscript"/>
        <sz val="12"/>
        <color theme="1"/>
        <rFont val="Calibri"/>
      </rPr>
      <t>HB,j,i|BSL</t>
    </r>
  </si>
  <si>
    <r>
      <rPr>
        <sz val="11"/>
        <color theme="1"/>
        <rFont val="Calibri"/>
      </rPr>
      <t>C</t>
    </r>
    <r>
      <rPr>
        <vertAlign val="subscript"/>
        <sz val="11"/>
        <color theme="1"/>
        <rFont val="Calibri"/>
      </rPr>
      <t>EX,j,i|BSL</t>
    </r>
  </si>
  <si>
    <r>
      <rPr>
        <sz val="14"/>
        <color theme="1"/>
        <rFont val="Calibri"/>
      </rPr>
      <t>F</t>
    </r>
    <r>
      <rPr>
        <vertAlign val="subscript"/>
        <sz val="14"/>
        <color theme="1"/>
        <rFont val="Calibri"/>
      </rPr>
      <t>RSD|BSL</t>
    </r>
  </si>
  <si>
    <r>
      <rPr>
        <sz val="11"/>
        <color theme="1"/>
        <rFont val="Calibri"/>
      </rPr>
      <t>C</t>
    </r>
    <r>
      <rPr>
        <vertAlign val="subscript"/>
        <sz val="11"/>
        <color theme="1"/>
        <rFont val="Calibri"/>
      </rPr>
      <t>RSD,j,i|BSL</t>
    </r>
  </si>
  <si>
    <r>
      <rPr>
        <sz val="11"/>
        <color theme="1"/>
        <rFont val="Calibri"/>
      </rPr>
      <t>ΔC</t>
    </r>
    <r>
      <rPr>
        <vertAlign val="subscript"/>
        <sz val="11"/>
        <color theme="1"/>
        <rFont val="Calibri"/>
      </rPr>
      <t>DWSLASH,i,p|BSL</t>
    </r>
  </si>
  <si>
    <t>m3</t>
  </si>
  <si>
    <t>b</t>
  </si>
  <si>
    <t>c</t>
  </si>
  <si>
    <t>d</t>
  </si>
  <si>
    <t>e</t>
  </si>
  <si>
    <t>f=b*c*e</t>
  </si>
  <si>
    <t>g=b*d*e</t>
  </si>
  <si>
    <t>h</t>
  </si>
  <si>
    <t>i=h*g</t>
  </si>
  <si>
    <t>k=f-g+i</t>
  </si>
  <si>
    <t>E</t>
  </si>
  <si>
    <t>Various</t>
  </si>
  <si>
    <t>U</t>
  </si>
  <si>
    <t>WW</t>
  </si>
  <si>
    <t>SLF</t>
  </si>
  <si>
    <r>
      <rPr>
        <sz val="11"/>
        <color theme="1"/>
        <rFont val="Calibri"/>
      </rPr>
      <t>C</t>
    </r>
    <r>
      <rPr>
        <vertAlign val="subscript"/>
        <sz val="11"/>
        <color theme="1"/>
        <rFont val="Franklin Gothic Book"/>
      </rPr>
      <t>WP0,i|BSL</t>
    </r>
  </si>
  <si>
    <r>
      <rPr>
        <sz val="11"/>
        <color theme="1"/>
        <rFont val="Calibri"/>
      </rPr>
      <t>C</t>
    </r>
    <r>
      <rPr>
        <vertAlign val="subscript"/>
        <sz val="11"/>
        <color theme="1"/>
        <rFont val="Franklin Gothic Book"/>
      </rPr>
      <t>WP,i|BSL</t>
    </r>
  </si>
  <si>
    <t>OF</t>
  </si>
  <si>
    <r>
      <rPr>
        <sz val="11"/>
        <color theme="1"/>
        <rFont val="Calibri"/>
      </rPr>
      <t>C</t>
    </r>
    <r>
      <rPr>
        <vertAlign val="subscript"/>
        <sz val="11"/>
        <color theme="1"/>
        <rFont val="Franklin Gothic Book"/>
      </rPr>
      <t>WP100,i|BSL</t>
    </r>
  </si>
  <si>
    <r>
      <rPr>
        <sz val="11"/>
        <color theme="1"/>
        <rFont val="Calibri"/>
      </rPr>
      <t>RGR</t>
    </r>
    <r>
      <rPr>
        <vertAlign val="subscript"/>
        <sz val="11"/>
        <color theme="1"/>
        <rFont val="Calibri"/>
      </rPr>
      <t>i</t>
    </r>
  </si>
  <si>
    <t>%</t>
  </si>
  <si>
    <t>j</t>
  </si>
  <si>
    <t>m</t>
  </si>
  <si>
    <t>n=g(j*m)</t>
  </si>
  <si>
    <t>o=g-n</t>
  </si>
  <si>
    <t>p</t>
  </si>
  <si>
    <t>q=p*o</t>
  </si>
  <si>
    <t>r</t>
  </si>
  <si>
    <r>
      <rPr>
        <sz val="11"/>
        <color theme="1"/>
        <rFont val="Calibri"/>
      </rPr>
      <t>C</t>
    </r>
    <r>
      <rPr>
        <i/>
        <vertAlign val="subscript"/>
        <sz val="14"/>
        <color theme="1"/>
        <rFont val="Franklin Gothic Book"/>
      </rPr>
      <t>RG,p|BSL</t>
    </r>
  </si>
  <si>
    <r>
      <rPr>
        <sz val="11"/>
        <color theme="1"/>
        <rFont val="Calibri"/>
      </rPr>
      <t>Δ</t>
    </r>
    <r>
      <rPr>
        <sz val="11"/>
        <color theme="1"/>
        <rFont val="Calibri"/>
      </rPr>
      <t>C</t>
    </r>
    <r>
      <rPr>
        <vertAlign val="subscript"/>
        <sz val="11"/>
        <color theme="1"/>
        <rFont val="Calibri"/>
      </rPr>
      <t>NET|BSL(1)</t>
    </r>
  </si>
  <si>
    <r>
      <rPr>
        <sz val="11"/>
        <color theme="1"/>
        <rFont val="Calibri"/>
      </rPr>
      <t>ΔC</t>
    </r>
    <r>
      <rPr>
        <vertAlign val="subscript"/>
        <sz val="11"/>
        <color theme="1"/>
        <rFont val="Calibri"/>
      </rPr>
      <t>NET|BSL(2-10)</t>
    </r>
  </si>
  <si>
    <r>
      <rPr>
        <sz val="11"/>
        <color theme="1"/>
        <rFont val="Calibri"/>
      </rPr>
      <t>ΔC</t>
    </r>
    <r>
      <rPr>
        <vertAlign val="subscript"/>
        <sz val="11"/>
        <color theme="1"/>
        <rFont val="Calibri"/>
      </rPr>
      <t>NET|BSL(11-20)</t>
    </r>
  </si>
  <si>
    <r>
      <rPr>
        <sz val="11"/>
        <color theme="1"/>
        <rFont val="Calibri"/>
      </rPr>
      <t>ΔC</t>
    </r>
    <r>
      <rPr>
        <vertAlign val="subscript"/>
        <sz val="11"/>
        <color theme="1"/>
        <rFont val="Calibri"/>
      </rPr>
      <t>NET|BSL(1+)</t>
    </r>
  </si>
  <si>
    <r>
      <rPr>
        <sz val="11"/>
        <color theme="1"/>
        <rFont val="Calibri"/>
      </rPr>
      <t>ΔC</t>
    </r>
    <r>
      <rPr>
        <vertAlign val="subscript"/>
        <sz val="11"/>
        <color theme="1"/>
        <rFont val="Calibri"/>
      </rPr>
      <t>NET|BSL,t*</t>
    </r>
  </si>
  <si>
    <t>s=r</t>
  </si>
  <si>
    <t>s=k/10+n+q/20</t>
  </si>
  <si>
    <t>t=k/10+q/20</t>
  </si>
  <si>
    <t>u=o/20</t>
  </si>
  <si>
    <t>v=s</t>
  </si>
  <si>
    <t>w=s+t+u-v</t>
  </si>
  <si>
    <r>
      <rPr>
        <b/>
        <sz val="12"/>
        <color theme="1"/>
        <rFont val="Calibri"/>
      </rPr>
      <t>U</t>
    </r>
    <r>
      <rPr>
        <b/>
        <vertAlign val="subscript"/>
        <sz val="12"/>
        <color theme="1"/>
        <rFont val="Calibri"/>
      </rPr>
      <t>|BSL</t>
    </r>
  </si>
  <si>
    <t>These calculations were done assuming that during the monitoring period the AAC 5-1 and 5-2 would have been logged in the project scenario (market leakage would have been happened from logging activities in these AACs)</t>
  </si>
  <si>
    <t>Merchantable biomass per species, 
per area</t>
  </si>
  <si>
    <t>Stratum area 
(ha)</t>
  </si>
  <si>
    <t>Merchantable biomass 
(tons)</t>
  </si>
  <si>
    <t>Average aboveground tree biomass, 
per area (tons/ha)</t>
  </si>
  <si>
    <t>Total aboveground tree biomass, 
(tons)</t>
  </si>
  <si>
    <t>Ratio of merchantable to 
total biomass, in the PA</t>
  </si>
  <si>
    <t>tons d.m./ha</t>
  </si>
  <si>
    <t>tons</t>
  </si>
  <si>
    <t>tons/ha</t>
  </si>
  <si>
    <t>Tree species name</t>
  </si>
  <si>
    <r>
      <rPr>
        <b/>
        <sz val="11"/>
        <color theme="1"/>
        <rFont val="Calibri"/>
      </rPr>
      <t>PMP</t>
    </r>
    <r>
      <rPr>
        <b/>
        <vertAlign val="subscript"/>
        <sz val="11"/>
        <color theme="1"/>
        <rFont val="Calibri"/>
      </rPr>
      <t>DHC</t>
    </r>
  </si>
  <si>
    <r>
      <rPr>
        <b/>
        <sz val="11"/>
        <color theme="1"/>
        <rFont val="Calibri"/>
      </rPr>
      <t>PMP</t>
    </r>
    <r>
      <rPr>
        <b/>
        <vertAlign val="subscript"/>
        <sz val="11"/>
        <color theme="1"/>
        <rFont val="Calibri"/>
      </rPr>
      <t>S</t>
    </r>
  </si>
  <si>
    <t>Project area (AAC)</t>
  </si>
  <si>
    <t>Total (tons)</t>
  </si>
  <si>
    <t xml:space="preserve"> </t>
  </si>
  <si>
    <t>Forest outside project area (of the same type)</t>
  </si>
  <si>
    <t>Forest concession name</t>
  </si>
  <si>
    <t>Administrative area</t>
  </si>
  <si>
    <t>Average AG biomass, 
per area</t>
  </si>
  <si>
    <t>Productive area</t>
  </si>
  <si>
    <t xml:space="preserve"> Merchantable volume </t>
  </si>
  <si>
    <t>Merchantable biomass</t>
  </si>
  <si>
    <t xml:space="preserve">Total AG biomass </t>
  </si>
  <si>
    <t xml:space="preserve">Ratio of merchantable to total biomass, 
outside PA        </t>
  </si>
  <si>
    <t>10-011</t>
  </si>
  <si>
    <t>10-012</t>
  </si>
  <si>
    <r>
      <rPr>
        <b/>
        <sz val="11"/>
        <color theme="1"/>
        <rFont val="Calibri"/>
      </rPr>
      <t>PML</t>
    </r>
    <r>
      <rPr>
        <b/>
        <vertAlign val="subscript"/>
        <sz val="11"/>
        <color theme="1"/>
        <rFont val="Calibri"/>
      </rPr>
      <t>Forest</t>
    </r>
  </si>
  <si>
    <t>10-013</t>
  </si>
  <si>
    <t>10-015</t>
  </si>
  <si>
    <t>10-063</t>
  </si>
  <si>
    <t>10-066</t>
  </si>
  <si>
    <t>10-009</t>
  </si>
  <si>
    <t>10-010</t>
  </si>
  <si>
    <t>10-007</t>
  </si>
  <si>
    <t>10-005</t>
  </si>
  <si>
    <r>
      <rPr>
        <b/>
        <sz val="16"/>
        <color theme="1"/>
        <rFont val="Calibri"/>
      </rPr>
      <t>Leakage factor (</t>
    </r>
    <r>
      <rPr>
        <b/>
        <i/>
        <sz val="16"/>
        <color theme="1"/>
        <rFont val="Calibri"/>
      </rPr>
      <t>ex-post</t>
    </r>
    <r>
      <rPr>
        <b/>
        <sz val="16"/>
        <color theme="1"/>
        <rFont val="Calibri"/>
      </rPr>
      <t>), LF</t>
    </r>
    <r>
      <rPr>
        <b/>
        <vertAlign val="subscript"/>
        <sz val="16"/>
        <color theme="1"/>
        <rFont val="Calibri"/>
      </rPr>
      <t>ME</t>
    </r>
  </si>
  <si>
    <r>
      <rPr>
        <b/>
        <sz val="11"/>
        <color theme="1"/>
        <rFont val="Calibri"/>
      </rPr>
      <t>PML</t>
    </r>
    <r>
      <rPr>
        <b/>
        <vertAlign val="subscript"/>
        <sz val="11"/>
        <color theme="1"/>
        <rFont val="Calibri"/>
      </rPr>
      <t>Forest</t>
    </r>
    <r>
      <rPr>
        <b/>
        <sz val="11"/>
        <color theme="1"/>
        <rFont val="Calibri"/>
      </rPr>
      <t xml:space="preserve"> / PMP</t>
    </r>
    <r>
      <rPr>
        <b/>
        <vertAlign val="subscript"/>
        <sz val="11"/>
        <color theme="1"/>
        <rFont val="Calibri"/>
      </rPr>
      <t>DHC</t>
    </r>
  </si>
  <si>
    <r>
      <rPr>
        <b/>
        <sz val="11"/>
        <color rgb="FFC00000"/>
        <rFont val="Calibri"/>
      </rPr>
      <t>Leakage factor, LF</t>
    </r>
    <r>
      <rPr>
        <b/>
        <vertAlign val="subscript"/>
        <sz val="11"/>
        <color rgb="FFC00000"/>
        <rFont val="Calibri"/>
      </rPr>
      <t>ME</t>
    </r>
  </si>
  <si>
    <r>
      <rPr>
        <b/>
        <sz val="11"/>
        <color theme="1"/>
        <rFont val="Calibri"/>
      </rPr>
      <t>PML</t>
    </r>
    <r>
      <rPr>
        <b/>
        <vertAlign val="subscript"/>
        <sz val="11"/>
        <color theme="1"/>
        <rFont val="Calibri"/>
      </rPr>
      <t>Forest</t>
    </r>
    <r>
      <rPr>
        <b/>
        <sz val="11"/>
        <color theme="1"/>
        <rFont val="Calibri"/>
      </rPr>
      <t xml:space="preserve"> / PMP</t>
    </r>
    <r>
      <rPr>
        <b/>
        <vertAlign val="subscript"/>
        <sz val="11"/>
        <color theme="1"/>
        <rFont val="Calibri"/>
      </rPr>
      <t>S</t>
    </r>
  </si>
  <si>
    <t>Baseline net GHG emissions</t>
  </si>
  <si>
    <t>Project net GHG emissions</t>
  </si>
  <si>
    <t>Leakage</t>
  </si>
  <si>
    <t>Total GHG benefits generated by the project</t>
  </si>
  <si>
    <r>
      <t>GHG</t>
    </r>
    <r>
      <rPr>
        <b/>
        <i/>
        <vertAlign val="subscript"/>
        <sz val="12"/>
        <color rgb="FFFF0000"/>
        <rFont val="Calibri"/>
        <family val="2"/>
      </rPr>
      <t>NET|BSL,t*</t>
    </r>
    <r>
      <rPr>
        <b/>
        <i/>
        <sz val="12"/>
        <color rgb="FFFF0000"/>
        <rFont val="Calibri"/>
        <family val="2"/>
      </rPr>
      <t xml:space="preserve">
</t>
    </r>
    <r>
      <rPr>
        <sz val="12"/>
        <color rgb="FFFF0000"/>
        <rFont val="Calibri"/>
        <family val="2"/>
      </rPr>
      <t>(for significance)</t>
    </r>
  </si>
  <si>
    <r>
      <t>GHG</t>
    </r>
    <r>
      <rPr>
        <b/>
        <i/>
        <vertAlign val="subscript"/>
        <sz val="12"/>
        <color rgb="FFFF0000"/>
        <rFont val="Calibri"/>
        <family val="2"/>
      </rPr>
      <t>NET|PRJ,t*</t>
    </r>
    <r>
      <rPr>
        <b/>
        <i/>
        <sz val="12"/>
        <color rgb="FFFF0000"/>
        <rFont val="Calibri"/>
        <family val="2"/>
      </rPr>
      <t xml:space="preserve"> 
</t>
    </r>
    <r>
      <rPr>
        <sz val="12"/>
        <color rgb="FFFF0000"/>
        <rFont val="Calibri"/>
        <family val="2"/>
      </rPr>
      <t>(for significance)</t>
    </r>
  </si>
  <si>
    <r>
      <t>GHG</t>
    </r>
    <r>
      <rPr>
        <b/>
        <i/>
        <vertAlign val="subscript"/>
        <sz val="12"/>
        <color rgb="FFFF0000"/>
        <rFont val="Calibri"/>
        <family val="2"/>
      </rPr>
      <t>LK|LtPF,t*</t>
    </r>
    <r>
      <rPr>
        <b/>
        <i/>
        <sz val="12"/>
        <color rgb="FFFF0000"/>
        <rFont val="Calibri"/>
        <family val="2"/>
      </rPr>
      <t xml:space="preserve"> 
</t>
    </r>
    <r>
      <rPr>
        <sz val="12"/>
        <color rgb="FFFF0000"/>
        <rFont val="Calibri"/>
        <family val="2"/>
      </rPr>
      <t>(for significance)</t>
    </r>
  </si>
  <si>
    <r>
      <t>GHG</t>
    </r>
    <r>
      <rPr>
        <b/>
        <vertAlign val="subscript"/>
        <sz val="12"/>
        <color rgb="FFFF0000"/>
        <rFont val="Calibri"/>
        <family val="2"/>
      </rPr>
      <t>CREDITS|LtPF,t*</t>
    </r>
    <r>
      <rPr>
        <b/>
        <sz val="12"/>
        <color rgb="FFFF0000"/>
        <rFont val="Calibri"/>
        <family val="2"/>
      </rPr>
      <t xml:space="preserve"> 
</t>
    </r>
    <r>
      <rPr>
        <sz val="12"/>
        <color rgb="FFFF0000"/>
        <rFont val="Calibri"/>
        <family val="2"/>
      </rPr>
      <t>(for significance)</t>
    </r>
  </si>
  <si>
    <r>
      <t>tC0</t>
    </r>
    <r>
      <rPr>
        <b/>
        <vertAlign val="subscript"/>
        <sz val="12"/>
        <color rgb="FFFF0000"/>
        <rFont val="Calibri"/>
        <family val="2"/>
      </rPr>
      <t>2</t>
    </r>
    <r>
      <rPr>
        <b/>
        <sz val="12"/>
        <color rgb="FFFF0000"/>
        <rFont val="Calibri"/>
        <family val="2"/>
      </rPr>
      <t>e</t>
    </r>
  </si>
  <si>
    <r>
      <t>tCO</t>
    </r>
    <r>
      <rPr>
        <b/>
        <vertAlign val="subscript"/>
        <sz val="11"/>
        <color rgb="FFFF0000"/>
        <rFont val="Calibri"/>
        <family val="2"/>
      </rPr>
      <t>2</t>
    </r>
    <r>
      <rPr>
        <b/>
        <sz val="11"/>
        <color rgb="FFFF0000"/>
        <rFont val="Calibri"/>
        <family val="2"/>
      </rPr>
      <t>e</t>
    </r>
  </si>
  <si>
    <t>Significance of project and leakage emissions</t>
  </si>
  <si>
    <t>Source of emission associated to project and leakage</t>
  </si>
  <si>
    <t>non-significant</t>
  </si>
  <si>
    <r>
      <t>GHG</t>
    </r>
    <r>
      <rPr>
        <b/>
        <i/>
        <vertAlign val="subscript"/>
        <sz val="12"/>
        <color rgb="FFFF0000"/>
        <rFont val="Calibri"/>
        <family val="2"/>
      </rPr>
      <t>LK|LtPF,t*</t>
    </r>
  </si>
  <si>
    <t>significant</t>
  </si>
  <si>
    <t>Non-permanence risk score</t>
  </si>
  <si>
    <t>Verified Carbon Units (VCUs)</t>
  </si>
  <si>
    <r>
      <rPr>
        <b/>
        <i/>
        <sz val="12"/>
        <color theme="1"/>
        <rFont val="Calibri"/>
      </rPr>
      <t>GHG</t>
    </r>
    <r>
      <rPr>
        <b/>
        <i/>
        <vertAlign val="subscript"/>
        <sz val="12"/>
        <color theme="1"/>
        <rFont val="Calibri"/>
      </rPr>
      <t>NET|PRJ,t*</t>
    </r>
  </si>
  <si>
    <r>
      <rPr>
        <b/>
        <i/>
        <sz val="12"/>
        <color theme="1"/>
        <rFont val="Calibri"/>
      </rPr>
      <t>GHG</t>
    </r>
    <r>
      <rPr>
        <b/>
        <i/>
        <vertAlign val="subscript"/>
        <sz val="12"/>
        <color theme="1"/>
        <rFont val="Calibri"/>
      </rPr>
      <t>LK|LtPF,t*</t>
    </r>
  </si>
  <si>
    <t>NPRR score</t>
  </si>
  <si>
    <r>
      <rPr>
        <b/>
        <sz val="14"/>
        <color theme="1"/>
        <rFont val="Calibri"/>
      </rPr>
      <t>GHG</t>
    </r>
    <r>
      <rPr>
        <b/>
        <vertAlign val="subscript"/>
        <sz val="11"/>
        <color theme="1"/>
        <rFont val="Calibri"/>
      </rPr>
      <t>CREDITS|LtPF,t*</t>
    </r>
    <r>
      <rPr>
        <b/>
        <sz val="11"/>
        <color theme="1"/>
        <rFont val="Calibri"/>
      </rPr>
      <t xml:space="preserve"> </t>
    </r>
  </si>
  <si>
    <r>
      <rPr>
        <b/>
        <sz val="14"/>
        <color theme="1"/>
        <rFont val="Calibri"/>
      </rPr>
      <t>U</t>
    </r>
    <r>
      <rPr>
        <vertAlign val="subscript"/>
        <sz val="11"/>
        <color theme="1"/>
        <rFont val="Calibri"/>
      </rPr>
      <t>TOTAL|LtPF</t>
    </r>
  </si>
  <si>
    <r>
      <rPr>
        <b/>
        <sz val="14"/>
        <color theme="1"/>
        <rFont val="Calibri"/>
      </rPr>
      <t>Credits</t>
    </r>
    <r>
      <rPr>
        <vertAlign val="subscript"/>
        <sz val="11"/>
        <color theme="1"/>
        <rFont val="Calibri"/>
      </rPr>
      <t>total│LtPF</t>
    </r>
  </si>
  <si>
    <r>
      <rPr>
        <b/>
        <sz val="14"/>
        <color theme="1"/>
        <rFont val="Calibri"/>
      </rPr>
      <t>Bu</t>
    </r>
    <r>
      <rPr>
        <vertAlign val="subscript"/>
        <sz val="11"/>
        <color theme="1"/>
        <rFont val="Calibri"/>
      </rPr>
      <t>│IFM-VCS</t>
    </r>
  </si>
  <si>
    <r>
      <rPr>
        <b/>
        <sz val="14"/>
        <color theme="1"/>
        <rFont val="Calibri"/>
      </rPr>
      <t>VCU</t>
    </r>
    <r>
      <rPr>
        <vertAlign val="subscript"/>
        <sz val="11"/>
        <color theme="1"/>
        <rFont val="Calibri"/>
      </rPr>
      <t>net│LtPF</t>
    </r>
  </si>
  <si>
    <r>
      <rPr>
        <b/>
        <sz val="11"/>
        <color theme="1"/>
        <rFont val="Calibri"/>
      </rPr>
      <t>tCO</t>
    </r>
    <r>
      <rPr>
        <b/>
        <vertAlign val="subscript"/>
        <sz val="11"/>
        <color theme="1"/>
        <rFont val="Calibri"/>
      </rPr>
      <t>2</t>
    </r>
    <r>
      <rPr>
        <b/>
        <sz val="11"/>
        <color theme="1"/>
        <rFont val="Calibri"/>
      </rPr>
      <t>e</t>
    </r>
  </si>
  <si>
    <t>Sum</t>
  </si>
  <si>
    <t>Ex-ante vs. ex-post calculations</t>
  </si>
  <si>
    <r>
      <rPr>
        <b/>
        <sz val="14"/>
        <color theme="1"/>
        <rFont val="Calibri"/>
      </rPr>
      <t>VCU</t>
    </r>
    <r>
      <rPr>
        <vertAlign val="subscript"/>
        <sz val="11"/>
        <color theme="1"/>
        <rFont val="Calibri"/>
      </rPr>
      <t>net│ex-ante</t>
    </r>
  </si>
  <si>
    <r>
      <rPr>
        <b/>
        <sz val="14"/>
        <color theme="1"/>
        <rFont val="Calibri"/>
      </rPr>
      <t>VCU</t>
    </r>
    <r>
      <rPr>
        <vertAlign val="subscript"/>
        <sz val="11"/>
        <color theme="1"/>
        <rFont val="Calibri"/>
      </rPr>
      <t>net│ex-post</t>
    </r>
  </si>
  <si>
    <t>% difference</t>
  </si>
  <si>
    <t>The ex-ante values were retrieved from 'ExAnte_BoumbaAndNgoko-VCS2897_VM0010_v4.xlsx' spreadsheet, provided as a supporting information.</t>
  </si>
  <si>
    <t>Bibliography</t>
  </si>
  <si>
    <t>Name</t>
  </si>
  <si>
    <t>Value</t>
  </si>
  <si>
    <t>Units</t>
  </si>
  <si>
    <t>Equation(s)</t>
  </si>
  <si>
    <r>
      <rPr>
        <sz val="14"/>
        <color theme="1"/>
        <rFont val="Calibri"/>
      </rPr>
      <t>BCEF</t>
    </r>
    <r>
      <rPr>
        <vertAlign val="subscript"/>
        <sz val="14"/>
        <color theme="1"/>
        <rFont val="Calibri"/>
      </rPr>
      <t>R</t>
    </r>
  </si>
  <si>
    <t>BCE for wood removals</t>
  </si>
  <si>
    <r>
      <rPr>
        <sz val="11"/>
        <color theme="1"/>
        <rFont val="Calibri"/>
      </rPr>
      <t>t d.m. · m</t>
    </r>
    <r>
      <rPr>
        <vertAlign val="superscript"/>
        <sz val="11"/>
        <color theme="1"/>
        <rFont val="Calibri"/>
      </rPr>
      <t>-3</t>
    </r>
  </si>
  <si>
    <t>3-7</t>
  </si>
  <si>
    <t xml:space="preserve"> IPCC 2006,  Guidelines for National Greenhouse Gas Inventories (Volume 4 - Agriculture, Forestry and Other Land Use), Table 4.5. With reference to natural forest in humid tropical zone with a growing stock volume of 118 m3 ha-1 (calculated from Forest Management Plan)</t>
  </si>
  <si>
    <r>
      <rPr>
        <sz val="14"/>
        <color theme="1"/>
        <rFont val="Calibri"/>
      </rPr>
      <t>CF</t>
    </r>
    <r>
      <rPr>
        <vertAlign val="subscript"/>
        <sz val="14"/>
        <color theme="1"/>
        <rFont val="Calibri"/>
      </rPr>
      <t>j</t>
    </r>
  </si>
  <si>
    <t>Carbon fraction for species j</t>
  </si>
  <si>
    <r>
      <rPr>
        <sz val="11"/>
        <color rgb="FF000000"/>
        <rFont val="Calibri"/>
      </rPr>
      <t>tC · t d.m.</t>
    </r>
    <r>
      <rPr>
        <vertAlign val="superscript"/>
        <sz val="11"/>
        <color rgb="FF000000"/>
        <rFont val="Calibri"/>
      </rPr>
      <t>-1</t>
    </r>
  </si>
  <si>
    <t>3-4-7</t>
  </si>
  <si>
    <t>2006 IPCC Guidelines for National Greenhouse Gas Inventories (Volume 4 - Agriculture, Forestry and Other Land Use), Table 4.3, Tropical wood</t>
  </si>
  <si>
    <t>Factor for residual stand damage</t>
  </si>
  <si>
    <t>6</t>
  </si>
  <si>
    <t>Brown, S., Pearson, T., Moore, N., Parveen, A., Ambagis, S., &amp; Shoch, D. (2005). Impact of selective logging on the carbon stocks of tropical forests: Republic of Congo as a case study. Winrock International, Virginia, 21.</t>
  </si>
  <si>
    <t>BEF</t>
  </si>
  <si>
    <t>Biomass expansion factor</t>
  </si>
  <si>
    <t xml:space="preserve">Calculation of the market leakage </t>
  </si>
  <si>
    <r>
      <rPr>
        <sz val="11"/>
        <color theme="1"/>
        <rFont val="Calibri"/>
      </rPr>
      <t xml:space="preserve">Value for South-Eastern Cameroon 
</t>
    </r>
    <r>
      <rPr>
        <u/>
        <sz val="11"/>
        <color rgb="FF1155CC"/>
        <rFont val="Calibri"/>
      </rPr>
      <t>https://cbmjournal.biomedcentral.com/articles/10.1186/s13021-018-0111-7</t>
    </r>
    <r>
      <rPr>
        <sz val="11"/>
        <color theme="1"/>
        <rFont val="Calibri"/>
      </rPr>
      <t xml:space="preserve"> 
</t>
    </r>
    <r>
      <rPr>
        <u/>
        <sz val="11"/>
        <color rgb="FF1155CC"/>
        <rFont val="Calibri"/>
      </rPr>
      <t>https://www.sciencedirect.com/science/article/abs/pii/S0378112710004937</t>
    </r>
    <r>
      <rPr>
        <sz val="11"/>
        <color theme="1"/>
        <rFont val="Calibri"/>
      </rPr>
      <t xml:space="preserve"> </t>
    </r>
  </si>
  <si>
    <t>D_forest</t>
  </si>
  <si>
    <t>Wood density</t>
  </si>
  <si>
    <t>t d.m./m3</t>
  </si>
  <si>
    <t>Average wood density of the tree species logged in the UFA 10-064; assumed as the average density to calculate biomass from merchantable volume in forest outside the project area where market leakage could occur</t>
  </si>
  <si>
    <r>
      <rPr>
        <b/>
        <sz val="18"/>
        <color theme="1"/>
        <rFont val="Calibri"/>
      </rPr>
      <t>Regrowth (RGR</t>
    </r>
    <r>
      <rPr>
        <b/>
        <vertAlign val="subscript"/>
        <sz val="18"/>
        <color theme="1"/>
        <rFont val="Calibri"/>
      </rPr>
      <t>i</t>
    </r>
    <r>
      <rPr>
        <b/>
        <sz val="18"/>
        <color theme="1"/>
        <rFont val="Calibri"/>
      </rPr>
      <t>)</t>
    </r>
  </si>
  <si>
    <t>Natural forest AGB</t>
  </si>
  <si>
    <t>Logged forest AGB</t>
  </si>
  <si>
    <t>Share logged</t>
  </si>
  <si>
    <t>Natural forest regrowth</t>
  </si>
  <si>
    <t>Logged forest regrowth</t>
  </si>
  <si>
    <t>Weigthed RGRi</t>
  </si>
  <si>
    <t>[t.dm/ha]</t>
  </si>
  <si>
    <t>[%]</t>
  </si>
  <si>
    <t>[t.dm/ha/yr]</t>
  </si>
  <si>
    <r>
      <rPr>
        <b/>
        <i/>
        <sz val="11"/>
        <color theme="1"/>
        <rFont val="Libre Franklin"/>
      </rPr>
      <t>RGR</t>
    </r>
    <r>
      <rPr>
        <b/>
        <i/>
        <vertAlign val="subscript"/>
        <sz val="11"/>
        <color theme="1"/>
        <rFont val="Franklin Gothic Book"/>
      </rPr>
      <t>i</t>
    </r>
    <r>
      <rPr>
        <b/>
        <i/>
        <sz val="11"/>
        <color theme="1"/>
        <rFont val="Franklin Gothic Book"/>
      </rPr>
      <t xml:space="preserve"> </t>
    </r>
  </si>
  <si>
    <t>[t.C/ha/yr]</t>
  </si>
  <si>
    <t>Wood product (SLF, WW, OF)</t>
  </si>
  <si>
    <t>Wood product class k</t>
  </si>
  <si>
    <t>percentage</t>
  </si>
  <si>
    <r>
      <rPr>
        <b/>
        <sz val="11"/>
        <color theme="1"/>
        <rFont val="Calibri"/>
      </rPr>
      <t>SLF</t>
    </r>
    <r>
      <rPr>
        <b/>
        <vertAlign val="subscript"/>
        <sz val="11"/>
        <color theme="1"/>
        <rFont val="Calibri"/>
      </rPr>
      <t>k</t>
    </r>
    <r>
      <rPr>
        <b/>
        <sz val="11"/>
        <color theme="1"/>
        <rFont val="Calibri"/>
      </rPr>
      <t xml:space="preserve"> [%]</t>
    </r>
  </si>
  <si>
    <r>
      <rPr>
        <b/>
        <sz val="11"/>
        <color theme="1"/>
        <rFont val="Calibri"/>
      </rPr>
      <t>WW</t>
    </r>
    <r>
      <rPr>
        <b/>
        <vertAlign val="subscript"/>
        <sz val="11"/>
        <color theme="1"/>
        <rFont val="Calibri"/>
      </rPr>
      <t>k</t>
    </r>
    <r>
      <rPr>
        <b/>
        <sz val="11"/>
        <color theme="1"/>
        <rFont val="Calibri"/>
      </rPr>
      <t xml:space="preserve"> [%]</t>
    </r>
  </si>
  <si>
    <r>
      <rPr>
        <b/>
        <sz val="11"/>
        <color theme="1"/>
        <rFont val="Calibri"/>
      </rPr>
      <t>OF</t>
    </r>
    <r>
      <rPr>
        <b/>
        <vertAlign val="subscript"/>
        <sz val="11"/>
        <color theme="1"/>
        <rFont val="Calibri"/>
      </rPr>
      <t>k</t>
    </r>
    <r>
      <rPr>
        <b/>
        <sz val="11"/>
        <color theme="1"/>
        <rFont val="Calibri"/>
      </rPr>
      <t xml:space="preserve"> [%]</t>
    </r>
  </si>
  <si>
    <t>Sawnwood</t>
  </si>
  <si>
    <t>Roundwood</t>
  </si>
  <si>
    <r>
      <rPr>
        <b/>
        <sz val="18"/>
        <color theme="1"/>
        <rFont val="Calibri"/>
      </rPr>
      <t>Wood density (D</t>
    </r>
    <r>
      <rPr>
        <b/>
        <vertAlign val="subscript"/>
        <sz val="18"/>
        <color theme="1"/>
        <rFont val="Calibri"/>
      </rPr>
      <t>j</t>
    </r>
    <r>
      <rPr>
        <b/>
        <sz val="18"/>
        <color theme="1"/>
        <rFont val="Calibri"/>
      </rPr>
      <t>)</t>
    </r>
  </si>
  <si>
    <r>
      <rPr>
        <b/>
        <sz val="11"/>
        <color theme="1"/>
        <rFont val="Calibri"/>
      </rPr>
      <t>Wood density [t/m</t>
    </r>
    <r>
      <rPr>
        <b/>
        <vertAlign val="superscript"/>
        <sz val="11"/>
        <color theme="1"/>
        <rFont val="Calibri"/>
      </rPr>
      <t>3</t>
    </r>
    <r>
      <rPr>
        <b/>
        <sz val="11"/>
        <color theme="1"/>
        <rFont val="Calibri"/>
      </rPr>
      <t>]</t>
    </r>
  </si>
  <si>
    <t>*</t>
  </si>
  <si>
    <t>**</t>
  </si>
  <si>
    <t>***</t>
  </si>
  <si>
    <t>Standard deviation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</si>
</sst>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_-;\-* #,##0_-;_-* &quot;-&quot;??_-;_-@"/>
    <numFmt numFmtId="165" formatCode="_-* #,##0.00_-;\-* #,##0.00_-;_-* &quot;-&quot;??_-;_-@"/>
    <numFmt numFmtId="166" formatCode="#,##0.0"/>
    <numFmt numFmtId="167" formatCode="0.0"/>
    <numFmt numFmtId="168" formatCode="0.000%"/>
    <numFmt numFmtId="169" formatCode="_-* #,##0\ _€_-;\-* #,##0\ _€_-;_-* &quot;-&quot;??\ _€_-;_-@"/>
    <numFmt numFmtId="170" formatCode="0.0%"/>
    <numFmt numFmtId="171" formatCode="0.000"/>
    <numFmt numFmtId="172" formatCode="&quot;$&quot;#,##0.00"/>
  </numFmts>
  <fonts count="84">
    <font>
      <sz val="11"/>
      <color theme="1"/>
      <name val="Calibri"/>
      <scheme val="minor"/>
    </font>
    <font>
      <sz val="11"/>
      <color theme="1"/>
      <name val="Calibri"/>
    </font>
    <font>
      <b/>
      <sz val="28"/>
      <color rgb="FFC00000"/>
      <name val="Calibri"/>
    </font>
    <font>
      <sz val="11"/>
      <name val="Calibri"/>
    </font>
    <font>
      <sz val="9"/>
      <color theme="1"/>
      <name val="Calibri"/>
    </font>
    <font>
      <b/>
      <sz val="18"/>
      <color theme="1"/>
      <name val="Calibri"/>
    </font>
    <font>
      <b/>
      <sz val="11"/>
      <color theme="1"/>
      <name val="Calibri"/>
    </font>
    <font>
      <b/>
      <sz val="12"/>
      <color rgb="FFC00000"/>
      <name val="Calibri"/>
    </font>
    <font>
      <sz val="11"/>
      <color rgb="FFBFBFBF"/>
      <name val="Calibri"/>
    </font>
    <font>
      <b/>
      <sz val="11"/>
      <color rgb="FFBFBFBF"/>
      <name val="Calibri"/>
    </font>
    <font>
      <i/>
      <sz val="10"/>
      <color rgb="FF000000"/>
      <name val="Libre Franklin"/>
    </font>
    <font>
      <sz val="11"/>
      <color rgb="FFC00000"/>
      <name val="Calibri"/>
    </font>
    <font>
      <b/>
      <i/>
      <sz val="18"/>
      <color theme="1"/>
      <name val="Calibri"/>
    </font>
    <font>
      <sz val="11"/>
      <color rgb="FF000000"/>
      <name val="Calibri"/>
    </font>
    <font>
      <sz val="11"/>
      <color rgb="FFFF5050"/>
      <name val="Calibri"/>
    </font>
    <font>
      <b/>
      <sz val="48"/>
      <color theme="1"/>
      <name val="Calibri"/>
    </font>
    <font>
      <b/>
      <sz val="48"/>
      <color rgb="FF000000"/>
      <name val="Calibri"/>
    </font>
    <font>
      <sz val="12"/>
      <color theme="1"/>
      <name val="Calibri"/>
    </font>
    <font>
      <b/>
      <i/>
      <sz val="16"/>
      <color theme="1"/>
      <name val="Calibri"/>
    </font>
    <font>
      <i/>
      <sz val="16"/>
      <color theme="1"/>
      <name val="Calibri"/>
    </font>
    <font>
      <b/>
      <sz val="12"/>
      <color theme="1"/>
      <name val="Calibri"/>
    </font>
    <font>
      <i/>
      <sz val="11"/>
      <color theme="1"/>
      <name val="Calibri"/>
    </font>
    <font>
      <b/>
      <i/>
      <sz val="12"/>
      <color theme="1"/>
      <name val="Calibri"/>
    </font>
    <font>
      <b/>
      <sz val="28"/>
      <color theme="1"/>
      <name val="Calibri"/>
    </font>
    <font>
      <sz val="10"/>
      <color theme="1"/>
      <name val="Calibri"/>
    </font>
    <font>
      <sz val="10"/>
      <color theme="0"/>
      <name val="Calibri"/>
    </font>
    <font>
      <b/>
      <sz val="10"/>
      <color theme="1"/>
      <name val="Calibri"/>
    </font>
    <font>
      <b/>
      <sz val="10"/>
      <color rgb="FFFFFFFF"/>
      <name val="Libre Franklin"/>
    </font>
    <font>
      <sz val="10"/>
      <color rgb="FF000000"/>
      <name val="Libre Franklin"/>
    </font>
    <font>
      <sz val="10"/>
      <color theme="1"/>
      <name val="Libre Franklin"/>
    </font>
    <font>
      <u/>
      <sz val="11"/>
      <color theme="10"/>
      <name val="Calibri"/>
    </font>
    <font>
      <sz val="14"/>
      <color theme="1"/>
      <name val="Calibri"/>
    </font>
    <font>
      <b/>
      <sz val="16"/>
      <color theme="1"/>
      <name val="Calibri"/>
    </font>
    <font>
      <b/>
      <sz val="11"/>
      <color rgb="FFC00000"/>
      <name val="Calibri"/>
    </font>
    <font>
      <b/>
      <sz val="11"/>
      <color rgb="FFCC0000"/>
      <name val="Calibri"/>
    </font>
    <font>
      <sz val="11"/>
      <color rgb="FFCC0000"/>
      <name val="Calibri"/>
    </font>
    <font>
      <b/>
      <sz val="22"/>
      <color theme="1"/>
      <name val="Calibri"/>
    </font>
    <font>
      <b/>
      <sz val="14"/>
      <color theme="1"/>
      <name val="Calibri"/>
    </font>
    <font>
      <b/>
      <sz val="24"/>
      <color theme="1"/>
      <name val="Calibri"/>
    </font>
    <font>
      <sz val="9"/>
      <color theme="1"/>
      <name val="Quattrocento Sans"/>
    </font>
    <font>
      <u/>
      <sz val="11"/>
      <color theme="1"/>
      <name val="Calibri"/>
    </font>
    <font>
      <sz val="11"/>
      <color rgb="FFFF0000"/>
      <name val="Calibri"/>
    </font>
    <font>
      <b/>
      <i/>
      <sz val="11"/>
      <color theme="1"/>
      <name val="Libre Franklin"/>
    </font>
    <font>
      <b/>
      <i/>
      <vertAlign val="subscript"/>
      <sz val="18"/>
      <color theme="1"/>
      <name val="Calibri"/>
    </font>
    <font>
      <b/>
      <vertAlign val="subscript"/>
      <sz val="18"/>
      <color theme="1"/>
      <name val="Calibri"/>
    </font>
    <font>
      <b/>
      <i/>
      <sz val="11"/>
      <color theme="1"/>
      <name val="Calibri"/>
    </font>
    <font>
      <b/>
      <i/>
      <vertAlign val="subscript"/>
      <sz val="16"/>
      <color theme="1"/>
      <name val="Calibri"/>
    </font>
    <font>
      <b/>
      <vertAlign val="superscript"/>
      <sz val="12"/>
      <color theme="1"/>
      <name val="Calibri"/>
    </font>
    <font>
      <b/>
      <i/>
      <vertAlign val="subscript"/>
      <sz val="12"/>
      <color theme="1"/>
      <name val="Calibri"/>
    </font>
    <font>
      <b/>
      <vertAlign val="subscript"/>
      <sz val="12"/>
      <color theme="1"/>
      <name val="Calibri"/>
    </font>
    <font>
      <b/>
      <vertAlign val="subscript"/>
      <sz val="11"/>
      <color theme="1"/>
      <name val="Calibri"/>
    </font>
    <font>
      <vertAlign val="subscript"/>
      <sz val="12"/>
      <color theme="1"/>
      <name val="Calibri"/>
    </font>
    <font>
      <vertAlign val="superscript"/>
      <sz val="11"/>
      <color theme="1"/>
      <name val="Calibri"/>
    </font>
    <font>
      <vertAlign val="subscript"/>
      <sz val="10"/>
      <color rgb="FF000000"/>
      <name val="Franklin Gothic Book"/>
    </font>
    <font>
      <sz val="10"/>
      <color rgb="FF000000"/>
      <name val="Franklin Gothic Book"/>
    </font>
    <font>
      <vertAlign val="subscript"/>
      <sz val="11"/>
      <color theme="1"/>
      <name val="Calibri"/>
    </font>
    <font>
      <vertAlign val="subscript"/>
      <sz val="14"/>
      <color theme="1"/>
      <name val="Calibri"/>
    </font>
    <font>
      <vertAlign val="subscript"/>
      <sz val="11"/>
      <color theme="1"/>
      <name val="Franklin Gothic Book"/>
    </font>
    <font>
      <i/>
      <vertAlign val="subscript"/>
      <sz val="14"/>
      <color theme="1"/>
      <name val="Franklin Gothic Book"/>
    </font>
    <font>
      <b/>
      <vertAlign val="subscript"/>
      <sz val="16"/>
      <color theme="1"/>
      <name val="Calibri"/>
    </font>
    <font>
      <b/>
      <vertAlign val="subscript"/>
      <sz val="11"/>
      <color rgb="FFC00000"/>
      <name val="Calibri"/>
    </font>
    <font>
      <vertAlign val="superscript"/>
      <sz val="11"/>
      <color rgb="FF000000"/>
      <name val="Calibri"/>
    </font>
    <font>
      <u/>
      <sz val="11"/>
      <color rgb="FF1155CC"/>
      <name val="Calibri"/>
    </font>
    <font>
      <b/>
      <i/>
      <vertAlign val="subscript"/>
      <sz val="11"/>
      <color theme="1"/>
      <name val="Franklin Gothic Book"/>
    </font>
    <font>
      <b/>
      <i/>
      <sz val="11"/>
      <color theme="1"/>
      <name val="Franklin Gothic Book"/>
    </font>
    <font>
      <b/>
      <vertAlign val="superscript"/>
      <sz val="11"/>
      <color theme="1"/>
      <name val="Calibri"/>
    </font>
    <font>
      <sz val="9"/>
      <color indexed="81"/>
      <name val="Tahoma"/>
      <charset val="1"/>
    </font>
    <font>
      <b/>
      <sz val="9"/>
      <color indexed="81"/>
      <name val="Tahoma"/>
      <charset val="1"/>
    </font>
    <font>
      <sz val="11"/>
      <color rgb="FFFF0000"/>
      <name val="Calibri"/>
      <family val="2"/>
      <scheme val="minor"/>
    </font>
    <font>
      <b/>
      <sz val="22"/>
      <name val="Calibri"/>
      <family val="2"/>
    </font>
    <font>
      <sz val="11"/>
      <name val="Calibri"/>
      <family val="2"/>
    </font>
    <font>
      <b/>
      <sz val="22"/>
      <color rgb="FFFF0000"/>
      <name val="Calibri"/>
      <family val="2"/>
    </font>
    <font>
      <b/>
      <u/>
      <sz val="22"/>
      <color rgb="FFFF0000"/>
      <name val="Calibri"/>
      <family val="2"/>
    </font>
    <font>
      <sz val="11"/>
      <color rgb="FFFF0000"/>
      <name val="Calibri"/>
      <family val="2"/>
    </font>
    <font>
      <b/>
      <sz val="11"/>
      <color rgb="FFFF0000"/>
      <name val="Calibri"/>
      <family val="2"/>
    </font>
    <font>
      <b/>
      <sz val="12"/>
      <color rgb="FFFF0000"/>
      <name val="Calibri"/>
      <family val="2"/>
    </font>
    <font>
      <vertAlign val="subscript"/>
      <sz val="12"/>
      <color rgb="FFFF0000"/>
      <name val="Calibri"/>
      <family val="2"/>
    </font>
    <font>
      <b/>
      <vertAlign val="subscript"/>
      <sz val="12"/>
      <color rgb="FFFF0000"/>
      <name val="Calibri"/>
      <family val="2"/>
    </font>
    <font>
      <b/>
      <i/>
      <sz val="12"/>
      <color rgb="FFFF0000"/>
      <name val="Calibri"/>
      <family val="2"/>
    </font>
    <font>
      <vertAlign val="superscript"/>
      <sz val="11"/>
      <color rgb="FFFF0000"/>
      <name val="Calibri"/>
      <family val="2"/>
    </font>
    <font>
      <b/>
      <i/>
      <vertAlign val="subscript"/>
      <sz val="12"/>
      <color rgb="FFFF0000"/>
      <name val="Calibri"/>
      <family val="2"/>
    </font>
    <font>
      <sz val="12"/>
      <color rgb="FFFF0000"/>
      <name val="Calibri"/>
      <family val="2"/>
    </font>
    <font>
      <b/>
      <vertAlign val="subscript"/>
      <sz val="11"/>
      <color rgb="FFFF0000"/>
      <name val="Calibri"/>
      <family val="2"/>
    </font>
    <font>
      <i/>
      <sz val="11"/>
      <color rgb="FFFF0000"/>
      <name val="Calibri"/>
      <family val="2"/>
    </font>
  </fonts>
  <fills count="32">
    <fill>
      <patternFill patternType="none"/>
    </fill>
    <fill>
      <patternFill patternType="gray125"/>
    </fill>
    <fill>
      <patternFill patternType="solid">
        <fgColor rgb="FFFEF2CB"/>
        <bgColor rgb="FFFEF2CB"/>
      </patternFill>
    </fill>
    <fill>
      <patternFill patternType="solid">
        <fgColor rgb="FFFFFF00"/>
        <bgColor rgb="FFFFFF00"/>
      </patternFill>
    </fill>
    <fill>
      <patternFill patternType="solid">
        <fgColor rgb="FFFFC000"/>
        <bgColor rgb="FFFFC000"/>
      </patternFill>
    </fill>
    <fill>
      <patternFill patternType="solid">
        <fgColor rgb="FFD9E2F3"/>
        <bgColor rgb="FFD9E2F3"/>
      </patternFill>
    </fill>
    <fill>
      <patternFill patternType="solid">
        <fgColor rgb="FFB4C6E7"/>
        <bgColor rgb="FFB4C6E7"/>
      </patternFill>
    </fill>
    <fill>
      <patternFill patternType="solid">
        <fgColor rgb="FFE7E6E6"/>
        <bgColor rgb="FFE7E6E6"/>
      </patternFill>
    </fill>
    <fill>
      <patternFill patternType="solid">
        <fgColor rgb="FFD8D8D8"/>
        <bgColor rgb="FFD8D8D8"/>
      </patternFill>
    </fill>
    <fill>
      <patternFill patternType="solid">
        <fgColor rgb="FFFBE4D5"/>
        <bgColor rgb="FFFBE4D5"/>
      </patternFill>
    </fill>
    <fill>
      <patternFill patternType="solid">
        <fgColor theme="0"/>
        <bgColor theme="0"/>
      </patternFill>
    </fill>
    <fill>
      <patternFill patternType="solid">
        <fgColor rgb="FFF4B083"/>
        <bgColor rgb="FFF4B083"/>
      </patternFill>
    </fill>
    <fill>
      <patternFill patternType="solid">
        <fgColor rgb="FFFFFF99"/>
        <bgColor rgb="FFFFFF99"/>
      </patternFill>
    </fill>
    <fill>
      <patternFill patternType="solid">
        <fgColor rgb="FFF2F2F2"/>
        <bgColor rgb="FFF2F2F2"/>
      </patternFill>
    </fill>
    <fill>
      <patternFill patternType="solid">
        <fgColor rgb="FF8EAADB"/>
        <bgColor rgb="FF8EAADB"/>
      </patternFill>
    </fill>
    <fill>
      <patternFill patternType="solid">
        <fgColor rgb="FFBFBFBF"/>
        <bgColor rgb="FFBFBFBF"/>
      </patternFill>
    </fill>
    <fill>
      <patternFill patternType="solid">
        <fgColor rgb="FFF7CAAC"/>
        <bgColor rgb="FFF7CAAC"/>
      </patternFill>
    </fill>
    <fill>
      <patternFill patternType="solid">
        <fgColor rgb="FF002060"/>
        <bgColor rgb="FF002060"/>
      </patternFill>
    </fill>
    <fill>
      <patternFill patternType="solid">
        <fgColor rgb="FF2F5496"/>
        <bgColor rgb="FF2F5496"/>
      </patternFill>
    </fill>
    <fill>
      <patternFill patternType="solid">
        <fgColor rgb="FFFFE598"/>
        <bgColor rgb="FFFFE598"/>
      </patternFill>
    </fill>
    <fill>
      <patternFill patternType="solid">
        <fgColor rgb="FF2B3A57"/>
        <bgColor rgb="FF2B3A57"/>
      </patternFill>
    </fill>
    <fill>
      <patternFill patternType="solid">
        <fgColor rgb="FFFFF2CC"/>
        <bgColor rgb="FFFFF2CC"/>
      </patternFill>
    </fill>
    <fill>
      <patternFill patternType="solid">
        <fgColor rgb="FFFFD966"/>
        <bgColor rgb="FFFFD966"/>
      </patternFill>
    </fill>
    <fill>
      <patternFill patternType="solid">
        <fgColor rgb="FFF3F3F3"/>
        <bgColor rgb="FFF3F3F3"/>
      </patternFill>
    </fill>
    <fill>
      <patternFill patternType="solid">
        <fgColor rgb="FFCCCCCC"/>
        <bgColor rgb="FFCCCCCC"/>
      </patternFill>
    </fill>
    <fill>
      <patternFill patternType="solid">
        <fgColor rgb="FFD9D9D9"/>
        <bgColor rgb="FFD9D9D9"/>
      </patternFill>
    </fill>
    <fill>
      <patternFill patternType="solid">
        <fgColor rgb="FFEFEFEF"/>
        <bgColor rgb="FFEFEFEF"/>
      </patternFill>
    </fill>
    <fill>
      <patternFill patternType="solid">
        <fgColor rgb="FF00B0F0"/>
        <bgColor rgb="FF00B0F0"/>
      </patternFill>
    </fill>
    <fill>
      <patternFill patternType="solid">
        <fgColor rgb="FFE2EFD9"/>
        <bgColor rgb="FFE2EFD9"/>
      </patternFill>
    </fill>
    <fill>
      <patternFill patternType="solid">
        <fgColor rgb="FFFDCFCF"/>
        <bgColor rgb="FFFDCFCF"/>
      </patternFill>
    </fill>
    <fill>
      <patternFill patternType="solid">
        <fgColor rgb="FFC8C8C8"/>
        <bgColor rgb="FFC8C8C8"/>
      </patternFill>
    </fill>
    <fill>
      <patternFill patternType="solid">
        <fgColor theme="4" tint="0.79998168889431442"/>
        <bgColor rgb="FFFFE598"/>
      </patternFill>
    </fill>
  </fills>
  <borders count="97">
    <border>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theme="1"/>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theme="1"/>
      </left>
      <right style="medium">
        <color theme="1"/>
      </right>
      <top/>
      <bottom style="medium">
        <color theme="1"/>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theme="1"/>
      </right>
      <top style="medium">
        <color rgb="FF000000"/>
      </top>
      <bottom style="medium">
        <color theme="1"/>
      </bottom>
      <diagonal/>
    </border>
    <border>
      <left style="thin">
        <color theme="1"/>
      </left>
      <right style="thin">
        <color theme="1"/>
      </right>
      <top style="medium">
        <color rgb="FF000000"/>
      </top>
      <bottom style="medium">
        <color theme="1"/>
      </bottom>
      <diagonal/>
    </border>
    <border>
      <left style="thin">
        <color theme="1"/>
      </left>
      <right style="medium">
        <color rgb="FF000000"/>
      </right>
      <top style="medium">
        <color rgb="FF000000"/>
      </top>
      <bottom style="medium">
        <color theme="1"/>
      </bottom>
      <diagonal/>
    </border>
    <border>
      <left style="medium">
        <color rgb="FF000000"/>
      </left>
      <right style="medium">
        <color theme="1"/>
      </right>
      <top style="medium">
        <color theme="1"/>
      </top>
      <bottom style="medium">
        <color theme="1"/>
      </bottom>
      <diagonal/>
    </border>
    <border>
      <left style="medium">
        <color theme="1"/>
      </left>
      <right/>
      <top style="medium">
        <color theme="1"/>
      </top>
      <bottom style="thin">
        <color rgb="FF000000"/>
      </bottom>
      <diagonal/>
    </border>
    <border>
      <left/>
      <right style="medium">
        <color rgb="FF000000"/>
      </right>
      <top style="medium">
        <color theme="1"/>
      </top>
      <bottom style="thin">
        <color rgb="FF000000"/>
      </bottom>
      <diagonal/>
    </border>
    <border>
      <left/>
      <right style="medium">
        <color rgb="FF000000"/>
      </right>
      <top style="medium">
        <color theme="1"/>
      </top>
      <bottom style="medium">
        <color theme="1"/>
      </bottom>
      <diagonal/>
    </border>
    <border>
      <left style="thin">
        <color theme="1"/>
      </left>
      <right style="thin">
        <color theme="1"/>
      </right>
      <top/>
      <bottom style="thin">
        <color theme="1"/>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000000"/>
      </top>
      <bottom/>
      <diagonal/>
    </border>
    <border>
      <left style="thin">
        <color theme="1"/>
      </left>
      <right style="thin">
        <color theme="1"/>
      </right>
      <top/>
      <bottom style="medium">
        <color rgb="FF000000"/>
      </bottom>
      <diagonal/>
    </border>
    <border>
      <left style="medium">
        <color theme="1"/>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theme="1"/>
      </top>
      <bottom style="medium">
        <color theme="1"/>
      </bottom>
      <diagonal/>
    </border>
    <border>
      <left style="medium">
        <color rgb="FF000000"/>
      </left>
      <right/>
      <top style="medium">
        <color rgb="FF000000"/>
      </top>
      <bottom style="medium">
        <color rgb="FF000000"/>
      </bottom>
      <diagonal/>
    </border>
    <border>
      <left style="thin">
        <color theme="1"/>
      </left>
      <right style="medium">
        <color rgb="FF000000"/>
      </right>
      <top/>
      <bottom style="thin">
        <color theme="1"/>
      </bottom>
      <diagonal/>
    </border>
    <border>
      <left style="thin">
        <color theme="1"/>
      </left>
      <right style="medium">
        <color rgb="FF000000"/>
      </right>
      <top/>
      <bottom style="medium">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style="thin">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rgb="FF000000"/>
      </left>
      <right/>
      <top style="medium">
        <color rgb="FF000000"/>
      </top>
      <bottom style="thin">
        <color rgb="FF000000"/>
      </bottom>
      <diagonal/>
    </border>
    <border>
      <left style="medium">
        <color theme="1"/>
      </left>
      <right style="thin">
        <color rgb="FF000000"/>
      </right>
      <top style="medium">
        <color theme="1"/>
      </top>
      <bottom style="medium">
        <color theme="1"/>
      </bottom>
      <diagonal/>
    </border>
    <border>
      <left style="thin">
        <color rgb="FF000000"/>
      </left>
      <right style="medium">
        <color theme="1"/>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medium">
        <color rgb="FF000000"/>
      </left>
      <right style="medium">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3">
    <xf numFmtId="0" fontId="0" fillId="0" borderId="0" xfId="0"/>
    <xf numFmtId="0" fontId="1" fillId="0" borderId="0" xfId="0" applyFont="1" applyAlignment="1">
      <alignment horizontal="center" vertical="center"/>
    </xf>
    <xf numFmtId="0" fontId="5" fillId="4" borderId="8" xfId="0" applyFont="1" applyFill="1" applyBorder="1" applyAlignment="1">
      <alignment horizontal="center" vertical="center"/>
    </xf>
    <xf numFmtId="0" fontId="7" fillId="0" borderId="9" xfId="0" applyFont="1" applyBorder="1" applyAlignment="1">
      <alignment horizontal="center" vertical="center"/>
    </xf>
    <xf numFmtId="0" fontId="5" fillId="4" borderId="11" xfId="0" applyFont="1" applyFill="1" applyBorder="1" applyAlignment="1">
      <alignment horizontal="center" vertical="center"/>
    </xf>
    <xf numFmtId="0" fontId="1" fillId="0" borderId="8" xfId="0" applyFont="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7" borderId="14" xfId="0" applyFont="1" applyFill="1" applyBorder="1" applyAlignment="1">
      <alignment horizontal="center" vertical="center"/>
    </xf>
    <xf numFmtId="0" fontId="1" fillId="7" borderId="15" xfId="0" applyFont="1" applyFill="1" applyBorder="1" applyAlignment="1">
      <alignment horizontal="center" vertical="center"/>
    </xf>
    <xf numFmtId="0" fontId="1" fillId="7" borderId="16" xfId="0" applyFont="1" applyFill="1" applyBorder="1" applyAlignment="1">
      <alignment horizontal="center" vertical="center"/>
    </xf>
    <xf numFmtId="0" fontId="6" fillId="8" borderId="11"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7" fillId="0" borderId="11" xfId="0" applyFont="1" applyBorder="1" applyAlignment="1">
      <alignment horizontal="center" vertical="center"/>
    </xf>
    <xf numFmtId="164" fontId="8" fillId="0" borderId="17" xfId="0" applyNumberFormat="1" applyFont="1" applyBorder="1" applyAlignment="1">
      <alignment horizontal="center" vertical="center"/>
    </xf>
    <xf numFmtId="164" fontId="8" fillId="0" borderId="18" xfId="0" applyNumberFormat="1" applyFont="1" applyBorder="1" applyAlignment="1">
      <alignment horizontal="center" vertical="center"/>
    </xf>
    <xf numFmtId="164" fontId="9" fillId="0" borderId="19" xfId="0" applyNumberFormat="1" applyFont="1" applyBorder="1" applyAlignment="1">
      <alignment horizontal="center" vertical="center"/>
    </xf>
    <xf numFmtId="0" fontId="8" fillId="0" borderId="11" xfId="0" applyFont="1" applyBorder="1" applyAlignment="1">
      <alignment horizontal="center" vertical="center"/>
    </xf>
    <xf numFmtId="164" fontId="8" fillId="0" borderId="11" xfId="0" applyNumberFormat="1" applyFont="1" applyBorder="1" applyAlignment="1">
      <alignment horizontal="center" vertical="center"/>
    </xf>
    <xf numFmtId="0" fontId="8" fillId="0" borderId="18" xfId="0" applyFont="1" applyBorder="1" applyAlignment="1">
      <alignment horizontal="center" vertical="center"/>
    </xf>
    <xf numFmtId="0" fontId="8" fillId="9" borderId="20" xfId="0" applyFont="1" applyFill="1" applyBorder="1" applyAlignment="1">
      <alignment horizontal="center" vertical="center"/>
    </xf>
    <xf numFmtId="164" fontId="1" fillId="0" borderId="17" xfId="0" applyNumberFormat="1" applyFont="1" applyBorder="1" applyAlignment="1">
      <alignment horizontal="center" vertical="center"/>
    </xf>
    <xf numFmtId="164" fontId="1" fillId="0" borderId="18" xfId="0" applyNumberFormat="1" applyFont="1" applyBorder="1" applyAlignment="1">
      <alignment horizontal="center" vertical="center"/>
    </xf>
    <xf numFmtId="164" fontId="6" fillId="0" borderId="19" xfId="0" applyNumberFormat="1" applyFont="1" applyBorder="1" applyAlignment="1">
      <alignment horizontal="center" vertical="center"/>
    </xf>
    <xf numFmtId="0" fontId="1" fillId="0" borderId="11" xfId="0" applyFont="1" applyBorder="1" applyAlignment="1">
      <alignment horizontal="center" vertical="center"/>
    </xf>
    <xf numFmtId="164" fontId="1" fillId="0" borderId="11" xfId="0" applyNumberFormat="1" applyFont="1" applyBorder="1" applyAlignment="1">
      <alignment horizontal="center" vertical="center"/>
    </xf>
    <xf numFmtId="0" fontId="1" fillId="0" borderId="18" xfId="0" applyFont="1" applyBorder="1" applyAlignment="1">
      <alignment horizontal="center" vertical="center"/>
    </xf>
    <xf numFmtId="0" fontId="1" fillId="9" borderId="20" xfId="0" applyFont="1" applyFill="1" applyBorder="1" applyAlignment="1">
      <alignment horizontal="center" vertical="center"/>
    </xf>
    <xf numFmtId="164" fontId="6" fillId="5" borderId="21" xfId="0" applyNumberFormat="1" applyFont="1" applyFill="1" applyBorder="1" applyAlignment="1">
      <alignment horizontal="center" vertical="center" wrapText="1"/>
    </xf>
    <xf numFmtId="164" fontId="6" fillId="6" borderId="21" xfId="0" applyNumberFormat="1" applyFont="1" applyFill="1" applyBorder="1" applyAlignment="1">
      <alignment horizontal="center" vertical="center" wrapText="1"/>
    </xf>
    <xf numFmtId="164" fontId="7" fillId="10" borderId="21" xfId="0" applyNumberFormat="1" applyFont="1" applyFill="1" applyBorder="1" applyAlignment="1">
      <alignment horizontal="center" vertical="center"/>
    </xf>
    <xf numFmtId="2" fontId="1" fillId="0" borderId="0" xfId="0" applyNumberFormat="1" applyFont="1" applyAlignment="1">
      <alignment horizontal="right" vertical="center"/>
    </xf>
    <xf numFmtId="0" fontId="10" fillId="0" borderId="0" xfId="0" applyFont="1" applyAlignment="1">
      <alignment horizontal="center" vertical="center"/>
    </xf>
    <xf numFmtId="0" fontId="11" fillId="0" borderId="0" xfId="0" applyFont="1" applyAlignment="1">
      <alignment horizontal="center" vertical="center"/>
    </xf>
    <xf numFmtId="0" fontId="6" fillId="8" borderId="22" xfId="0" applyFont="1" applyFill="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6" fillId="11" borderId="25" xfId="0" applyFont="1" applyFill="1" applyBorder="1" applyAlignment="1">
      <alignment horizontal="center" vertical="center" wrapText="1"/>
    </xf>
    <xf numFmtId="0" fontId="12" fillId="11" borderId="11" xfId="0" applyFont="1" applyFill="1" applyBorder="1" applyAlignment="1">
      <alignment vertical="center" wrapText="1"/>
    </xf>
    <xf numFmtId="0" fontId="12" fillId="11" borderId="26" xfId="0" applyFont="1" applyFill="1" applyBorder="1" applyAlignment="1">
      <alignment vertical="center" wrapText="1"/>
    </xf>
    <xf numFmtId="0" fontId="1" fillId="9" borderId="25" xfId="0" applyFont="1" applyFill="1" applyBorder="1"/>
    <xf numFmtId="0" fontId="1" fillId="0" borderId="26" xfId="0" applyFont="1" applyBorder="1" applyAlignment="1">
      <alignment horizontal="center" vertical="center"/>
    </xf>
    <xf numFmtId="0" fontId="1" fillId="9" borderId="27" xfId="0" applyFont="1" applyFill="1" applyBorder="1"/>
    <xf numFmtId="0" fontId="1" fillId="7" borderId="28" xfId="0" quotePrefix="1" applyFont="1" applyFill="1" applyBorder="1"/>
    <xf numFmtId="0" fontId="1" fillId="0" borderId="29" xfId="0" applyFont="1" applyBorder="1" applyAlignment="1">
      <alignment horizontal="center" vertical="center"/>
    </xf>
    <xf numFmtId="0" fontId="1" fillId="0" borderId="0" xfId="0" applyFont="1"/>
    <xf numFmtId="0" fontId="6" fillId="8" borderId="30" xfId="0" applyFont="1" applyFill="1" applyBorder="1" applyAlignment="1">
      <alignment horizontal="center" vertical="center" wrapText="1"/>
    </xf>
    <xf numFmtId="0" fontId="1" fillId="0" borderId="31" xfId="0" applyFont="1" applyBorder="1"/>
    <xf numFmtId="0" fontId="1" fillId="0" borderId="32" xfId="0" applyFont="1" applyBorder="1"/>
    <xf numFmtId="0" fontId="6" fillId="11" borderId="33" xfId="0" applyFont="1" applyFill="1" applyBorder="1" applyAlignment="1">
      <alignment horizontal="center" vertical="center" wrapText="1"/>
    </xf>
    <xf numFmtId="165" fontId="1" fillId="8" borderId="37" xfId="0" applyNumberFormat="1" applyFont="1" applyFill="1" applyBorder="1" applyAlignment="1">
      <alignment horizontal="left" vertical="top"/>
    </xf>
    <xf numFmtId="0" fontId="1" fillId="0" borderId="16" xfId="0" applyFont="1" applyBorder="1"/>
    <xf numFmtId="164" fontId="1" fillId="0" borderId="16" xfId="0" applyNumberFormat="1" applyFont="1" applyBorder="1" applyAlignment="1">
      <alignment horizontal="center" vertical="center"/>
    </xf>
    <xf numFmtId="0" fontId="1" fillId="0" borderId="38" xfId="0" applyFont="1" applyBorder="1"/>
    <xf numFmtId="164" fontId="1" fillId="0" borderId="38" xfId="0" applyNumberFormat="1" applyFont="1" applyBorder="1" applyAlignment="1">
      <alignment horizontal="center" vertical="center"/>
    </xf>
    <xf numFmtId="164" fontId="1" fillId="0" borderId="39" xfId="0" applyNumberFormat="1" applyFont="1" applyBorder="1" applyAlignment="1">
      <alignment horizontal="center" vertical="center"/>
    </xf>
    <xf numFmtId="0" fontId="1" fillId="9" borderId="40" xfId="0" applyFont="1" applyFill="1" applyBorder="1"/>
    <xf numFmtId="1" fontId="1" fillId="0" borderId="11" xfId="0" applyNumberFormat="1" applyFont="1" applyBorder="1" applyAlignment="1">
      <alignment horizontal="center" vertical="center"/>
    </xf>
    <xf numFmtId="165" fontId="1" fillId="8" borderId="41" xfId="0" applyNumberFormat="1" applyFont="1" applyFill="1" applyBorder="1" applyAlignment="1">
      <alignment horizontal="left" vertical="top"/>
    </xf>
    <xf numFmtId="1" fontId="1" fillId="0" borderId="29" xfId="0" applyNumberFormat="1" applyFont="1" applyBorder="1" applyAlignment="1">
      <alignment horizontal="center" vertical="center"/>
    </xf>
    <xf numFmtId="0" fontId="6" fillId="8" borderId="39"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6" fillId="11" borderId="44" xfId="0" applyFont="1" applyFill="1" applyBorder="1" applyAlignment="1">
      <alignment horizontal="center" vertical="center" wrapText="1"/>
    </xf>
    <xf numFmtId="0" fontId="12" fillId="6" borderId="39" xfId="0" applyFont="1" applyFill="1" applyBorder="1" applyAlignment="1">
      <alignment horizontal="center" vertical="center" wrapText="1"/>
    </xf>
    <xf numFmtId="0" fontId="12" fillId="11" borderId="39" xfId="0" applyFont="1" applyFill="1" applyBorder="1" applyAlignment="1">
      <alignment horizontal="center" vertical="center" wrapText="1"/>
    </xf>
    <xf numFmtId="164" fontId="1" fillId="0" borderId="46" xfId="0" applyNumberFormat="1" applyFont="1" applyBorder="1" applyAlignment="1">
      <alignment horizontal="left" vertical="top"/>
    </xf>
    <xf numFmtId="165" fontId="1" fillId="0" borderId="16" xfId="0" applyNumberFormat="1" applyFont="1" applyBorder="1" applyAlignment="1">
      <alignment horizontal="center" vertical="center"/>
    </xf>
    <xf numFmtId="165" fontId="1" fillId="0" borderId="38" xfId="0" applyNumberFormat="1" applyFont="1" applyBorder="1" applyAlignment="1">
      <alignment horizontal="center" vertical="center"/>
    </xf>
    <xf numFmtId="165" fontId="1" fillId="0" borderId="0" xfId="0" applyNumberFormat="1" applyFont="1" applyAlignment="1">
      <alignment horizontal="center" vertical="center"/>
    </xf>
    <xf numFmtId="165" fontId="1" fillId="8" borderId="47" xfId="0" applyNumberFormat="1" applyFont="1" applyFill="1" applyBorder="1" applyAlignment="1">
      <alignment horizontal="left" vertical="top"/>
    </xf>
    <xf numFmtId="165" fontId="1" fillId="0" borderId="16" xfId="0" applyNumberFormat="1" applyFont="1" applyBorder="1" applyAlignment="1">
      <alignment vertical="center"/>
    </xf>
    <xf numFmtId="165" fontId="1" fillId="0" borderId="38" xfId="0" applyNumberFormat="1" applyFont="1" applyBorder="1" applyAlignment="1">
      <alignment vertical="center"/>
    </xf>
    <xf numFmtId="0" fontId="13" fillId="0" borderId="0" xfId="0" applyFont="1" applyAlignment="1">
      <alignment vertical="center"/>
    </xf>
    <xf numFmtId="0" fontId="14" fillId="0" borderId="0" xfId="0" applyFont="1"/>
    <xf numFmtId="0" fontId="16" fillId="0" borderId="0" xfId="0" applyFont="1" applyAlignment="1">
      <alignment horizontal="left" vertical="top"/>
    </xf>
    <xf numFmtId="0" fontId="4" fillId="0" borderId="0" xfId="0" applyFont="1" applyAlignment="1">
      <alignment horizontal="center" vertical="center" wrapText="1"/>
    </xf>
    <xf numFmtId="0" fontId="17" fillId="0" borderId="0" xfId="0" applyFont="1" applyAlignment="1">
      <alignment horizontal="center" vertical="center" wrapText="1"/>
    </xf>
    <xf numFmtId="0" fontId="1" fillId="0" borderId="0" xfId="0" applyFont="1" applyAlignment="1">
      <alignment horizontal="left" vertical="center"/>
    </xf>
    <xf numFmtId="0" fontId="6" fillId="0" borderId="0" xfId="0" applyFont="1" applyAlignment="1">
      <alignment horizontal="left" vertical="center"/>
    </xf>
    <xf numFmtId="0" fontId="18" fillId="0" borderId="16" xfId="0" applyFont="1" applyBorder="1" applyAlignment="1">
      <alignment horizontal="center" vertical="center" wrapText="1"/>
    </xf>
    <xf numFmtId="0" fontId="19" fillId="0" borderId="0" xfId="0" applyFont="1"/>
    <xf numFmtId="0" fontId="20" fillId="0" borderId="53" xfId="0" applyFont="1" applyBorder="1" applyAlignment="1">
      <alignment horizontal="left" vertical="center" wrapText="1"/>
    </xf>
    <xf numFmtId="0" fontId="17" fillId="0" borderId="0" xfId="0" applyFont="1" applyAlignment="1">
      <alignment horizontal="left"/>
    </xf>
    <xf numFmtId="0" fontId="6" fillId="0" borderId="0" xfId="0" applyFont="1" applyAlignment="1">
      <alignment horizontal="left" vertical="center" wrapText="1"/>
    </xf>
    <xf numFmtId="3" fontId="6" fillId="5" borderId="55" xfId="0" applyNumberFormat="1" applyFont="1" applyFill="1" applyBorder="1" applyAlignment="1">
      <alignment horizontal="center" vertical="center" wrapText="1"/>
    </xf>
    <xf numFmtId="0" fontId="6" fillId="6" borderId="56" xfId="0" applyFont="1" applyFill="1" applyBorder="1" applyAlignment="1">
      <alignment horizontal="center" vertical="center" wrapText="1"/>
    </xf>
    <xf numFmtId="0" fontId="6" fillId="5" borderId="55" xfId="0" applyFont="1" applyFill="1" applyBorder="1" applyAlignment="1">
      <alignment horizontal="center" vertical="center" wrapText="1"/>
    </xf>
    <xf numFmtId="0" fontId="6" fillId="10" borderId="57" xfId="0" applyFont="1" applyFill="1" applyBorder="1" applyAlignment="1">
      <alignment horizontal="center" vertical="center" wrapText="1"/>
    </xf>
    <xf numFmtId="0" fontId="6" fillId="6" borderId="58" xfId="0" applyFont="1" applyFill="1" applyBorder="1" applyAlignment="1">
      <alignment horizontal="center" vertical="center" wrapText="1"/>
    </xf>
    <xf numFmtId="0" fontId="1" fillId="0" borderId="0" xfId="0" applyFont="1" applyAlignment="1">
      <alignment wrapText="1"/>
    </xf>
    <xf numFmtId="0" fontId="21" fillId="0" borderId="0" xfId="0" applyFont="1"/>
    <xf numFmtId="3" fontId="1" fillId="5" borderId="59" xfId="0" applyNumberFormat="1" applyFont="1" applyFill="1" applyBorder="1"/>
    <xf numFmtId="4" fontId="1" fillId="5" borderId="59" xfId="0" applyNumberFormat="1" applyFont="1" applyFill="1" applyBorder="1"/>
    <xf numFmtId="166" fontId="1" fillId="5" borderId="60" xfId="0" applyNumberFormat="1" applyFont="1" applyFill="1" applyBorder="1"/>
    <xf numFmtId="166" fontId="1" fillId="6" borderId="61" xfId="0" applyNumberFormat="1" applyFont="1" applyFill="1" applyBorder="1"/>
    <xf numFmtId="166" fontId="1" fillId="6" borderId="60" xfId="0" applyNumberFormat="1" applyFont="1" applyFill="1" applyBorder="1"/>
    <xf numFmtId="166" fontId="1" fillId="6" borderId="62" xfId="0" applyNumberFormat="1" applyFont="1" applyFill="1" applyBorder="1"/>
    <xf numFmtId="4" fontId="1" fillId="5" borderId="63" xfId="0" applyNumberFormat="1" applyFont="1" applyFill="1" applyBorder="1"/>
    <xf numFmtId="166" fontId="1" fillId="5" borderId="63" xfId="0" applyNumberFormat="1" applyFont="1" applyFill="1" applyBorder="1"/>
    <xf numFmtId="166" fontId="1" fillId="6" borderId="64" xfId="0" applyNumberFormat="1" applyFont="1" applyFill="1" applyBorder="1"/>
    <xf numFmtId="3" fontId="1" fillId="5" borderId="25" xfId="0" applyNumberFormat="1" applyFont="1" applyFill="1" applyBorder="1"/>
    <xf numFmtId="3" fontId="1" fillId="6" borderId="11" xfId="0" applyNumberFormat="1" applyFont="1" applyFill="1" applyBorder="1"/>
    <xf numFmtId="4" fontId="1" fillId="5" borderId="25" xfId="0" applyNumberFormat="1" applyFont="1" applyFill="1" applyBorder="1"/>
    <xf numFmtId="4" fontId="1" fillId="6" borderId="11" xfId="0" applyNumberFormat="1" applyFont="1" applyFill="1" applyBorder="1"/>
    <xf numFmtId="4" fontId="1" fillId="10" borderId="19" xfId="0" applyNumberFormat="1" applyFont="1" applyFill="1" applyBorder="1"/>
    <xf numFmtId="3" fontId="1" fillId="0" borderId="0" xfId="0" applyNumberFormat="1" applyFont="1"/>
    <xf numFmtId="4" fontId="1" fillId="0" borderId="0" xfId="0" applyNumberFormat="1" applyFont="1"/>
    <xf numFmtId="0" fontId="1" fillId="0" borderId="0" xfId="0" applyFont="1" applyAlignment="1">
      <alignment horizontal="center" vertical="center" wrapText="1"/>
    </xf>
    <xf numFmtId="3" fontId="1" fillId="6" borderId="28" xfId="0" applyNumberFormat="1" applyFont="1" applyFill="1" applyBorder="1"/>
    <xf numFmtId="4" fontId="1" fillId="10" borderId="38" xfId="0" applyNumberFormat="1" applyFont="1" applyFill="1" applyBorder="1"/>
    <xf numFmtId="0" fontId="6" fillId="0" borderId="0" xfId="0" applyFont="1"/>
    <xf numFmtId="3" fontId="6" fillId="5" borderId="55" xfId="0" applyNumberFormat="1" applyFont="1" applyFill="1" applyBorder="1"/>
    <xf numFmtId="3" fontId="6" fillId="6" borderId="56" xfId="0" applyNumberFormat="1" applyFont="1" applyFill="1" applyBorder="1"/>
    <xf numFmtId="3" fontId="6" fillId="10" borderId="65" xfId="0" applyNumberFormat="1" applyFont="1" applyFill="1" applyBorder="1"/>
    <xf numFmtId="3" fontId="6" fillId="6" borderId="55" xfId="0" applyNumberFormat="1" applyFont="1" applyFill="1" applyBorder="1"/>
    <xf numFmtId="0" fontId="6" fillId="5" borderId="69" xfId="0" applyFont="1" applyFill="1" applyBorder="1" applyAlignment="1">
      <alignment horizontal="center" vertical="center" wrapText="1"/>
    </xf>
    <xf numFmtId="0" fontId="6" fillId="6" borderId="70" xfId="0" applyFont="1" applyFill="1" applyBorder="1" applyAlignment="1">
      <alignment horizontal="center" vertical="center" wrapText="1"/>
    </xf>
    <xf numFmtId="0" fontId="6" fillId="5" borderId="71" xfId="0" applyFont="1" applyFill="1" applyBorder="1" applyAlignment="1">
      <alignment horizontal="center" vertical="center" wrapText="1"/>
    </xf>
    <xf numFmtId="0" fontId="6" fillId="6" borderId="72" xfId="0" applyFont="1" applyFill="1" applyBorder="1" applyAlignment="1">
      <alignment horizontal="center" vertical="center" wrapText="1"/>
    </xf>
    <xf numFmtId="0" fontId="6" fillId="6" borderId="73" xfId="0" applyFont="1" applyFill="1" applyBorder="1" applyAlignment="1">
      <alignment horizontal="center" vertical="center" wrapText="1"/>
    </xf>
    <xf numFmtId="0" fontId="6" fillId="5" borderId="74" xfId="0" applyFont="1" applyFill="1" applyBorder="1" applyAlignment="1">
      <alignment horizontal="center" vertical="center" wrapText="1"/>
    </xf>
    <xf numFmtId="0" fontId="6" fillId="6" borderId="75" xfId="0" applyFont="1" applyFill="1" applyBorder="1" applyAlignment="1">
      <alignment horizontal="center" vertical="center" wrapText="1"/>
    </xf>
    <xf numFmtId="0" fontId="1" fillId="0" borderId="76" xfId="0" applyFont="1" applyBorder="1" applyAlignment="1">
      <alignment horizontal="center" vertical="center"/>
    </xf>
    <xf numFmtId="0" fontId="1" fillId="0" borderId="77" xfId="0" applyFont="1" applyBorder="1"/>
    <xf numFmtId="164" fontId="1" fillId="10" borderId="22" xfId="0" applyNumberFormat="1" applyFont="1" applyFill="1" applyBorder="1"/>
    <xf numFmtId="164" fontId="1" fillId="10" borderId="78" xfId="0" applyNumberFormat="1" applyFont="1" applyFill="1" applyBorder="1"/>
    <xf numFmtId="164" fontId="1" fillId="10" borderId="24" xfId="0" applyNumberFormat="1" applyFont="1" applyFill="1" applyBorder="1"/>
    <xf numFmtId="0" fontId="1" fillId="0" borderId="19" xfId="0" applyFont="1" applyBorder="1"/>
    <xf numFmtId="3" fontId="1" fillId="10" borderId="22" xfId="0" applyNumberFormat="1" applyFont="1" applyFill="1" applyBorder="1"/>
    <xf numFmtId="3" fontId="1" fillId="10" borderId="23" xfId="0" applyNumberFormat="1" applyFont="1" applyFill="1" applyBorder="1"/>
    <xf numFmtId="164" fontId="1" fillId="10" borderId="23" xfId="0" applyNumberFormat="1" applyFont="1" applyFill="1" applyBorder="1"/>
    <xf numFmtId="3" fontId="1" fillId="10" borderId="78" xfId="0" applyNumberFormat="1" applyFont="1" applyFill="1" applyBorder="1"/>
    <xf numFmtId="3" fontId="1" fillId="10" borderId="24" xfId="0" applyNumberFormat="1" applyFont="1" applyFill="1" applyBorder="1"/>
    <xf numFmtId="0" fontId="1" fillId="0" borderId="79" xfId="0" applyFont="1" applyBorder="1" applyAlignment="1">
      <alignment horizontal="center" vertical="center"/>
    </xf>
    <xf numFmtId="164" fontId="1" fillId="10" borderId="25" xfId="0" applyNumberFormat="1" applyFont="1" applyFill="1" applyBorder="1"/>
    <xf numFmtId="164" fontId="1" fillId="10" borderId="20" xfId="0" applyNumberFormat="1" applyFont="1" applyFill="1" applyBorder="1"/>
    <xf numFmtId="164" fontId="1" fillId="10" borderId="26" xfId="0" applyNumberFormat="1" applyFont="1" applyFill="1" applyBorder="1"/>
    <xf numFmtId="0" fontId="1" fillId="0" borderId="79" xfId="0" applyFont="1" applyBorder="1"/>
    <xf numFmtId="3" fontId="1" fillId="10" borderId="25" xfId="0" applyNumberFormat="1" applyFont="1" applyFill="1" applyBorder="1"/>
    <xf numFmtId="3" fontId="1" fillId="10" borderId="11" xfId="0" applyNumberFormat="1" applyFont="1" applyFill="1" applyBorder="1"/>
    <xf numFmtId="164" fontId="1" fillId="10" borderId="11" xfId="0" applyNumberFormat="1" applyFont="1" applyFill="1" applyBorder="1"/>
    <xf numFmtId="3" fontId="1" fillId="10" borderId="20" xfId="0" applyNumberFormat="1" applyFont="1" applyFill="1" applyBorder="1"/>
    <xf numFmtId="3" fontId="1" fillId="10" borderId="26" xfId="0" applyNumberFormat="1" applyFont="1" applyFill="1" applyBorder="1"/>
    <xf numFmtId="164" fontId="6" fillId="5" borderId="63" xfId="0" applyNumberFormat="1" applyFont="1" applyFill="1" applyBorder="1" applyAlignment="1">
      <alignment horizontal="center" vertical="center" wrapText="1"/>
    </xf>
    <xf numFmtId="164" fontId="6" fillId="6" borderId="62" xfId="0" applyNumberFormat="1" applyFont="1" applyFill="1" applyBorder="1" applyAlignment="1">
      <alignment horizontal="center" vertical="center" wrapText="1"/>
    </xf>
    <xf numFmtId="164" fontId="6" fillId="6" borderId="64" xfId="0" applyNumberFormat="1" applyFont="1" applyFill="1" applyBorder="1" applyAlignment="1">
      <alignment horizontal="center" vertical="center" wrapText="1"/>
    </xf>
    <xf numFmtId="164" fontId="6" fillId="6" borderId="61" xfId="0" applyNumberFormat="1" applyFont="1" applyFill="1" applyBorder="1" applyAlignment="1">
      <alignment horizontal="center" vertical="center" wrapText="1"/>
    </xf>
    <xf numFmtId="164" fontId="6" fillId="5" borderId="55" xfId="0" applyNumberFormat="1" applyFont="1" applyFill="1" applyBorder="1" applyAlignment="1">
      <alignment horizontal="center" vertical="center" wrapText="1"/>
    </xf>
    <xf numFmtId="164" fontId="6" fillId="6" borderId="58" xfId="0" applyNumberFormat="1" applyFont="1" applyFill="1" applyBorder="1" applyAlignment="1">
      <alignment horizontal="center" vertical="center" wrapText="1"/>
    </xf>
    <xf numFmtId="164" fontId="6" fillId="6" borderId="56" xfId="0" applyNumberFormat="1" applyFont="1" applyFill="1" applyBorder="1" applyAlignment="1">
      <alignment horizontal="center" vertical="center" wrapText="1"/>
    </xf>
    <xf numFmtId="0" fontId="1" fillId="0" borderId="0" xfId="0" applyFont="1" applyAlignment="1">
      <alignment horizontal="left" vertical="top"/>
    </xf>
    <xf numFmtId="0" fontId="22" fillId="13" borderId="11" xfId="0" applyFont="1" applyFill="1" applyBorder="1" applyAlignment="1">
      <alignment horizontal="center" vertical="center" wrapText="1"/>
    </xf>
    <xf numFmtId="3" fontId="1" fillId="0" borderId="11" xfId="0" applyNumberFormat="1" applyFont="1" applyBorder="1"/>
    <xf numFmtId="164" fontId="6" fillId="5" borderId="11" xfId="0" applyNumberFormat="1" applyFont="1" applyFill="1" applyBorder="1" applyAlignment="1">
      <alignment horizontal="center" vertical="center" wrapText="1"/>
    </xf>
    <xf numFmtId="164" fontId="6" fillId="6" borderId="11" xfId="0" applyNumberFormat="1" applyFont="1" applyFill="1" applyBorder="1" applyAlignment="1">
      <alignment horizontal="center" vertical="center" wrapText="1"/>
    </xf>
    <xf numFmtId="164" fontId="1" fillId="0" borderId="0" xfId="0" applyNumberFormat="1" applyFont="1"/>
    <xf numFmtId="9" fontId="1" fillId="0" borderId="0" xfId="0" applyNumberFormat="1" applyFont="1"/>
    <xf numFmtId="0" fontId="24" fillId="0" borderId="0" xfId="0" applyFont="1"/>
    <xf numFmtId="0" fontId="25" fillId="18" borderId="11" xfId="0" applyFont="1" applyFill="1" applyBorder="1"/>
    <xf numFmtId="0" fontId="24" fillId="0" borderId="80" xfId="0" applyFont="1" applyBorder="1"/>
    <xf numFmtId="167" fontId="24" fillId="0" borderId="80" xfId="0" applyNumberFormat="1" applyFont="1" applyBorder="1"/>
    <xf numFmtId="0" fontId="24" fillId="0" borderId="11" xfId="0" applyFont="1" applyBorder="1"/>
    <xf numFmtId="167" fontId="24" fillId="0" borderId="11" xfId="0" applyNumberFormat="1" applyFont="1" applyBorder="1"/>
    <xf numFmtId="0" fontId="26" fillId="16" borderId="20" xfId="0" applyFont="1" applyFill="1" applyBorder="1" applyAlignment="1">
      <alignment horizontal="right"/>
    </xf>
    <xf numFmtId="168" fontId="24" fillId="0" borderId="39" xfId="0" applyNumberFormat="1" applyFont="1" applyBorder="1"/>
    <xf numFmtId="0" fontId="26" fillId="0" borderId="0" xfId="0" applyFont="1"/>
    <xf numFmtId="0" fontId="25" fillId="18" borderId="11" xfId="0" applyFont="1" applyFill="1" applyBorder="1" applyAlignment="1">
      <alignment vertical="center" wrapText="1"/>
    </xf>
    <xf numFmtId="0" fontId="24" fillId="0" borderId="11" xfId="0" applyFont="1" applyBorder="1" applyAlignment="1">
      <alignment horizontal="right"/>
    </xf>
    <xf numFmtId="0" fontId="24" fillId="0" borderId="11" xfId="0" applyFont="1" applyBorder="1" applyAlignment="1">
      <alignment vertical="center" wrapText="1"/>
    </xf>
    <xf numFmtId="10" fontId="24" fillId="0" borderId="39" xfId="0" applyNumberFormat="1" applyFont="1" applyBorder="1"/>
    <xf numFmtId="167" fontId="26" fillId="0" borderId="80" xfId="0" applyNumberFormat="1" applyFont="1" applyBorder="1"/>
    <xf numFmtId="167" fontId="26" fillId="0" borderId="11" xfId="0" applyNumberFormat="1" applyFont="1" applyBorder="1"/>
    <xf numFmtId="0" fontId="26" fillId="16" borderId="11" xfId="0" applyFont="1" applyFill="1" applyBorder="1" applyAlignment="1">
      <alignment horizontal="left"/>
    </xf>
    <xf numFmtId="0" fontId="6" fillId="19" borderId="65" xfId="0" applyFont="1" applyFill="1" applyBorder="1" applyAlignment="1">
      <alignment horizontal="center"/>
    </xf>
    <xf numFmtId="164" fontId="26" fillId="0" borderId="0" xfId="0" applyNumberFormat="1" applyFont="1"/>
    <xf numFmtId="10" fontId="24" fillId="19" borderId="39" xfId="0" applyNumberFormat="1" applyFont="1" applyFill="1" applyBorder="1"/>
    <xf numFmtId="3" fontId="26" fillId="0" borderId="0" xfId="0" applyNumberFormat="1" applyFont="1"/>
    <xf numFmtId="9" fontId="24" fillId="0" borderId="0" xfId="0" applyNumberFormat="1" applyFont="1"/>
    <xf numFmtId="169" fontId="1" fillId="0" borderId="11" xfId="0" applyNumberFormat="1" applyFont="1" applyBorder="1"/>
    <xf numFmtId="0" fontId="6" fillId="16" borderId="11" xfId="0" applyFont="1" applyFill="1" applyBorder="1" applyAlignment="1">
      <alignment horizontal="center" vertical="center" wrapText="1"/>
    </xf>
    <xf numFmtId="0" fontId="1" fillId="0" borderId="11" xfId="0" applyFont="1" applyBorder="1"/>
    <xf numFmtId="170" fontId="1" fillId="0" borderId="0" xfId="0" applyNumberFormat="1" applyFont="1"/>
    <xf numFmtId="0" fontId="20" fillId="0" borderId="11" xfId="0" applyFont="1" applyBorder="1" applyAlignment="1">
      <alignment horizontal="left" vertical="center" wrapText="1"/>
    </xf>
    <xf numFmtId="3" fontId="1" fillId="9" borderId="11" xfId="0" applyNumberFormat="1" applyFont="1" applyFill="1" applyBorder="1"/>
    <xf numFmtId="3" fontId="6" fillId="11" borderId="11" xfId="0" applyNumberFormat="1" applyFont="1" applyFill="1" applyBorder="1"/>
    <xf numFmtId="0" fontId="27" fillId="20" borderId="11" xfId="0" applyFont="1" applyFill="1" applyBorder="1" applyAlignment="1">
      <alignment vertical="center" wrapText="1"/>
    </xf>
    <xf numFmtId="0" fontId="28" fillId="13" borderId="11" xfId="0" applyFont="1" applyFill="1" applyBorder="1" applyAlignment="1">
      <alignment vertical="center" wrapText="1"/>
    </xf>
    <xf numFmtId="0" fontId="29" fillId="13" borderId="11" xfId="0" applyFont="1" applyFill="1" applyBorder="1" applyAlignment="1">
      <alignment vertical="center" wrapText="1"/>
    </xf>
    <xf numFmtId="0" fontId="30" fillId="0" borderId="0" xfId="0" applyFont="1" applyAlignment="1">
      <alignment vertical="center"/>
    </xf>
    <xf numFmtId="0" fontId="1" fillId="0" borderId="81" xfId="0" applyFont="1" applyBorder="1" applyAlignment="1">
      <alignment horizontal="center" vertical="center"/>
    </xf>
    <xf numFmtId="0" fontId="1" fillId="9" borderId="11" xfId="0" applyFont="1" applyFill="1" applyBorder="1" applyAlignment="1">
      <alignment horizontal="center" vertical="center" wrapText="1"/>
    </xf>
    <xf numFmtId="0" fontId="1" fillId="9" borderId="11" xfId="0" applyFont="1" applyFill="1" applyBorder="1" applyAlignment="1">
      <alignment horizontal="center" vertical="center"/>
    </xf>
    <xf numFmtId="0" fontId="17" fillId="9" borderId="11" xfId="0" applyFont="1" applyFill="1" applyBorder="1" applyAlignment="1">
      <alignment horizontal="center" vertical="center"/>
    </xf>
    <xf numFmtId="0" fontId="17" fillId="9" borderId="11" xfId="0" applyFont="1" applyFill="1" applyBorder="1" applyAlignment="1">
      <alignment horizontal="center" vertical="center" wrapText="1"/>
    </xf>
    <xf numFmtId="0" fontId="31" fillId="9" borderId="11" xfId="0" applyFont="1" applyFill="1" applyBorder="1" applyAlignment="1">
      <alignment horizontal="center" vertical="center"/>
    </xf>
    <xf numFmtId="0" fontId="1" fillId="5" borderId="11" xfId="0" applyFont="1" applyFill="1" applyBorder="1"/>
    <xf numFmtId="3" fontId="1" fillId="5" borderId="11" xfId="0" applyNumberFormat="1" applyFont="1" applyFill="1" applyBorder="1"/>
    <xf numFmtId="164" fontId="1" fillId="5" borderId="11" xfId="0" applyNumberFormat="1" applyFont="1" applyFill="1" applyBorder="1"/>
    <xf numFmtId="9" fontId="1" fillId="5" borderId="11" xfId="0" applyNumberFormat="1" applyFont="1" applyFill="1" applyBorder="1"/>
    <xf numFmtId="0" fontId="1" fillId="6" borderId="11" xfId="0" applyFont="1" applyFill="1" applyBorder="1"/>
    <xf numFmtId="164" fontId="1" fillId="6" borderId="11" xfId="0" applyNumberFormat="1" applyFont="1" applyFill="1" applyBorder="1"/>
    <xf numFmtId="9" fontId="1" fillId="6" borderId="11" xfId="0" applyNumberFormat="1" applyFont="1" applyFill="1" applyBorder="1"/>
    <xf numFmtId="165" fontId="1" fillId="5" borderId="11" xfId="0" applyNumberFormat="1" applyFont="1" applyFill="1" applyBorder="1"/>
    <xf numFmtId="4" fontId="1" fillId="5" borderId="11" xfId="0" applyNumberFormat="1" applyFont="1" applyFill="1" applyBorder="1"/>
    <xf numFmtId="165" fontId="1" fillId="6" borderId="11" xfId="0" applyNumberFormat="1" applyFont="1" applyFill="1" applyBorder="1"/>
    <xf numFmtId="0" fontId="20" fillId="4" borderId="39" xfId="0" applyFont="1" applyFill="1" applyBorder="1"/>
    <xf numFmtId="170" fontId="6" fillId="0" borderId="39" xfId="0" applyNumberFormat="1" applyFont="1" applyBorder="1"/>
    <xf numFmtId="3" fontId="6" fillId="5" borderId="11" xfId="0" applyNumberFormat="1" applyFont="1" applyFill="1" applyBorder="1" applyAlignment="1">
      <alignment horizontal="center" vertical="center" wrapText="1"/>
    </xf>
    <xf numFmtId="171" fontId="1" fillId="0" borderId="11" xfId="0" applyNumberFormat="1" applyFont="1" applyBorder="1"/>
    <xf numFmtId="0" fontId="1" fillId="0" borderId="48" xfId="0" applyFont="1" applyBorder="1"/>
    <xf numFmtId="164" fontId="1" fillId="0" borderId="11" xfId="0" applyNumberFormat="1" applyFont="1" applyBorder="1"/>
    <xf numFmtId="169" fontId="1" fillId="8" borderId="11" xfId="0" applyNumberFormat="1" applyFont="1" applyFill="1" applyBorder="1"/>
    <xf numFmtId="10" fontId="33" fillId="0" borderId="11" xfId="0" applyNumberFormat="1" applyFont="1" applyBorder="1"/>
    <xf numFmtId="0" fontId="33" fillId="0" borderId="0" xfId="0" applyFont="1"/>
    <xf numFmtId="169" fontId="33" fillId="0" borderId="11" xfId="0" applyNumberFormat="1" applyFont="1" applyBorder="1"/>
    <xf numFmtId="171" fontId="6" fillId="24" borderId="11" xfId="0" applyNumberFormat="1" applyFont="1" applyFill="1" applyBorder="1"/>
    <xf numFmtId="0" fontId="6" fillId="25" borderId="11" xfId="0" applyFont="1" applyFill="1" applyBorder="1" applyAlignment="1">
      <alignment horizontal="center" vertical="center"/>
    </xf>
    <xf numFmtId="3" fontId="34" fillId="22" borderId="11" xfId="0" applyNumberFormat="1" applyFont="1" applyFill="1" applyBorder="1" applyAlignment="1">
      <alignment horizontal="center" vertical="center" wrapText="1"/>
    </xf>
    <xf numFmtId="0" fontId="1" fillId="26" borderId="11" xfId="0" applyFont="1" applyFill="1" applyBorder="1" applyAlignment="1">
      <alignment horizontal="center"/>
    </xf>
    <xf numFmtId="3" fontId="1" fillId="26" borderId="11" xfId="0" applyNumberFormat="1" applyFont="1" applyFill="1" applyBorder="1" applyAlignment="1">
      <alignment horizontal="center"/>
    </xf>
    <xf numFmtId="172" fontId="1" fillId="26" borderId="11" xfId="0" applyNumberFormat="1" applyFont="1" applyFill="1" applyBorder="1" applyAlignment="1">
      <alignment horizontal="center"/>
    </xf>
    <xf numFmtId="3" fontId="35" fillId="22" borderId="11" xfId="0" applyNumberFormat="1" applyFont="1" applyFill="1" applyBorder="1" applyAlignment="1">
      <alignment horizontal="center" vertical="center"/>
    </xf>
    <xf numFmtId="3" fontId="1" fillId="24" borderId="11" xfId="0" applyNumberFormat="1" applyFont="1" applyFill="1" applyBorder="1"/>
    <xf numFmtId="10" fontId="34" fillId="0" borderId="11" xfId="0" applyNumberFormat="1" applyFont="1" applyBorder="1"/>
    <xf numFmtId="3" fontId="34" fillId="0" borderId="11" xfId="0" applyNumberFormat="1" applyFont="1" applyBorder="1"/>
    <xf numFmtId="10" fontId="1" fillId="0" borderId="0" xfId="0" applyNumberFormat="1" applyFont="1"/>
    <xf numFmtId="170" fontId="1" fillId="0" borderId="11" xfId="0" applyNumberFormat="1" applyFont="1" applyBorder="1"/>
    <xf numFmtId="0" fontId="33" fillId="22" borderId="16" xfId="0" applyFont="1" applyFill="1" applyBorder="1" applyAlignment="1">
      <alignment horizontal="center" vertical="center" wrapText="1"/>
    </xf>
    <xf numFmtId="9" fontId="33" fillId="0" borderId="38" xfId="0" applyNumberFormat="1" applyFont="1" applyBorder="1"/>
    <xf numFmtId="0" fontId="36" fillId="12" borderId="39" xfId="0" applyFont="1" applyFill="1" applyBorder="1" applyAlignment="1">
      <alignment horizontal="center" vertical="center" wrapText="1"/>
    </xf>
    <xf numFmtId="0" fontId="22" fillId="15" borderId="11" xfId="0" applyFont="1" applyFill="1" applyBorder="1" applyAlignment="1">
      <alignment horizontal="center" vertical="center" wrapText="1"/>
    </xf>
    <xf numFmtId="0" fontId="6" fillId="10" borderId="11" xfId="0" applyFont="1" applyFill="1" applyBorder="1" applyAlignment="1">
      <alignment horizontal="center" vertical="center" wrapText="1"/>
    </xf>
    <xf numFmtId="0" fontId="18" fillId="15" borderId="11" xfId="0" applyFont="1" applyFill="1" applyBorder="1" applyAlignment="1">
      <alignment horizontal="center" vertical="center" wrapText="1"/>
    </xf>
    <xf numFmtId="0" fontId="37" fillId="8" borderId="11" xfId="0" applyFont="1" applyFill="1" applyBorder="1" applyAlignment="1">
      <alignment horizontal="center" vertical="center" wrapText="1"/>
    </xf>
    <xf numFmtId="9" fontId="6" fillId="0" borderId="11" xfId="0" applyNumberFormat="1" applyFont="1" applyBorder="1"/>
    <xf numFmtId="9" fontId="1" fillId="0" borderId="10" xfId="0" applyNumberFormat="1" applyFont="1" applyBorder="1"/>
    <xf numFmtId="169" fontId="1" fillId="0" borderId="0" xfId="0" applyNumberFormat="1" applyFont="1"/>
    <xf numFmtId="9" fontId="1" fillId="9" borderId="11" xfId="0" applyNumberFormat="1" applyFont="1" applyFill="1" applyBorder="1"/>
    <xf numFmtId="0" fontId="1" fillId="3" borderId="65" xfId="0" applyFont="1" applyFill="1" applyBorder="1"/>
    <xf numFmtId="0" fontId="16" fillId="0" borderId="0" xfId="0" applyFont="1" applyAlignment="1">
      <alignment vertical="top"/>
    </xf>
    <xf numFmtId="0" fontId="6" fillId="9" borderId="55" xfId="0" applyFont="1" applyFill="1" applyBorder="1" applyAlignment="1">
      <alignment horizontal="center" vertical="center"/>
    </xf>
    <xf numFmtId="0" fontId="6" fillId="9" borderId="56" xfId="0" applyFont="1" applyFill="1" applyBorder="1" applyAlignment="1">
      <alignment horizontal="center" vertical="center"/>
    </xf>
    <xf numFmtId="0" fontId="39" fillId="0" borderId="0" xfId="0" applyFont="1"/>
    <xf numFmtId="0" fontId="31" fillId="10" borderId="11" xfId="0" applyFont="1" applyFill="1" applyBorder="1" applyAlignment="1">
      <alignment horizontal="center" vertical="center"/>
    </xf>
    <xf numFmtId="0" fontId="1" fillId="10" borderId="11" xfId="0" applyFont="1" applyFill="1" applyBorder="1" applyAlignment="1">
      <alignment horizontal="center" vertical="center"/>
    </xf>
    <xf numFmtId="0" fontId="1" fillId="10" borderId="11" xfId="0" applyFont="1" applyFill="1" applyBorder="1" applyAlignment="1">
      <alignment horizontal="center" vertical="center" wrapText="1"/>
    </xf>
    <xf numFmtId="0" fontId="13" fillId="10" borderId="11" xfId="0" quotePrefix="1" applyFont="1" applyFill="1" applyBorder="1" applyAlignment="1">
      <alignment horizontal="center" vertical="center" wrapText="1"/>
    </xf>
    <xf numFmtId="4" fontId="1" fillId="10" borderId="11" xfId="0" applyNumberFormat="1" applyFont="1" applyFill="1" applyBorder="1" applyAlignment="1">
      <alignment horizontal="center" vertical="center"/>
    </xf>
    <xf numFmtId="0" fontId="13" fillId="10" borderId="11" xfId="0" applyFont="1" applyFill="1" applyBorder="1" applyAlignment="1">
      <alignment horizontal="center" vertical="center" wrapText="1"/>
    </xf>
    <xf numFmtId="2" fontId="1" fillId="0" borderId="0" xfId="0" applyNumberFormat="1" applyFont="1"/>
    <xf numFmtId="0" fontId="41" fillId="0" borderId="0" xfId="0" applyFont="1"/>
    <xf numFmtId="0" fontId="6" fillId="13" borderId="55" xfId="0" applyFont="1" applyFill="1" applyBorder="1" applyAlignment="1">
      <alignment horizontal="center" vertical="center"/>
    </xf>
    <xf numFmtId="0" fontId="6" fillId="8" borderId="55" xfId="0" applyFont="1" applyFill="1" applyBorder="1" applyAlignment="1">
      <alignment horizontal="center" vertical="center"/>
    </xf>
    <xf numFmtId="0" fontId="6" fillId="15" borderId="55" xfId="0" applyFont="1" applyFill="1" applyBorder="1" applyAlignment="1">
      <alignment horizontal="center" vertical="center"/>
    </xf>
    <xf numFmtId="0" fontId="6" fillId="8" borderId="39" xfId="0" applyFont="1" applyFill="1" applyBorder="1" applyAlignment="1">
      <alignment horizontal="center" vertical="center"/>
    </xf>
    <xf numFmtId="0" fontId="1" fillId="5" borderId="16" xfId="0" applyFont="1" applyFill="1" applyBorder="1"/>
    <xf numFmtId="2" fontId="1" fillId="0" borderId="16" xfId="0" applyNumberFormat="1" applyFont="1" applyBorder="1"/>
    <xf numFmtId="9" fontId="1" fillId="0" borderId="16" xfId="0" applyNumberFormat="1" applyFont="1" applyBorder="1"/>
    <xf numFmtId="2" fontId="1" fillId="9" borderId="16" xfId="0" applyNumberFormat="1" applyFont="1" applyFill="1" applyBorder="1"/>
    <xf numFmtId="0" fontId="1" fillId="6" borderId="19" xfId="0" applyFont="1" applyFill="1" applyBorder="1"/>
    <xf numFmtId="2" fontId="1" fillId="0" borderId="19" xfId="0" applyNumberFormat="1" applyFont="1" applyBorder="1"/>
    <xf numFmtId="9" fontId="1" fillId="0" borderId="19" xfId="0" applyNumberFormat="1" applyFont="1" applyBorder="1"/>
    <xf numFmtId="2" fontId="1" fillId="9" borderId="19" xfId="0" applyNumberFormat="1" applyFont="1" applyFill="1" applyBorder="1"/>
    <xf numFmtId="0" fontId="1" fillId="0" borderId="0" xfId="0" applyFont="1" applyAlignment="1">
      <alignment horizontal="center"/>
    </xf>
    <xf numFmtId="0" fontId="1" fillId="5" borderId="91" xfId="0" applyFont="1" applyFill="1" applyBorder="1"/>
    <xf numFmtId="0" fontId="6" fillId="13" borderId="92" xfId="0" applyFont="1" applyFill="1" applyBorder="1" applyAlignment="1">
      <alignment horizontal="center" vertical="center"/>
    </xf>
    <xf numFmtId="0" fontId="6" fillId="13" borderId="93" xfId="0" applyFont="1" applyFill="1" applyBorder="1" applyAlignment="1">
      <alignment horizontal="center" vertical="center"/>
    </xf>
    <xf numFmtId="0" fontId="6" fillId="30" borderId="92" xfId="0" applyFont="1" applyFill="1" applyBorder="1" applyAlignment="1">
      <alignment horizontal="center" vertical="center"/>
    </xf>
    <xf numFmtId="0" fontId="6" fillId="30" borderId="94" xfId="0" applyFont="1" applyFill="1" applyBorder="1" applyAlignment="1">
      <alignment horizontal="center" vertical="center"/>
    </xf>
    <xf numFmtId="0" fontId="6" fillId="30" borderId="93" xfId="0" applyFont="1" applyFill="1" applyBorder="1" applyAlignment="1">
      <alignment horizontal="center" vertical="center"/>
    </xf>
    <xf numFmtId="0" fontId="1" fillId="0" borderId="92" xfId="0" applyFont="1" applyBorder="1"/>
    <xf numFmtId="9" fontId="1" fillId="10" borderId="93" xfId="0" applyNumberFormat="1" applyFont="1" applyFill="1" applyBorder="1"/>
    <xf numFmtId="0" fontId="1" fillId="10" borderId="92" xfId="0" applyFont="1" applyFill="1" applyBorder="1"/>
    <xf numFmtId="0" fontId="1" fillId="10" borderId="94" xfId="0" applyFont="1" applyFill="1" applyBorder="1"/>
    <xf numFmtId="0" fontId="1" fillId="10" borderId="93" xfId="0" applyFont="1" applyFill="1" applyBorder="1"/>
    <xf numFmtId="0" fontId="1" fillId="0" borderId="0" xfId="0" applyFont="1" applyAlignment="1">
      <alignment vertical="center"/>
    </xf>
    <xf numFmtId="0" fontId="1" fillId="8" borderId="39" xfId="0" applyFont="1" applyFill="1" applyBorder="1" applyAlignment="1">
      <alignment horizontal="center" vertical="center"/>
    </xf>
    <xf numFmtId="2" fontId="1" fillId="10" borderId="16" xfId="0" applyNumberFormat="1" applyFont="1" applyFill="1" applyBorder="1"/>
    <xf numFmtId="0" fontId="21" fillId="0" borderId="79" xfId="0" applyFont="1" applyBorder="1"/>
    <xf numFmtId="2" fontId="1" fillId="10" borderId="19" xfId="0" applyNumberFormat="1" applyFont="1" applyFill="1" applyBorder="1"/>
    <xf numFmtId="0" fontId="21" fillId="0" borderId="51" xfId="0" applyFont="1" applyBorder="1"/>
    <xf numFmtId="2" fontId="1" fillId="10" borderId="95" xfId="0" applyNumberFormat="1" applyFont="1" applyFill="1" applyBorder="1"/>
    <xf numFmtId="0" fontId="6" fillId="13" borderId="39" xfId="0" applyFont="1" applyFill="1" applyBorder="1"/>
    <xf numFmtId="2" fontId="6" fillId="0" borderId="39" xfId="0" applyNumberFormat="1" applyFont="1" applyBorder="1"/>
    <xf numFmtId="0" fontId="74" fillId="19" borderId="11" xfId="0" applyFont="1" applyFill="1" applyBorder="1" applyAlignment="1">
      <alignment horizontal="center" wrapText="1"/>
    </xf>
    <xf numFmtId="169" fontId="73" fillId="0" borderId="11" xfId="0" applyNumberFormat="1" applyFont="1" applyBorder="1"/>
    <xf numFmtId="0" fontId="74" fillId="31" borderId="11" xfId="0" applyFont="1" applyFill="1" applyBorder="1" applyAlignment="1">
      <alignment horizontal="center" wrapText="1"/>
    </xf>
    <xf numFmtId="0" fontId="68" fillId="0" borderId="96" xfId="0" applyFont="1" applyBorder="1"/>
    <xf numFmtId="0" fontId="75" fillId="0" borderId="39" xfId="0" applyFont="1" applyBorder="1" applyAlignment="1">
      <alignment horizontal="center" vertical="center" wrapText="1"/>
    </xf>
    <xf numFmtId="0" fontId="73" fillId="0" borderId="80" xfId="0" applyFont="1" applyBorder="1" applyAlignment="1">
      <alignment wrapText="1"/>
    </xf>
    <xf numFmtId="0" fontId="74" fillId="16" borderId="11" xfId="0" applyFont="1" applyFill="1" applyBorder="1" applyAlignment="1">
      <alignment horizontal="center" vertical="center" wrapText="1"/>
    </xf>
    <xf numFmtId="169" fontId="73" fillId="9" borderId="11" xfId="0" applyNumberFormat="1" applyFont="1" applyFill="1" applyBorder="1"/>
    <xf numFmtId="169" fontId="74" fillId="11" borderId="11" xfId="0" applyNumberFormat="1" applyFont="1" applyFill="1" applyBorder="1"/>
    <xf numFmtId="0" fontId="78" fillId="13" borderId="11" xfId="0" applyFont="1" applyFill="1" applyBorder="1" applyAlignment="1">
      <alignment horizontal="center" vertical="center" wrapText="1"/>
    </xf>
    <xf numFmtId="0" fontId="73" fillId="0" borderId="11" xfId="0" applyFont="1" applyBorder="1"/>
    <xf numFmtId="0" fontId="75" fillId="0" borderId="11" xfId="0" applyFont="1" applyBorder="1" applyAlignment="1">
      <alignment horizontal="center" vertical="center" wrapText="1"/>
    </xf>
    <xf numFmtId="0" fontId="75" fillId="8" borderId="11" xfId="0" applyFont="1" applyFill="1" applyBorder="1" applyAlignment="1">
      <alignment horizontal="center" vertical="center" wrapText="1"/>
    </xf>
    <xf numFmtId="0" fontId="75" fillId="0" borderId="11" xfId="0" applyFont="1" applyBorder="1" applyAlignment="1">
      <alignment horizontal="left" vertical="center" wrapText="1"/>
    </xf>
    <xf numFmtId="0" fontId="73" fillId="0" borderId="11" xfId="0" applyFont="1" applyBorder="1" applyAlignment="1">
      <alignment wrapText="1"/>
    </xf>
    <xf numFmtId="1" fontId="73" fillId="0" borderId="11" xfId="0" applyNumberFormat="1" applyFont="1" applyBorder="1"/>
    <xf numFmtId="3" fontId="73" fillId="9" borderId="11" xfId="0" applyNumberFormat="1" applyFont="1" applyFill="1" applyBorder="1"/>
    <xf numFmtId="3" fontId="74" fillId="11" borderId="11" xfId="0" applyNumberFormat="1" applyFont="1" applyFill="1" applyBorder="1"/>
    <xf numFmtId="0" fontId="71" fillId="12" borderId="39" xfId="0" applyFont="1" applyFill="1" applyBorder="1" applyAlignment="1">
      <alignment horizontal="center" vertical="center" wrapText="1"/>
    </xf>
    <xf numFmtId="0" fontId="71" fillId="12" borderId="39" xfId="0" applyFont="1" applyFill="1" applyBorder="1" applyAlignment="1">
      <alignment horizontal="center" vertical="center"/>
    </xf>
    <xf numFmtId="0" fontId="68" fillId="0" borderId="0" xfId="0" applyFont="1"/>
    <xf numFmtId="0" fontId="73" fillId="0" borderId="0" xfId="0" applyFont="1" applyAlignment="1">
      <alignment horizontal="center" vertical="center"/>
    </xf>
    <xf numFmtId="0" fontId="78" fillId="15" borderId="11" xfId="0" applyFont="1" applyFill="1" applyBorder="1" applyAlignment="1">
      <alignment horizontal="center" vertical="center" wrapText="1"/>
    </xf>
    <xf numFmtId="0" fontId="75" fillId="15" borderId="11" xfId="0" applyFont="1" applyFill="1" applyBorder="1" applyAlignment="1">
      <alignment horizontal="center" vertical="center" wrapText="1"/>
    </xf>
    <xf numFmtId="0" fontId="74" fillId="10" borderId="11" xfId="0" applyFont="1" applyFill="1" applyBorder="1" applyAlignment="1">
      <alignment horizontal="center" vertical="center" wrapText="1"/>
    </xf>
    <xf numFmtId="0" fontId="73" fillId="0" borderId="80" xfId="0" applyFont="1" applyBorder="1"/>
    <xf numFmtId="170" fontId="73" fillId="28" borderId="11" xfId="0" applyNumberFormat="1" applyFont="1" applyFill="1" applyBorder="1"/>
    <xf numFmtId="0" fontId="83" fillId="0" borderId="0" xfId="0" applyFont="1"/>
    <xf numFmtId="0" fontId="78" fillId="15" borderId="20" xfId="0" applyFont="1" applyFill="1" applyBorder="1" applyAlignment="1">
      <alignment horizontal="center" vertical="center" wrapText="1"/>
    </xf>
    <xf numFmtId="170" fontId="73" fillId="29" borderId="11" xfId="0" applyNumberFormat="1" applyFont="1" applyFill="1" applyBorder="1"/>
    <xf numFmtId="0" fontId="5" fillId="4" borderId="6" xfId="0" applyFont="1" applyFill="1" applyBorder="1" applyAlignment="1">
      <alignment horizontal="center" vertical="center"/>
    </xf>
    <xf numFmtId="0" fontId="12" fillId="5" borderId="42"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11" borderId="6" xfId="0" applyFont="1" applyFill="1" applyBorder="1" applyAlignment="1">
      <alignment horizontal="center" vertical="center" wrapText="1"/>
    </xf>
    <xf numFmtId="0" fontId="12" fillId="5" borderId="34" xfId="0" applyFont="1" applyFill="1" applyBorder="1" applyAlignment="1">
      <alignment horizontal="center" vertical="center" wrapText="1"/>
    </xf>
    <xf numFmtId="0" fontId="12" fillId="6" borderId="45" xfId="0" applyFont="1" applyFill="1" applyBorder="1" applyAlignment="1">
      <alignment horizontal="center" vertical="center" wrapText="1"/>
    </xf>
    <xf numFmtId="0" fontId="12" fillId="11" borderId="45" xfId="0" applyFont="1" applyFill="1" applyBorder="1" applyAlignment="1">
      <alignment horizontal="center" vertical="center" wrapText="1"/>
    </xf>
    <xf numFmtId="0" fontId="15" fillId="12" borderId="45" xfId="0" applyFont="1" applyFill="1" applyBorder="1" applyAlignment="1">
      <alignment horizontal="left" vertical="center"/>
    </xf>
    <xf numFmtId="0" fontId="20" fillId="0" borderId="51" xfId="0" applyFont="1" applyBorder="1" applyAlignment="1">
      <alignment horizontal="left" vertical="center" wrapText="1"/>
    </xf>
    <xf numFmtId="0" fontId="22" fillId="13" borderId="66" xfId="0" applyFont="1" applyFill="1" applyBorder="1" applyAlignment="1">
      <alignment horizontal="center" vertical="center" wrapText="1"/>
    </xf>
    <xf numFmtId="0" fontId="22" fillId="13" borderId="67" xfId="0" applyFont="1" applyFill="1" applyBorder="1" applyAlignment="1">
      <alignment horizontal="center" vertical="center" wrapText="1"/>
    </xf>
    <xf numFmtId="0" fontId="20" fillId="0" borderId="52" xfId="0" applyFont="1" applyBorder="1" applyAlignment="1">
      <alignment horizontal="left" vertical="center" wrapText="1"/>
    </xf>
    <xf numFmtId="0" fontId="1" fillId="0" borderId="0" xfId="0" applyFont="1" applyAlignment="1">
      <alignment horizontal="left" vertical="center"/>
    </xf>
    <xf numFmtId="0" fontId="1" fillId="0" borderId="45" xfId="0" applyFont="1" applyBorder="1" applyAlignment="1">
      <alignment horizontal="left" vertical="center"/>
    </xf>
    <xf numFmtId="0" fontId="18" fillId="0" borderId="45"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3" xfId="0" applyFont="1" applyBorder="1" applyAlignment="1">
      <alignment horizontal="left" vertical="center" wrapText="1"/>
    </xf>
    <xf numFmtId="0" fontId="23" fillId="12" borderId="45" xfId="0" applyFont="1" applyFill="1" applyBorder="1" applyAlignment="1">
      <alignment horizontal="center" vertical="top"/>
    </xf>
    <xf numFmtId="0" fontId="23" fillId="12" borderId="45" xfId="0" applyFont="1" applyFill="1" applyBorder="1" applyAlignment="1">
      <alignment horizontal="center" vertical="center"/>
    </xf>
    <xf numFmtId="0" fontId="6" fillId="6" borderId="81" xfId="0" applyFont="1" applyFill="1" applyBorder="1" applyAlignment="1">
      <alignment horizontal="center" vertical="center" wrapText="1"/>
    </xf>
    <xf numFmtId="0" fontId="1" fillId="0" borderId="81" xfId="0" applyFont="1" applyBorder="1" applyAlignment="1">
      <alignment horizontal="center" vertical="center"/>
    </xf>
    <xf numFmtId="0" fontId="6" fillId="5" borderId="81" xfId="0" applyFont="1" applyFill="1" applyBorder="1" applyAlignment="1">
      <alignment horizontal="center" vertical="center" wrapText="1"/>
    </xf>
    <xf numFmtId="0" fontId="32" fillId="21" borderId="83" xfId="0" applyFont="1" applyFill="1" applyBorder="1" applyAlignment="1">
      <alignment horizontal="center" vertical="center"/>
    </xf>
    <xf numFmtId="0" fontId="33" fillId="0" borderId="0" xfId="0" applyFont="1" applyAlignment="1">
      <alignment horizontal="center"/>
    </xf>
    <xf numFmtId="0" fontId="1" fillId="23" borderId="81" xfId="0" applyFont="1" applyFill="1" applyBorder="1" applyAlignment="1">
      <alignment horizontal="center" vertical="center" wrapText="1"/>
    </xf>
    <xf numFmtId="0" fontId="71" fillId="27" borderId="45" xfId="0" applyFont="1" applyFill="1" applyBorder="1" applyAlignment="1">
      <alignment horizontal="center" vertical="top"/>
    </xf>
    <xf numFmtId="0" fontId="36" fillId="12" borderId="45" xfId="0" applyFont="1" applyFill="1" applyBorder="1" applyAlignment="1">
      <alignment horizontal="left" vertical="center"/>
    </xf>
    <xf numFmtId="0" fontId="23" fillId="12" borderId="45" xfId="0" applyFont="1" applyFill="1" applyBorder="1" applyAlignment="1">
      <alignment horizontal="left" vertical="center"/>
    </xf>
    <xf numFmtId="0" fontId="38" fillId="12" borderId="45" xfId="0" applyFont="1" applyFill="1" applyBorder="1" applyAlignment="1">
      <alignment horizontal="left" vertical="center"/>
    </xf>
    <xf numFmtId="0" fontId="13" fillId="0" borderId="0" xfId="0" applyFont="1" applyAlignment="1">
      <alignment vertical="center"/>
    </xf>
    <xf numFmtId="0" fontId="16" fillId="12" borderId="45" xfId="0" applyFont="1" applyFill="1" applyBorder="1" applyAlignment="1">
      <alignment horizontal="center" vertical="top"/>
    </xf>
    <xf numFmtId="0" fontId="6" fillId="9" borderId="86" xfId="0" applyFont="1" applyFill="1" applyBorder="1" applyAlignment="1">
      <alignment horizontal="center" vertical="center"/>
    </xf>
    <xf numFmtId="14" fontId="1" fillId="10" borderId="88" xfId="0" quotePrefix="1" applyNumberFormat="1" applyFont="1" applyFill="1" applyBorder="1" applyAlignment="1">
      <alignment horizontal="center" vertical="center"/>
    </xf>
    <xf numFmtId="0" fontId="1" fillId="10" borderId="88" xfId="0" applyFont="1" applyFill="1" applyBorder="1" applyAlignment="1">
      <alignment horizontal="center" vertical="center" wrapText="1"/>
    </xf>
    <xf numFmtId="0" fontId="42" fillId="8" borderId="45" xfId="0" applyFont="1" applyFill="1" applyBorder="1" applyAlignment="1">
      <alignment horizontal="center" vertical="center" wrapText="1"/>
    </xf>
    <xf numFmtId="0" fontId="5" fillId="19" borderId="45" xfId="0" applyFont="1" applyFill="1" applyBorder="1" applyAlignment="1">
      <alignment horizontal="center" vertical="center"/>
    </xf>
    <xf numFmtId="0" fontId="2" fillId="2" borderId="14" xfId="0" applyFont="1" applyFill="1" applyBorder="1" applyAlignment="1">
      <alignment horizontal="center" vertical="center"/>
    </xf>
    <xf numFmtId="0" fontId="3" fillId="0" borderId="15" xfId="0" applyFont="1" applyBorder="1" applyAlignment="1"/>
    <xf numFmtId="0" fontId="3" fillId="0" borderId="67" xfId="0" applyFont="1" applyBorder="1" applyAlignment="1"/>
    <xf numFmtId="0" fontId="3" fillId="0" borderId="1" xfId="0" applyFont="1" applyBorder="1" applyAlignment="1"/>
    <xf numFmtId="0" fontId="0" fillId="0" borderId="0" xfId="0" applyAlignment="1"/>
    <xf numFmtId="0" fontId="3" fillId="0" borderId="2" xfId="0" applyFont="1" applyBorder="1" applyAlignment="1"/>
    <xf numFmtId="0" fontId="3" fillId="0" borderId="3" xfId="0" applyFont="1" applyBorder="1" applyAlignment="1"/>
    <xf numFmtId="0" fontId="3" fillId="0" borderId="4" xfId="0" applyFont="1" applyBorder="1" applyAlignment="1"/>
    <xf numFmtId="0" fontId="3" fillId="0" borderId="68" xfId="0" applyFont="1" applyBorder="1" applyAlignment="1"/>
    <xf numFmtId="0" fontId="4" fillId="3" borderId="5" xfId="0" applyFont="1" applyFill="1" applyBorder="1" applyAlignment="1">
      <alignment horizontal="center" vertical="center"/>
    </xf>
    <xf numFmtId="0" fontId="3" fillId="0" borderId="5" xfId="0" applyFont="1" applyBorder="1" applyAlignment="1"/>
    <xf numFmtId="0" fontId="3" fillId="0" borderId="7" xfId="0" applyFont="1" applyBorder="1" applyAlignment="1"/>
    <xf numFmtId="0" fontId="4" fillId="3" borderId="65" xfId="0" applyFont="1" applyFill="1" applyBorder="1" applyAlignment="1">
      <alignment horizontal="center" vertical="center"/>
    </xf>
    <xf numFmtId="0" fontId="3" fillId="0" borderId="65" xfId="0" applyFont="1" applyBorder="1" applyAlignment="1"/>
    <xf numFmtId="0" fontId="6" fillId="5" borderId="9"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5" fillId="4" borderId="20" xfId="0" applyFont="1" applyFill="1" applyBorder="1" applyAlignment="1">
      <alignment horizontal="center" vertical="center"/>
    </xf>
    <xf numFmtId="0" fontId="3" fillId="0" borderId="10" xfId="0" applyFont="1" applyBorder="1" applyAlignment="1"/>
    <xf numFmtId="0" fontId="8" fillId="0" borderId="37" xfId="0" applyFont="1" applyBorder="1" applyAlignment="1">
      <alignment horizontal="center" vertical="center"/>
    </xf>
    <xf numFmtId="0" fontId="8" fillId="9" borderId="88" xfId="0" applyFont="1" applyFill="1" applyBorder="1" applyAlignment="1">
      <alignment horizontal="center" vertical="center"/>
    </xf>
    <xf numFmtId="0" fontId="1" fillId="0" borderId="37" xfId="0" applyFont="1" applyBorder="1" applyAlignment="1">
      <alignment horizontal="center" vertical="center"/>
    </xf>
    <xf numFmtId="0" fontId="1" fillId="9" borderId="88" xfId="0" applyFont="1" applyFill="1" applyBorder="1" applyAlignment="1">
      <alignment horizontal="center" vertical="center"/>
    </xf>
    <xf numFmtId="0" fontId="1" fillId="3" borderId="65" xfId="0" applyFont="1" applyFill="1" applyBorder="1" applyAlignment="1">
      <alignment horizontal="left" vertical="center" wrapText="1"/>
    </xf>
    <xf numFmtId="0" fontId="3" fillId="0" borderId="35" xfId="0" applyFont="1" applyBorder="1" applyAlignment="1"/>
    <xf numFmtId="0" fontId="6" fillId="8" borderId="66" xfId="0" applyFont="1" applyFill="1" applyBorder="1" applyAlignment="1">
      <alignment horizontal="center" vertical="center" wrapText="1"/>
    </xf>
    <xf numFmtId="0" fontId="12" fillId="5" borderId="66" xfId="0" applyFont="1" applyFill="1" applyBorder="1" applyAlignment="1">
      <alignment horizontal="center" vertical="center" wrapText="1"/>
    </xf>
    <xf numFmtId="0" fontId="3" fillId="0" borderId="36" xfId="0" applyFont="1" applyBorder="1" applyAlignment="1"/>
    <xf numFmtId="0" fontId="12" fillId="6" borderId="66" xfId="0" applyFont="1" applyFill="1" applyBorder="1" applyAlignment="1">
      <alignment horizontal="center" vertical="center" wrapText="1"/>
    </xf>
    <xf numFmtId="0" fontId="12" fillId="11" borderId="66" xfId="0" applyFont="1" applyFill="1" applyBorder="1" applyAlignment="1">
      <alignment horizontal="center" vertical="center" wrapText="1"/>
    </xf>
    <xf numFmtId="0" fontId="1" fillId="9" borderId="76" xfId="0" applyFont="1" applyFill="1" applyBorder="1"/>
    <xf numFmtId="165" fontId="1" fillId="8" borderId="46" xfId="0" applyNumberFormat="1" applyFont="1" applyFill="1" applyBorder="1" applyAlignment="1">
      <alignment horizontal="left" vertical="top"/>
    </xf>
    <xf numFmtId="0" fontId="1" fillId="9" borderId="79" xfId="0" applyFont="1" applyFill="1" applyBorder="1"/>
    <xf numFmtId="164" fontId="1" fillId="0" borderId="37" xfId="0" applyNumberFormat="1" applyFont="1" applyBorder="1" applyAlignment="1">
      <alignment horizontal="left" vertical="top"/>
    </xf>
    <xf numFmtId="164" fontId="1" fillId="0" borderId="47" xfId="0" applyNumberFormat="1" applyFont="1" applyBorder="1" applyAlignment="1">
      <alignment horizontal="left" vertical="top"/>
    </xf>
    <xf numFmtId="0" fontId="3" fillId="0" borderId="43" xfId="0" applyFont="1" applyBorder="1" applyAlignment="1"/>
    <xf numFmtId="0" fontId="3" fillId="0" borderId="57" xfId="0" applyFont="1" applyBorder="1" applyAlignment="1"/>
    <xf numFmtId="3" fontId="1" fillId="3" borderId="20" xfId="0" applyNumberFormat="1" applyFont="1" applyFill="1" applyBorder="1" applyAlignment="1">
      <alignment horizontal="left" vertical="center" wrapText="1"/>
    </xf>
    <xf numFmtId="0" fontId="3" fillId="0" borderId="48" xfId="0" applyFont="1" applyBorder="1" applyAlignment="1"/>
    <xf numFmtId="0" fontId="1" fillId="0" borderId="91" xfId="0" applyFont="1" applyBorder="1" applyAlignment="1">
      <alignment horizontal="left" vertical="center"/>
    </xf>
    <xf numFmtId="0" fontId="3" fillId="0" borderId="49" xfId="0" applyFont="1" applyBorder="1" applyAlignment="1"/>
    <xf numFmtId="0" fontId="1" fillId="0" borderId="14" xfId="0" applyFont="1" applyBorder="1" applyAlignment="1">
      <alignment horizontal="center" vertical="center"/>
    </xf>
    <xf numFmtId="0" fontId="1" fillId="0" borderId="14" xfId="0" applyFont="1" applyBorder="1" applyAlignment="1">
      <alignment horizontal="left" vertical="center"/>
    </xf>
    <xf numFmtId="0" fontId="18" fillId="13" borderId="91" xfId="0" applyFont="1" applyFill="1" applyBorder="1" applyAlignment="1">
      <alignment horizontal="center" vertical="center" wrapText="1"/>
    </xf>
    <xf numFmtId="0" fontId="18" fillId="13" borderId="76" xfId="0" applyFont="1" applyFill="1" applyBorder="1" applyAlignment="1">
      <alignment horizontal="center" vertical="center" wrapText="1"/>
    </xf>
    <xf numFmtId="0" fontId="3" fillId="0" borderId="90" xfId="0" applyFont="1" applyBorder="1" applyAlignment="1"/>
    <xf numFmtId="0" fontId="3" fillId="0" borderId="50" xfId="0" applyFont="1" applyBorder="1" applyAlignment="1"/>
    <xf numFmtId="0" fontId="18" fillId="0" borderId="91" xfId="0" applyFont="1" applyBorder="1" applyAlignment="1">
      <alignment horizontal="center" vertical="center" wrapText="1"/>
    </xf>
    <xf numFmtId="0" fontId="3" fillId="0" borderId="52" xfId="0" applyFont="1" applyBorder="1" applyAlignment="1"/>
    <xf numFmtId="0" fontId="3" fillId="0" borderId="54" xfId="0" applyFont="1" applyBorder="1" applyAlignment="1"/>
    <xf numFmtId="0" fontId="6" fillId="5" borderId="87" xfId="0" applyFont="1" applyFill="1" applyBorder="1" applyAlignment="1">
      <alignment horizontal="center" vertical="center" wrapText="1"/>
    </xf>
    <xf numFmtId="0" fontId="6" fillId="6" borderId="86" xfId="0" applyFont="1" applyFill="1" applyBorder="1" applyAlignment="1">
      <alignment horizontal="center" vertical="center" wrapText="1"/>
    </xf>
    <xf numFmtId="3" fontId="1" fillId="6" borderId="80" xfId="0" applyNumberFormat="1" applyFont="1" applyFill="1" applyBorder="1"/>
    <xf numFmtId="4" fontId="1" fillId="6" borderId="80" xfId="0" applyNumberFormat="1" applyFont="1" applyFill="1" applyBorder="1"/>
    <xf numFmtId="4" fontId="1" fillId="10" borderId="77" xfId="0" applyNumberFormat="1" applyFont="1" applyFill="1" applyBorder="1"/>
    <xf numFmtId="4" fontId="1" fillId="6" borderId="68" xfId="0" applyNumberFormat="1" applyFont="1" applyFill="1" applyBorder="1"/>
    <xf numFmtId="0" fontId="1" fillId="0" borderId="0" xfId="0" applyFont="1" applyAlignment="1"/>
    <xf numFmtId="3" fontId="6" fillId="14" borderId="86" xfId="0" applyNumberFormat="1" applyFont="1" applyFill="1" applyBorder="1"/>
    <xf numFmtId="0" fontId="22" fillId="13" borderId="91" xfId="0" applyFont="1" applyFill="1" applyBorder="1" applyAlignment="1">
      <alignment horizontal="center" vertical="center" wrapText="1"/>
    </xf>
    <xf numFmtId="0" fontId="22" fillId="13" borderId="91" xfId="0" applyFont="1" applyFill="1" applyBorder="1" applyAlignment="1">
      <alignment horizontal="center" vertical="center"/>
    </xf>
    <xf numFmtId="0" fontId="3" fillId="0" borderId="53" xfId="0" applyFont="1" applyBorder="1" applyAlignment="1"/>
    <xf numFmtId="0" fontId="1" fillId="0" borderId="91" xfId="0" applyFont="1" applyBorder="1" applyAlignment="1">
      <alignment horizontal="center" vertical="center"/>
    </xf>
    <xf numFmtId="0" fontId="1" fillId="0" borderId="91" xfId="0" applyFont="1" applyBorder="1"/>
    <xf numFmtId="164" fontId="6" fillId="6" borderId="86" xfId="0" applyNumberFormat="1" applyFont="1" applyFill="1" applyBorder="1" applyAlignment="1">
      <alignment horizontal="center" vertical="center" wrapText="1"/>
    </xf>
    <xf numFmtId="0" fontId="22" fillId="8" borderId="20" xfId="0" applyFont="1" applyFill="1" applyBorder="1" applyAlignment="1">
      <alignment horizontal="center" vertical="center" wrapText="1"/>
    </xf>
    <xf numFmtId="0" fontId="20" fillId="0" borderId="88" xfId="0" applyFont="1" applyBorder="1" applyAlignment="1">
      <alignment horizontal="center" vertical="center" wrapText="1"/>
    </xf>
    <xf numFmtId="0" fontId="3" fillId="0" borderId="89" xfId="0" applyFont="1" applyBorder="1" applyAlignment="1"/>
    <xf numFmtId="0" fontId="22" fillId="15" borderId="20" xfId="0" applyFont="1" applyFill="1" applyBorder="1" applyAlignment="1">
      <alignment horizontal="center" vertical="center" wrapText="1"/>
    </xf>
    <xf numFmtId="0" fontId="20" fillId="0" borderId="20" xfId="0" applyFont="1" applyBorder="1" applyAlignment="1">
      <alignment horizontal="center" vertical="center" wrapText="1"/>
    </xf>
    <xf numFmtId="0" fontId="6" fillId="16" borderId="83" xfId="0" applyFont="1" applyFill="1" applyBorder="1" applyAlignment="1">
      <alignment horizontal="center" vertical="center" wrapText="1"/>
    </xf>
    <xf numFmtId="0" fontId="3" fillId="0" borderId="85" xfId="0" applyFont="1" applyBorder="1" applyAlignment="1"/>
    <xf numFmtId="0" fontId="6" fillId="16" borderId="20" xfId="0" applyFont="1" applyFill="1" applyBorder="1" applyAlignment="1">
      <alignment horizontal="center" vertical="center" wrapText="1"/>
    </xf>
    <xf numFmtId="3" fontId="1" fillId="0" borderId="20" xfId="0" applyNumberFormat="1" applyFont="1" applyBorder="1" applyAlignment="1">
      <alignment horizontal="center"/>
    </xf>
    <xf numFmtId="3" fontId="1" fillId="9" borderId="20" xfId="0" applyNumberFormat="1" applyFont="1" applyFill="1" applyBorder="1" applyAlignment="1">
      <alignment horizontal="center"/>
    </xf>
    <xf numFmtId="3" fontId="6" fillId="11" borderId="20" xfId="0" applyNumberFormat="1" applyFont="1" applyFill="1" applyBorder="1" applyAlignment="1">
      <alignment horizontal="center"/>
    </xf>
    <xf numFmtId="0" fontId="69" fillId="12" borderId="20" xfId="0" applyFont="1" applyFill="1" applyBorder="1" applyAlignment="1">
      <alignment horizontal="left" vertical="top"/>
    </xf>
    <xf numFmtId="0" fontId="70" fillId="0" borderId="48" xfId="0" applyFont="1" applyBorder="1" applyAlignment="1"/>
    <xf numFmtId="0" fontId="70" fillId="0" borderId="10" xfId="0" applyFont="1" applyBorder="1" applyAlignment="1"/>
    <xf numFmtId="0" fontId="71" fillId="12" borderId="20" xfId="0" applyFont="1" applyFill="1" applyBorder="1" applyAlignment="1">
      <alignment horizontal="left" vertical="top"/>
    </xf>
    <xf numFmtId="0" fontId="73" fillId="0" borderId="48" xfId="0" applyFont="1" applyBorder="1" applyAlignment="1"/>
    <xf numFmtId="0" fontId="73" fillId="0" borderId="10" xfId="0" applyFont="1" applyBorder="1" applyAlignment="1"/>
    <xf numFmtId="0" fontId="25" fillId="17" borderId="20" xfId="0" applyFont="1" applyFill="1" applyBorder="1" applyAlignment="1">
      <alignment horizontal="center"/>
    </xf>
    <xf numFmtId="167" fontId="24" fillId="9" borderId="81" xfId="0" applyNumberFormat="1" applyFont="1" applyFill="1" applyBorder="1"/>
    <xf numFmtId="0" fontId="26" fillId="16" borderId="80" xfId="0" applyFont="1" applyFill="1" applyBorder="1" applyAlignment="1">
      <alignment horizontal="right"/>
    </xf>
    <xf numFmtId="167" fontId="24" fillId="9" borderId="82" xfId="0" applyNumberFormat="1" applyFont="1" applyFill="1" applyBorder="1"/>
    <xf numFmtId="167" fontId="24" fillId="19" borderId="81" xfId="0" applyNumberFormat="1" applyFont="1" applyFill="1" applyBorder="1"/>
    <xf numFmtId="0" fontId="24" fillId="9" borderId="82" xfId="0" applyFont="1" applyFill="1" applyBorder="1"/>
    <xf numFmtId="0" fontId="25" fillId="17" borderId="20" xfId="0" applyFont="1" applyFill="1" applyBorder="1" applyAlignment="1">
      <alignment horizontal="center" vertical="center" wrapText="1"/>
    </xf>
    <xf numFmtId="3" fontId="73" fillId="9" borderId="81" xfId="0" applyNumberFormat="1" applyFont="1" applyFill="1" applyBorder="1"/>
    <xf numFmtId="0" fontId="15" fillId="12" borderId="14" xfId="0" applyFont="1" applyFill="1" applyBorder="1" applyAlignment="1">
      <alignment horizontal="left" vertical="top"/>
    </xf>
    <xf numFmtId="0" fontId="3" fillId="0" borderId="82" xfId="0" applyFont="1" applyBorder="1" applyAlignment="1"/>
    <xf numFmtId="0" fontId="3" fillId="0" borderId="80" xfId="0" applyFont="1" applyBorder="1" applyAlignment="1"/>
    <xf numFmtId="0" fontId="3" fillId="0" borderId="84" xfId="0" applyFont="1" applyBorder="1" applyAlignment="1"/>
    <xf numFmtId="0" fontId="3" fillId="0" borderId="88" xfId="0" applyFont="1" applyBorder="1" applyAlignment="1"/>
    <xf numFmtId="3" fontId="1" fillId="3" borderId="65" xfId="0" applyNumberFormat="1" applyFont="1" applyFill="1" applyBorder="1" applyAlignment="1">
      <alignment horizontal="left" vertical="center" wrapText="1"/>
    </xf>
    <xf numFmtId="0" fontId="6" fillId="13"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1" fillId="13" borderId="20" xfId="0" applyFont="1" applyFill="1" applyBorder="1" applyAlignment="1">
      <alignment horizontal="center" vertical="center" wrapText="1"/>
    </xf>
    <xf numFmtId="0" fontId="32" fillId="21" borderId="14" xfId="0" applyFont="1" applyFill="1" applyBorder="1" applyAlignment="1">
      <alignment horizontal="center" vertical="center"/>
    </xf>
    <xf numFmtId="0" fontId="73" fillId="0" borderId="57" xfId="0" applyFont="1" applyBorder="1" applyAlignment="1"/>
    <xf numFmtId="0" fontId="73" fillId="0" borderId="43" xfId="0" applyFont="1" applyBorder="1" applyAlignment="1"/>
    <xf numFmtId="0" fontId="73" fillId="13" borderId="20" xfId="0" applyFont="1" applyFill="1" applyBorder="1" applyAlignment="1">
      <alignment horizontal="center" wrapText="1"/>
    </xf>
    <xf numFmtId="0" fontId="75" fillId="15" borderId="80" xfId="0" applyFont="1" applyFill="1" applyBorder="1" applyAlignment="1">
      <alignment horizontal="center" vertical="center" wrapText="1"/>
    </xf>
    <xf numFmtId="0" fontId="3" fillId="0" borderId="87" xfId="0" applyFont="1" applyBorder="1" applyAlignment="1"/>
    <xf numFmtId="0" fontId="1" fillId="10" borderId="20" xfId="0" applyFont="1" applyFill="1" applyBorder="1" applyAlignment="1">
      <alignment horizontal="center" vertical="center" wrapText="1"/>
    </xf>
    <xf numFmtId="0" fontId="31" fillId="10" borderId="80" xfId="0" applyFont="1" applyFill="1" applyBorder="1" applyAlignment="1">
      <alignment horizontal="center" vertical="center"/>
    </xf>
    <xf numFmtId="0" fontId="1" fillId="10" borderId="80" xfId="0" applyFont="1" applyFill="1" applyBorder="1" applyAlignment="1">
      <alignment horizontal="center" vertical="center"/>
    </xf>
    <xf numFmtId="0" fontId="13" fillId="10" borderId="80" xfId="0" applyFont="1" applyFill="1" applyBorder="1" applyAlignment="1">
      <alignment horizontal="center" vertical="center" wrapText="1"/>
    </xf>
    <xf numFmtId="14" fontId="1" fillId="10" borderId="20" xfId="0" quotePrefix="1" applyNumberFormat="1" applyFont="1" applyFill="1" applyBorder="1" applyAlignment="1">
      <alignment horizontal="center" vertical="center"/>
    </xf>
    <xf numFmtId="0" fontId="40" fillId="10" borderId="20" xfId="0" applyFont="1" applyFill="1" applyBorder="1" applyAlignment="1">
      <alignment horizontal="center" vertical="center" wrapText="1"/>
    </xf>
    <xf numFmtId="0" fontId="1" fillId="6" borderId="79" xfId="0" applyFont="1" applyFill="1" applyBorder="1"/>
    <xf numFmtId="0" fontId="21" fillId="0" borderId="9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comments7.xml.rels><?xml version="1.0" encoding="UTF-8" standalone="yes"?>
<Relationships xmlns="http://schemas.openxmlformats.org/package/2006/relationships"><Relationship Id="rId1" Type="http://customschemas.google.com/relationships/workbookmetadata" Target="commentsmeta6"/></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5" Type="http://schemas.openxmlformats.org/officeDocument/2006/relationships/image" Target="../media/image5.jpg"/><Relationship Id="rId4" Type="http://schemas.openxmlformats.org/officeDocument/2006/relationships/image" Target="../media/image4.jp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4</xdr:col>
      <xdr:colOff>571500</xdr:colOff>
      <xdr:row>32</xdr:row>
      <xdr:rowOff>114300</xdr:rowOff>
    </xdr:from>
    <xdr:ext cx="3514725" cy="1495425"/>
    <xdr:sp macro="" textlink="">
      <xdr:nvSpPr>
        <xdr:cNvPr id="3" name="Shape 3">
          <a:extLst>
            <a:ext uri="{FF2B5EF4-FFF2-40B4-BE49-F238E27FC236}">
              <a16:creationId xmlns:a16="http://schemas.microsoft.com/office/drawing/2014/main" id="{00000000-0008-0000-0000-000003000000}"/>
            </a:ext>
          </a:extLst>
        </xdr:cNvPr>
        <xdr:cNvSpPr txBox="1"/>
      </xdr:nvSpPr>
      <xdr:spPr>
        <a:xfrm>
          <a:off x="3593400" y="3037050"/>
          <a:ext cx="3505200" cy="1485900"/>
        </a:xfrm>
        <a:prstGeom prst="rect">
          <a:avLst/>
        </a:prstGeom>
        <a:solidFill>
          <a:srgbClr val="FFF9E7"/>
        </a:solidFill>
        <a:ln w="127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400"/>
            <a:buFont typeface="Calibri"/>
            <a:buNone/>
          </a:pPr>
          <a:r>
            <a:rPr lang="en-US" sz="1400" b="1" i="1">
              <a:solidFill>
                <a:schemeClr val="dk1"/>
              </a:solidFill>
              <a:latin typeface="Calibri"/>
              <a:ea typeface="Calibri"/>
              <a:cs typeface="Calibri"/>
              <a:sym typeface="Calibri"/>
            </a:rPr>
            <a:t>TH</a:t>
          </a:r>
          <a:r>
            <a:rPr lang="en-US" sz="1400" b="1" i="1" baseline="-25000">
              <a:solidFill>
                <a:schemeClr val="dk1"/>
              </a:solidFill>
              <a:latin typeface="Calibri"/>
              <a:ea typeface="Calibri"/>
              <a:cs typeface="Calibri"/>
              <a:sym typeface="Calibri"/>
            </a:rPr>
            <a:t>P</a:t>
          </a:r>
          <a:r>
            <a:rPr lang="en-US" sz="1400" b="1">
              <a:solidFill>
                <a:schemeClr val="dk1"/>
              </a:solidFill>
              <a:latin typeface="Calibri"/>
              <a:ea typeface="Calibri"/>
              <a:cs typeface="Calibri"/>
              <a:sym typeface="Calibri"/>
            </a:rPr>
            <a:t> </a:t>
          </a:r>
          <a:r>
            <a:rPr lang="en-US" sz="1400">
              <a:solidFill>
                <a:schemeClr val="dk1"/>
              </a:solidFill>
              <a:latin typeface="Calibri"/>
              <a:ea typeface="Calibri"/>
              <a:cs typeface="Calibri"/>
              <a:sym typeface="Calibri"/>
            </a:rPr>
            <a:t>= Number of years since timber harvest in in land parcel </a:t>
          </a:r>
          <a:r>
            <a:rPr lang="en-US" sz="1400" i="1">
              <a:solidFill>
                <a:schemeClr val="dk1"/>
              </a:solidFill>
              <a:latin typeface="Calibri"/>
              <a:ea typeface="Calibri"/>
              <a:cs typeface="Calibri"/>
              <a:sym typeface="Calibri"/>
            </a:rPr>
            <a:t>p</a:t>
          </a:r>
          <a:br>
            <a:rPr lang="en-US" sz="1400">
              <a:solidFill>
                <a:schemeClr val="dk1"/>
              </a:solidFill>
              <a:latin typeface="Calibri"/>
              <a:ea typeface="Calibri"/>
              <a:cs typeface="Calibri"/>
              <a:sym typeface="Calibri"/>
            </a:rPr>
          </a:br>
          <a:endParaRPr sz="1400"/>
        </a:p>
      </xdr:txBody>
    </xdr:sp>
    <xdr:clientData fLocksWithSheet="0"/>
  </xdr:oneCellAnchor>
  <xdr:oneCellAnchor>
    <xdr:from>
      <xdr:col>20</xdr:col>
      <xdr:colOff>123825</xdr:colOff>
      <xdr:row>49</xdr:row>
      <xdr:rowOff>161925</xdr:rowOff>
    </xdr:from>
    <xdr:ext cx="2505075" cy="609600"/>
    <xdr:sp macro="" textlink="">
      <xdr:nvSpPr>
        <xdr:cNvPr id="4" name="Shape 4">
          <a:extLst>
            <a:ext uri="{FF2B5EF4-FFF2-40B4-BE49-F238E27FC236}">
              <a16:creationId xmlns:a16="http://schemas.microsoft.com/office/drawing/2014/main" id="{00000000-0008-0000-0000-000004000000}"/>
            </a:ext>
          </a:extLst>
        </xdr:cNvPr>
        <xdr:cNvSpPr txBox="1"/>
      </xdr:nvSpPr>
      <xdr:spPr>
        <a:xfrm>
          <a:off x="4098225" y="3479963"/>
          <a:ext cx="2495550" cy="600075"/>
        </a:xfrm>
        <a:prstGeom prst="rect">
          <a:avLst/>
        </a:prstGeom>
        <a:solidFill>
          <a:srgbClr val="FFF9E7"/>
        </a:solidFill>
        <a:ln w="127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400"/>
            <a:buFont typeface="Calibri"/>
            <a:buNone/>
          </a:pPr>
          <a:r>
            <a:rPr lang="en-US" sz="1400" b="1" i="1">
              <a:solidFill>
                <a:schemeClr val="dk1"/>
              </a:solidFill>
              <a:latin typeface="Calibri"/>
              <a:ea typeface="Calibri"/>
              <a:cs typeface="Calibri"/>
              <a:sym typeface="Calibri"/>
            </a:rPr>
            <a:t>A</a:t>
          </a:r>
          <a:r>
            <a:rPr lang="en-US" sz="1400" b="1" i="1" baseline="-25000">
              <a:solidFill>
                <a:schemeClr val="dk1"/>
              </a:solidFill>
              <a:latin typeface="Calibri"/>
              <a:ea typeface="Calibri"/>
              <a:cs typeface="Calibri"/>
              <a:sym typeface="Calibri"/>
            </a:rPr>
            <a:t>1,p</a:t>
          </a:r>
          <a:r>
            <a:rPr lang="en-US" sz="1400" b="1">
              <a:solidFill>
                <a:schemeClr val="dk1"/>
              </a:solidFill>
              <a:latin typeface="Calibri"/>
              <a:ea typeface="Calibri"/>
              <a:cs typeface="Calibri"/>
              <a:sym typeface="Calibri"/>
            </a:rPr>
            <a:t> </a:t>
          </a:r>
          <a:r>
            <a:rPr lang="en-US" sz="1400">
              <a:solidFill>
                <a:schemeClr val="dk1"/>
              </a:solidFill>
              <a:latin typeface="Calibri"/>
              <a:ea typeface="Calibri"/>
              <a:cs typeface="Calibri"/>
              <a:sym typeface="Calibri"/>
            </a:rPr>
            <a:t>= The area of land parcel </a:t>
          </a:r>
          <a:r>
            <a:rPr lang="en-US" sz="1400" i="1">
              <a:solidFill>
                <a:schemeClr val="dk1"/>
              </a:solidFill>
              <a:latin typeface="Calibri"/>
              <a:ea typeface="Calibri"/>
              <a:cs typeface="Calibri"/>
              <a:sym typeface="Calibri"/>
            </a:rPr>
            <a:t>p</a:t>
          </a:r>
          <a:r>
            <a:rPr lang="en-US" sz="1400">
              <a:solidFill>
                <a:schemeClr val="dk1"/>
              </a:solidFill>
              <a:latin typeface="Calibri"/>
              <a:ea typeface="Calibri"/>
              <a:cs typeface="Calibri"/>
              <a:sym typeface="Calibri"/>
            </a:rPr>
            <a:t> that was harvested 1 year ago </a:t>
          </a:r>
          <a:br>
            <a:rPr lang="en-US" sz="1400">
              <a:solidFill>
                <a:schemeClr val="dk1"/>
              </a:solidFill>
              <a:latin typeface="Calibri"/>
              <a:ea typeface="Calibri"/>
              <a:cs typeface="Calibri"/>
              <a:sym typeface="Calibri"/>
            </a:rPr>
          </a:br>
          <a:endParaRPr sz="1400"/>
        </a:p>
      </xdr:txBody>
    </xdr:sp>
    <xdr:clientData fLocksWithSheet="0"/>
  </xdr:oneCellAnchor>
  <xdr:oneCellAnchor>
    <xdr:from>
      <xdr:col>20</xdr:col>
      <xdr:colOff>161925</xdr:colOff>
      <xdr:row>59</xdr:row>
      <xdr:rowOff>0</xdr:rowOff>
    </xdr:from>
    <xdr:ext cx="2505075" cy="1143000"/>
    <xdr:sp macro="" textlink="">
      <xdr:nvSpPr>
        <xdr:cNvPr id="5" name="Shape 5">
          <a:extLst>
            <a:ext uri="{FF2B5EF4-FFF2-40B4-BE49-F238E27FC236}">
              <a16:creationId xmlns:a16="http://schemas.microsoft.com/office/drawing/2014/main" id="{00000000-0008-0000-0000-000005000000}"/>
            </a:ext>
          </a:extLst>
        </xdr:cNvPr>
        <xdr:cNvSpPr txBox="1"/>
      </xdr:nvSpPr>
      <xdr:spPr>
        <a:xfrm>
          <a:off x="4098225" y="3213263"/>
          <a:ext cx="2495550" cy="1133475"/>
        </a:xfrm>
        <a:prstGeom prst="rect">
          <a:avLst/>
        </a:prstGeom>
        <a:solidFill>
          <a:srgbClr val="FFF9E7"/>
        </a:solidFill>
        <a:ln w="127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400"/>
            <a:buFont typeface="Calibri"/>
            <a:buNone/>
          </a:pPr>
          <a:r>
            <a:rPr lang="en-US" sz="1400" b="1" i="1">
              <a:solidFill>
                <a:schemeClr val="dk1"/>
              </a:solidFill>
              <a:latin typeface="Calibri"/>
              <a:ea typeface="Calibri"/>
              <a:cs typeface="Calibri"/>
              <a:sym typeface="Calibri"/>
            </a:rPr>
            <a:t>A</a:t>
          </a:r>
          <a:r>
            <a:rPr lang="en-US" sz="1400" b="1" i="1" baseline="-25000">
              <a:solidFill>
                <a:schemeClr val="dk1"/>
              </a:solidFill>
              <a:latin typeface="Calibri"/>
              <a:ea typeface="Calibri"/>
              <a:cs typeface="Calibri"/>
              <a:sym typeface="Calibri"/>
            </a:rPr>
            <a:t>2-10,p</a:t>
          </a:r>
          <a:r>
            <a:rPr lang="en-US" sz="1400" b="1">
              <a:solidFill>
                <a:schemeClr val="dk1"/>
              </a:solidFill>
              <a:latin typeface="Calibri"/>
              <a:ea typeface="Calibri"/>
              <a:cs typeface="Calibri"/>
              <a:sym typeface="Calibri"/>
            </a:rPr>
            <a:t> </a:t>
          </a:r>
          <a:r>
            <a:rPr lang="en-US" sz="1400">
              <a:solidFill>
                <a:schemeClr val="dk1"/>
              </a:solidFill>
              <a:latin typeface="Calibri"/>
              <a:ea typeface="Calibri"/>
              <a:cs typeface="Calibri"/>
              <a:sym typeface="Calibri"/>
            </a:rPr>
            <a:t>= The area of land parcel </a:t>
          </a:r>
          <a:r>
            <a:rPr lang="en-US" sz="1400" i="1">
              <a:solidFill>
                <a:schemeClr val="dk1"/>
              </a:solidFill>
              <a:latin typeface="Calibri"/>
              <a:ea typeface="Calibri"/>
              <a:cs typeface="Calibri"/>
              <a:sym typeface="Calibri"/>
            </a:rPr>
            <a:t>p</a:t>
          </a:r>
          <a:r>
            <a:rPr lang="en-US" sz="1400">
              <a:solidFill>
                <a:schemeClr val="dk1"/>
              </a:solidFill>
              <a:latin typeface="Calibri"/>
              <a:ea typeface="Calibri"/>
              <a:cs typeface="Calibri"/>
              <a:sym typeface="Calibri"/>
            </a:rPr>
            <a:t> that was harvested between 2 and 10 years ago </a:t>
          </a:r>
          <a:br>
            <a:rPr lang="en-US" sz="1400">
              <a:solidFill>
                <a:schemeClr val="dk1"/>
              </a:solidFill>
              <a:latin typeface="Calibri"/>
              <a:ea typeface="Calibri"/>
              <a:cs typeface="Calibri"/>
              <a:sym typeface="Calibri"/>
            </a:rPr>
          </a:br>
          <a:endParaRPr sz="1400"/>
        </a:p>
      </xdr:txBody>
    </xdr:sp>
    <xdr:clientData fLocksWithSheet="0"/>
  </xdr:oneCellAnchor>
  <xdr:oneCellAnchor>
    <xdr:from>
      <xdr:col>20</xdr:col>
      <xdr:colOff>66675</xdr:colOff>
      <xdr:row>68</xdr:row>
      <xdr:rowOff>0</xdr:rowOff>
    </xdr:from>
    <xdr:ext cx="2486025" cy="1381125"/>
    <xdr:sp macro="" textlink="">
      <xdr:nvSpPr>
        <xdr:cNvPr id="6" name="Shape 6">
          <a:extLst>
            <a:ext uri="{FF2B5EF4-FFF2-40B4-BE49-F238E27FC236}">
              <a16:creationId xmlns:a16="http://schemas.microsoft.com/office/drawing/2014/main" id="{00000000-0008-0000-0000-000006000000}"/>
            </a:ext>
          </a:extLst>
        </xdr:cNvPr>
        <xdr:cNvSpPr txBox="1"/>
      </xdr:nvSpPr>
      <xdr:spPr>
        <a:xfrm>
          <a:off x="4107750" y="3094200"/>
          <a:ext cx="2476500" cy="1371600"/>
        </a:xfrm>
        <a:prstGeom prst="rect">
          <a:avLst/>
        </a:prstGeom>
        <a:solidFill>
          <a:srgbClr val="FFF9E7"/>
        </a:solidFill>
        <a:ln w="127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400"/>
            <a:buFont typeface="Calibri"/>
            <a:buNone/>
          </a:pPr>
          <a:r>
            <a:rPr lang="en-US" sz="1400" b="1" i="1">
              <a:solidFill>
                <a:schemeClr val="dk1"/>
              </a:solidFill>
              <a:latin typeface="Calibri"/>
              <a:ea typeface="Calibri"/>
              <a:cs typeface="Calibri"/>
              <a:sym typeface="Calibri"/>
            </a:rPr>
            <a:t>A</a:t>
          </a:r>
          <a:r>
            <a:rPr lang="en-US" sz="1400" b="1" i="1" baseline="-25000">
              <a:solidFill>
                <a:schemeClr val="dk1"/>
              </a:solidFill>
              <a:latin typeface="Calibri"/>
              <a:ea typeface="Calibri"/>
              <a:cs typeface="Calibri"/>
              <a:sym typeface="Calibri"/>
            </a:rPr>
            <a:t>11-20,p</a:t>
          </a:r>
          <a:r>
            <a:rPr lang="en-US" sz="1400" b="1">
              <a:solidFill>
                <a:schemeClr val="dk1"/>
              </a:solidFill>
              <a:latin typeface="Calibri"/>
              <a:ea typeface="Calibri"/>
              <a:cs typeface="Calibri"/>
              <a:sym typeface="Calibri"/>
            </a:rPr>
            <a:t> </a:t>
          </a:r>
          <a:r>
            <a:rPr lang="en-US" sz="1400">
              <a:solidFill>
                <a:schemeClr val="dk1"/>
              </a:solidFill>
              <a:latin typeface="Calibri"/>
              <a:ea typeface="Calibri"/>
              <a:cs typeface="Calibri"/>
              <a:sym typeface="Calibri"/>
            </a:rPr>
            <a:t>= The area of land parcel </a:t>
          </a:r>
          <a:r>
            <a:rPr lang="en-US" sz="1400" i="1">
              <a:solidFill>
                <a:schemeClr val="dk1"/>
              </a:solidFill>
              <a:latin typeface="Calibri"/>
              <a:ea typeface="Calibri"/>
              <a:cs typeface="Calibri"/>
              <a:sym typeface="Calibri"/>
            </a:rPr>
            <a:t>p</a:t>
          </a:r>
          <a:r>
            <a:rPr lang="en-US" sz="1400">
              <a:solidFill>
                <a:schemeClr val="dk1"/>
              </a:solidFill>
              <a:latin typeface="Calibri"/>
              <a:ea typeface="Calibri"/>
              <a:cs typeface="Calibri"/>
              <a:sym typeface="Calibri"/>
            </a:rPr>
            <a:t> that was harvested between 11 and 20 years ago</a:t>
          </a:r>
          <a:br>
            <a:rPr lang="en-US" sz="1400">
              <a:solidFill>
                <a:schemeClr val="dk1"/>
              </a:solidFill>
              <a:latin typeface="Calibri"/>
              <a:ea typeface="Calibri"/>
              <a:cs typeface="Calibri"/>
              <a:sym typeface="Calibri"/>
            </a:rPr>
          </a:br>
          <a:endParaRPr sz="1400"/>
        </a:p>
      </xdr:txBody>
    </xdr:sp>
    <xdr:clientData fLocksWithSheet="0"/>
  </xdr:oneCellAnchor>
  <xdr:oneCellAnchor>
    <xdr:from>
      <xdr:col>12</xdr:col>
      <xdr:colOff>200025</xdr:colOff>
      <xdr:row>9</xdr:row>
      <xdr:rowOff>9525</xdr:rowOff>
    </xdr:from>
    <xdr:ext cx="2867025" cy="533400"/>
    <xdr:sp macro="" textlink="">
      <xdr:nvSpPr>
        <xdr:cNvPr id="7" name="Shape 7">
          <a:extLst>
            <a:ext uri="{FF2B5EF4-FFF2-40B4-BE49-F238E27FC236}">
              <a16:creationId xmlns:a16="http://schemas.microsoft.com/office/drawing/2014/main" id="{00000000-0008-0000-0000-000007000000}"/>
            </a:ext>
          </a:extLst>
        </xdr:cNvPr>
        <xdr:cNvSpPr txBox="1"/>
      </xdr:nvSpPr>
      <xdr:spPr>
        <a:xfrm>
          <a:off x="3917250" y="3518063"/>
          <a:ext cx="2857500" cy="523875"/>
        </a:xfrm>
        <a:prstGeom prst="rect">
          <a:avLst/>
        </a:prstGeom>
        <a:solidFill>
          <a:srgbClr val="FFF9E7"/>
        </a:solidFill>
        <a:ln w="127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400"/>
            <a:buFont typeface="Calibri"/>
            <a:buNone/>
          </a:pPr>
          <a:r>
            <a:rPr lang="en-US" sz="1400" b="1" i="1">
              <a:solidFill>
                <a:schemeClr val="dk1"/>
              </a:solidFill>
              <a:latin typeface="Calibri"/>
              <a:ea typeface="Calibri"/>
              <a:cs typeface="Calibri"/>
              <a:sym typeface="Calibri"/>
            </a:rPr>
            <a:t>A</a:t>
          </a:r>
          <a:r>
            <a:rPr lang="en-US" sz="1400" b="1" i="1" baseline="-25000">
              <a:solidFill>
                <a:schemeClr val="dk1"/>
              </a:solidFill>
              <a:latin typeface="Calibri"/>
              <a:ea typeface="Calibri"/>
              <a:cs typeface="Calibri"/>
              <a:sym typeface="Calibri"/>
            </a:rPr>
            <a:t>t+</a:t>
          </a:r>
          <a:r>
            <a:rPr lang="en-US" sz="1400" b="1">
              <a:solidFill>
                <a:schemeClr val="dk1"/>
              </a:solidFill>
              <a:latin typeface="Calibri"/>
              <a:ea typeface="Calibri"/>
              <a:cs typeface="Calibri"/>
              <a:sym typeface="Calibri"/>
            </a:rPr>
            <a:t> </a:t>
          </a:r>
          <a:r>
            <a:rPr lang="en-US" sz="1400">
              <a:solidFill>
                <a:schemeClr val="dk1"/>
              </a:solidFill>
              <a:latin typeface="Calibri"/>
              <a:ea typeface="Calibri"/>
              <a:cs typeface="Calibri"/>
              <a:sym typeface="Calibri"/>
            </a:rPr>
            <a:t>= Cumulative area harvested until time t*</a:t>
          </a:r>
          <a:endParaRPr sz="1400"/>
        </a:p>
        <a:p>
          <a:pPr marL="0" lvl="0" indent="0" algn="l" rtl="0">
            <a:spcBef>
              <a:spcPts val="0"/>
            </a:spcBef>
            <a:spcAft>
              <a:spcPts val="0"/>
            </a:spcAft>
            <a:buClr>
              <a:schemeClr val="dk1"/>
            </a:buClr>
            <a:buSzPts val="1400"/>
            <a:buFont typeface="Calibri"/>
            <a:buNone/>
          </a:pPr>
          <a:br>
            <a:rPr lang="en-US" sz="1400">
              <a:solidFill>
                <a:schemeClr val="dk1"/>
              </a:solidFill>
              <a:latin typeface="Calibri"/>
              <a:ea typeface="Calibri"/>
              <a:cs typeface="Calibri"/>
              <a:sym typeface="Calibri"/>
            </a:rPr>
          </a:b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14</xdr:col>
      <xdr:colOff>452717</xdr:colOff>
      <xdr:row>3</xdr:row>
      <xdr:rowOff>157107</xdr:rowOff>
    </xdr:from>
    <xdr:ext cx="3981450" cy="5857875"/>
    <xdr:grpSp>
      <xdr:nvGrpSpPr>
        <xdr:cNvPr id="2" name="Shape 2">
          <a:extLst>
            <a:ext uri="{FF2B5EF4-FFF2-40B4-BE49-F238E27FC236}">
              <a16:creationId xmlns:a16="http://schemas.microsoft.com/office/drawing/2014/main" id="{00000000-0008-0000-0300-000002000000}"/>
            </a:ext>
          </a:extLst>
        </xdr:cNvPr>
        <xdr:cNvGrpSpPr/>
      </xdr:nvGrpSpPr>
      <xdr:grpSpPr>
        <a:xfrm>
          <a:off x="13835342" y="881007"/>
          <a:ext cx="3981450" cy="5857875"/>
          <a:chOff x="3355275" y="851063"/>
          <a:chExt cx="3981450" cy="5857875"/>
        </a:xfrm>
      </xdr:grpSpPr>
      <xdr:grpSp>
        <xdr:nvGrpSpPr>
          <xdr:cNvPr id="8" name="Shape 8">
            <a:extLst>
              <a:ext uri="{FF2B5EF4-FFF2-40B4-BE49-F238E27FC236}">
                <a16:creationId xmlns:a16="http://schemas.microsoft.com/office/drawing/2014/main" id="{00000000-0008-0000-0300-000008000000}"/>
              </a:ext>
            </a:extLst>
          </xdr:cNvPr>
          <xdr:cNvGrpSpPr/>
        </xdr:nvGrpSpPr>
        <xdr:grpSpPr>
          <a:xfrm>
            <a:off x="3355275" y="851063"/>
            <a:ext cx="3981450" cy="5857875"/>
            <a:chOff x="3355275" y="851063"/>
            <a:chExt cx="3981450" cy="5857875"/>
          </a:xfrm>
        </xdr:grpSpPr>
        <xdr:sp macro="" textlink="">
          <xdr:nvSpPr>
            <xdr:cNvPr id="9" name="Shape 9">
              <a:extLst>
                <a:ext uri="{FF2B5EF4-FFF2-40B4-BE49-F238E27FC236}">
                  <a16:creationId xmlns:a16="http://schemas.microsoft.com/office/drawing/2014/main" id="{00000000-0008-0000-0300-000009000000}"/>
                </a:ext>
              </a:extLst>
            </xdr:cNvPr>
            <xdr:cNvSpPr/>
          </xdr:nvSpPr>
          <xdr:spPr>
            <a:xfrm>
              <a:off x="3355275" y="851063"/>
              <a:ext cx="3981450" cy="5857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0" name="Shape 10">
              <a:extLst>
                <a:ext uri="{FF2B5EF4-FFF2-40B4-BE49-F238E27FC236}">
                  <a16:creationId xmlns:a16="http://schemas.microsoft.com/office/drawing/2014/main" id="{00000000-0008-0000-0300-00000A000000}"/>
                </a:ext>
              </a:extLst>
            </xdr:cNvPr>
            <xdr:cNvGrpSpPr/>
          </xdr:nvGrpSpPr>
          <xdr:grpSpPr>
            <a:xfrm>
              <a:off x="3355275" y="851063"/>
              <a:ext cx="3981450" cy="5857875"/>
              <a:chOff x="13076958" y="1936172"/>
              <a:chExt cx="5809008" cy="8184994"/>
            </a:xfrm>
          </xdr:grpSpPr>
          <xdr:sp macro="" textlink="">
            <xdr:nvSpPr>
              <xdr:cNvPr id="11" name="Shape 11">
                <a:extLst>
                  <a:ext uri="{FF2B5EF4-FFF2-40B4-BE49-F238E27FC236}">
                    <a16:creationId xmlns:a16="http://schemas.microsoft.com/office/drawing/2014/main" id="{00000000-0008-0000-0300-00000B000000}"/>
                  </a:ext>
                </a:extLst>
              </xdr:cNvPr>
              <xdr:cNvSpPr/>
            </xdr:nvSpPr>
            <xdr:spPr>
              <a:xfrm>
                <a:off x="13076958" y="1936172"/>
                <a:ext cx="5809000" cy="8184975"/>
              </a:xfrm>
              <a:prstGeom prst="rect">
                <a:avLst/>
              </a:prstGeom>
              <a:no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12" name="Shape 12">
                <a:extLst>
                  <a:ext uri="{FF2B5EF4-FFF2-40B4-BE49-F238E27FC236}">
                    <a16:creationId xmlns:a16="http://schemas.microsoft.com/office/drawing/2014/main" id="{00000000-0008-0000-0300-00000C000000}"/>
                  </a:ext>
                </a:extLst>
              </xdr:cNvPr>
              <xdr:cNvPicPr preferRelativeResize="0"/>
            </xdr:nvPicPr>
            <xdr:blipFill rotWithShape="1">
              <a:blip xmlns:r="http://schemas.openxmlformats.org/officeDocument/2006/relationships" r:embed="rId1">
                <a:alphaModFix/>
              </a:blip>
              <a:srcRect/>
              <a:stretch/>
            </xdr:blipFill>
            <xdr:spPr>
              <a:xfrm>
                <a:off x="13076958" y="1936172"/>
                <a:ext cx="5809008" cy="2729351"/>
              </a:xfrm>
              <a:prstGeom prst="rect">
                <a:avLst/>
              </a:prstGeom>
              <a:noFill/>
              <a:ln w="9525" cap="flat" cmpd="sng">
                <a:solidFill>
                  <a:srgbClr val="000000"/>
                </a:solidFill>
                <a:prstDash val="solid"/>
                <a:round/>
                <a:headEnd type="none" w="sm" len="sm"/>
                <a:tailEnd type="none" w="sm" len="sm"/>
              </a:ln>
            </xdr:spPr>
          </xdr:pic>
          <xdr:pic>
            <xdr:nvPicPr>
              <xdr:cNvPr id="13" name="Shape 13">
                <a:extLst>
                  <a:ext uri="{FF2B5EF4-FFF2-40B4-BE49-F238E27FC236}">
                    <a16:creationId xmlns:a16="http://schemas.microsoft.com/office/drawing/2014/main" id="{00000000-0008-0000-0300-00000D000000}"/>
                  </a:ext>
                </a:extLst>
              </xdr:cNvPr>
              <xdr:cNvPicPr preferRelativeResize="0"/>
            </xdr:nvPicPr>
            <xdr:blipFill rotWithShape="1">
              <a:blip xmlns:r="http://schemas.openxmlformats.org/officeDocument/2006/relationships" r:embed="rId2">
                <a:alphaModFix/>
              </a:blip>
              <a:srcRect/>
              <a:stretch/>
            </xdr:blipFill>
            <xdr:spPr>
              <a:xfrm>
                <a:off x="13076958" y="4665524"/>
                <a:ext cx="5809008" cy="2729352"/>
              </a:xfrm>
              <a:prstGeom prst="rect">
                <a:avLst/>
              </a:prstGeom>
              <a:noFill/>
              <a:ln w="9525" cap="flat" cmpd="sng">
                <a:solidFill>
                  <a:srgbClr val="000000"/>
                </a:solidFill>
                <a:prstDash val="solid"/>
                <a:round/>
                <a:headEnd type="none" w="sm" len="sm"/>
                <a:tailEnd type="none" w="sm" len="sm"/>
              </a:ln>
            </xdr:spPr>
          </xdr:pic>
          <xdr:pic>
            <xdr:nvPicPr>
              <xdr:cNvPr id="14" name="Shape 14">
                <a:extLst>
                  <a:ext uri="{FF2B5EF4-FFF2-40B4-BE49-F238E27FC236}">
                    <a16:creationId xmlns:a16="http://schemas.microsoft.com/office/drawing/2014/main" id="{00000000-0008-0000-0300-00000E000000}"/>
                  </a:ext>
                </a:extLst>
              </xdr:cNvPr>
              <xdr:cNvPicPr preferRelativeResize="0"/>
            </xdr:nvPicPr>
            <xdr:blipFill rotWithShape="1">
              <a:blip xmlns:r="http://schemas.openxmlformats.org/officeDocument/2006/relationships" r:embed="rId3">
                <a:alphaModFix/>
              </a:blip>
              <a:srcRect/>
              <a:stretch/>
            </xdr:blipFill>
            <xdr:spPr>
              <a:xfrm>
                <a:off x="13076958" y="7394875"/>
                <a:ext cx="5809008" cy="2726291"/>
              </a:xfrm>
              <a:prstGeom prst="rect">
                <a:avLst/>
              </a:prstGeom>
              <a:noFill/>
              <a:ln w="9525" cap="flat" cmpd="sng">
                <a:solidFill>
                  <a:srgbClr val="000000"/>
                </a:solidFill>
                <a:prstDash val="solid"/>
                <a:round/>
                <a:headEnd type="none" w="sm" len="sm"/>
                <a:tailEnd type="none" w="sm" len="sm"/>
              </a:ln>
            </xdr:spPr>
          </xdr:pic>
        </xdr:grpSp>
      </xdr:grpSp>
    </xdr:grpSp>
    <xdr:clientData fLocksWithSheet="0"/>
  </xdr:oneCellAnchor>
  <xdr:oneCellAnchor>
    <xdr:from>
      <xdr:col>19</xdr:col>
      <xdr:colOff>967740</xdr:colOff>
      <xdr:row>44</xdr:row>
      <xdr:rowOff>20955</xdr:rowOff>
    </xdr:from>
    <xdr:ext cx="14608436" cy="1430655"/>
    <xdr:sp macro="" textlink="">
      <xdr:nvSpPr>
        <xdr:cNvPr id="15" name="Shape 15">
          <a:extLst>
            <a:ext uri="{FF2B5EF4-FFF2-40B4-BE49-F238E27FC236}">
              <a16:creationId xmlns:a16="http://schemas.microsoft.com/office/drawing/2014/main" id="{00000000-0008-0000-0300-00000F000000}"/>
            </a:ext>
          </a:extLst>
        </xdr:cNvPr>
        <xdr:cNvSpPr txBox="1"/>
      </xdr:nvSpPr>
      <xdr:spPr>
        <a:xfrm>
          <a:off x="20611652" y="8044367"/>
          <a:ext cx="14608436" cy="1430655"/>
        </a:xfrm>
        <a:prstGeom prst="rect">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rgbClr val="FF0000"/>
              </a:solidFill>
              <a:latin typeface="Calibri"/>
              <a:ea typeface="Calibri"/>
              <a:cs typeface="Calibri"/>
              <a:sym typeface="Calibri"/>
            </a:rPr>
            <a:t>Assumptions for Equation 37 (VM0010 v1.3):</a:t>
          </a:r>
          <a:endParaRPr sz="1400">
            <a:solidFill>
              <a:srgbClr val="FF0000"/>
            </a:solidFill>
          </a:endParaRPr>
        </a:p>
        <a:p>
          <a:pPr marL="0" lvl="0" indent="0" algn="l" rtl="0">
            <a:spcBef>
              <a:spcPts val="0"/>
            </a:spcBef>
            <a:spcAft>
              <a:spcPts val="0"/>
            </a:spcAft>
            <a:buNone/>
          </a:pPr>
          <a:r>
            <a:rPr lang="en-US" sz="1100">
              <a:solidFill>
                <a:srgbClr val="FF0000"/>
              </a:solidFill>
              <a:latin typeface="Calibri"/>
              <a:ea typeface="Calibri"/>
              <a:cs typeface="Calibri"/>
              <a:sym typeface="Calibri"/>
            </a:rPr>
            <a:t>- For the sake of conservativeness, both the area identified by GIS analysis and </a:t>
          </a:r>
          <a:r>
            <a:rPr lang="en-US" sz="1100" i="1">
              <a:solidFill>
                <a:srgbClr val="FF0000"/>
              </a:solidFill>
              <a:latin typeface="Calibri"/>
              <a:ea typeface="Calibri"/>
              <a:cs typeface="Calibri"/>
              <a:sym typeface="Calibri"/>
            </a:rPr>
            <a:t>in-situ</a:t>
          </a:r>
          <a:r>
            <a:rPr lang="en-US" sz="1100">
              <a:solidFill>
                <a:srgbClr val="FF0000"/>
              </a:solidFill>
              <a:latin typeface="Calibri"/>
              <a:ea typeface="Calibri"/>
              <a:cs typeface="Calibri"/>
              <a:sym typeface="Calibri"/>
            </a:rPr>
            <a:t> monitoring are accounted as areas potentially covered by illegal logging during the MP;</a:t>
          </a:r>
          <a:endParaRPr sz="1400">
            <a:solidFill>
              <a:srgbClr val="FF0000"/>
            </a:solidFill>
          </a:endParaRPr>
        </a:p>
        <a:p>
          <a:pPr marL="0" lvl="0" indent="0" algn="l" rtl="0">
            <a:spcBef>
              <a:spcPts val="0"/>
            </a:spcBef>
            <a:spcAft>
              <a:spcPts val="0"/>
            </a:spcAft>
            <a:buNone/>
          </a:pPr>
          <a:r>
            <a:rPr lang="en-US" sz="1100">
              <a:solidFill>
                <a:srgbClr val="FF0000"/>
              </a:solidFill>
              <a:latin typeface="Calibri"/>
              <a:ea typeface="Calibri"/>
              <a:cs typeface="Calibri"/>
              <a:sym typeface="Calibri"/>
            </a:rPr>
            <a:t>- The potential illegal deforestation happened in the DHC (i.e. primary) stratum (conservative assumption, since biomass is higher in this stratum);</a:t>
          </a:r>
          <a:endParaRPr sz="1400">
            <a:solidFill>
              <a:srgbClr val="FF0000"/>
            </a:solidFill>
          </a:endParaRPr>
        </a:p>
        <a:p>
          <a:pPr marL="0" lvl="0" indent="0" algn="l" rtl="0">
            <a:spcBef>
              <a:spcPts val="0"/>
            </a:spcBef>
            <a:spcAft>
              <a:spcPts val="0"/>
            </a:spcAft>
            <a:buNone/>
          </a:pPr>
          <a:r>
            <a:rPr lang="en-US" sz="1100">
              <a:solidFill>
                <a:srgbClr val="FF0000"/>
              </a:solidFill>
              <a:latin typeface="Calibri"/>
              <a:ea typeface="Calibri"/>
              <a:cs typeface="Calibri"/>
              <a:sym typeface="Calibri"/>
            </a:rPr>
            <a:t>- Deforestation happened proportionally in each monitoring year (e.g. 50% in 2022 and 50% in 2023);</a:t>
          </a:r>
          <a:endParaRPr sz="1400">
            <a:solidFill>
              <a:srgbClr val="FF0000"/>
            </a:solidFill>
          </a:endParaRPr>
        </a:p>
        <a:p>
          <a:pPr marL="0" marR="0" lvl="0" indent="0" algn="l" rtl="0">
            <a:lnSpc>
              <a:spcPct val="100000"/>
            </a:lnSpc>
            <a:spcBef>
              <a:spcPts val="0"/>
            </a:spcBef>
            <a:spcAft>
              <a:spcPts val="0"/>
            </a:spcAft>
            <a:buClr>
              <a:schemeClr val="dk1"/>
            </a:buClr>
            <a:buSzPts val="1100"/>
            <a:buFont typeface="Calibri"/>
            <a:buNone/>
          </a:pPr>
          <a:r>
            <a:rPr lang="en-US" sz="1100" b="0" i="0">
              <a:solidFill>
                <a:srgbClr val="FF0000"/>
              </a:solidFill>
              <a:latin typeface="Calibri"/>
              <a:ea typeface="Calibri"/>
              <a:cs typeface="Calibri"/>
              <a:sym typeface="Calibri"/>
            </a:rPr>
            <a:t>- For conservativeness, total carbon emissions associated with the combustion of fossil fuel (C_FUEL) and the mean volume of extracted timber for forestry infrastructure (V_Ex,inf,BSL) associated with the baseline were considered zero (check the validated joint PD and MR for the project). Indeed, these values were conservatively excluded in the calculation of baseline emissions, so they are not considered here (i.e. </a:t>
          </a:r>
          <a:r>
            <a:rPr lang="en-US" sz="1100" b="0" i="0">
              <a:solidFill>
                <a:srgbClr val="FF0000"/>
              </a:solidFill>
              <a:effectLst/>
              <a:latin typeface="+mn-lt"/>
              <a:ea typeface="+mn-ea"/>
              <a:cs typeface="+mn-cs"/>
            </a:rPr>
            <a:t>C_FUEL=0 and V_Ex,inf,BSL=0</a:t>
          </a:r>
          <a:r>
            <a:rPr lang="en-US" sz="1100" b="0" i="0">
              <a:solidFill>
                <a:srgbClr val="FF0000"/>
              </a:solidFill>
              <a:latin typeface="Calibri"/>
              <a:ea typeface="Calibri"/>
              <a:cs typeface="Calibri"/>
              <a:sym typeface="Calibri"/>
            </a:rPr>
            <a:t>).</a:t>
          </a:r>
          <a:br>
            <a:rPr lang="en-US" sz="1100" b="0" i="0">
              <a:solidFill>
                <a:srgbClr val="FF0000"/>
              </a:solidFill>
              <a:latin typeface="Calibri"/>
              <a:ea typeface="Calibri"/>
              <a:cs typeface="Calibri"/>
              <a:sym typeface="Calibri"/>
            </a:rPr>
          </a:br>
          <a:br>
            <a:rPr lang="en-US" sz="1100" b="0" i="0">
              <a:solidFill>
                <a:srgbClr val="FF0000"/>
              </a:solidFill>
              <a:latin typeface="Calibri"/>
              <a:ea typeface="Calibri"/>
              <a:cs typeface="Calibri"/>
              <a:sym typeface="Calibri"/>
            </a:rPr>
          </a:br>
          <a:r>
            <a:rPr lang="en-US" sz="1100" b="0" i="0">
              <a:solidFill>
                <a:srgbClr val="FF0000"/>
              </a:solidFill>
              <a:latin typeface="Calibri"/>
              <a:ea typeface="Calibri"/>
              <a:cs typeface="Calibri"/>
              <a:sym typeface="Calibri"/>
            </a:rPr>
            <a:t>More specific information can be found in the MR (Section 5.2).</a:t>
          </a:r>
          <a:endParaRPr sz="1400">
            <a:solidFill>
              <a:srgbClr val="FF0000"/>
            </a:solidFill>
          </a:endParaRPr>
        </a:p>
      </xdr:txBody>
    </xdr:sp>
    <xdr:clientData fLocksWithSheet="0"/>
  </xdr:oneCellAnchor>
  <xdr:oneCellAnchor>
    <xdr:from>
      <xdr:col>14</xdr:col>
      <xdr:colOff>420159</xdr:colOff>
      <xdr:row>36</xdr:row>
      <xdr:rowOff>131657</xdr:rowOff>
    </xdr:from>
    <xdr:ext cx="3895725" cy="609600"/>
    <xdr:sp macro="" textlink="">
      <xdr:nvSpPr>
        <xdr:cNvPr id="16" name="Shape 16">
          <a:extLst>
            <a:ext uri="{FF2B5EF4-FFF2-40B4-BE49-F238E27FC236}">
              <a16:creationId xmlns:a16="http://schemas.microsoft.com/office/drawing/2014/main" id="{00000000-0008-0000-0300-000010000000}"/>
            </a:ext>
          </a:extLst>
        </xdr:cNvPr>
        <xdr:cNvSpPr txBox="1"/>
      </xdr:nvSpPr>
      <xdr:spPr>
        <a:xfrm>
          <a:off x="14153477" y="6799157"/>
          <a:ext cx="3895725" cy="609600"/>
        </a:xfrm>
        <a:prstGeom prst="rect">
          <a:avLst/>
        </a:prstGeom>
        <a:solidFill>
          <a:schemeClr val="lt1"/>
        </a:solidFill>
        <a:ln w="952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0" i="0" u="none" strike="noStrike">
              <a:solidFill>
                <a:schemeClr val="dk1"/>
              </a:solidFill>
              <a:latin typeface="Calibri"/>
              <a:ea typeface="Calibri"/>
              <a:cs typeface="Calibri"/>
              <a:sym typeface="Calibri"/>
            </a:rPr>
            <a:t>Taken from the "Rapport Annuel de Surveillance des Activités Illégales 2023" SEFAC Document</a:t>
          </a:r>
          <a:r>
            <a:rPr lang="en-US" sz="1100">
              <a:solidFill>
                <a:schemeClr val="dk1"/>
              </a:solidFill>
              <a:latin typeface="Calibri"/>
              <a:ea typeface="Calibri"/>
              <a:cs typeface="Calibri"/>
              <a:sym typeface="Calibri"/>
            </a:rPr>
            <a:t> </a:t>
          </a:r>
          <a:endParaRPr sz="1100"/>
        </a:p>
      </xdr:txBody>
    </xdr:sp>
    <xdr:clientData fLocksWithSheet="0"/>
  </xdr:oneCellAnchor>
  <xdr:oneCellAnchor>
    <xdr:from>
      <xdr:col>7</xdr:col>
      <xdr:colOff>9525</xdr:colOff>
      <xdr:row>4</xdr:row>
      <xdr:rowOff>19050</xdr:rowOff>
    </xdr:from>
    <xdr:ext cx="6496050" cy="5381625"/>
    <xdr:pic>
      <xdr:nvPicPr>
        <xdr:cNvPr id="3" name="image2.jp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26</xdr:col>
      <xdr:colOff>28575</xdr:colOff>
      <xdr:row>3</xdr:row>
      <xdr:rowOff>19050</xdr:rowOff>
    </xdr:from>
    <xdr:ext cx="6867525" cy="5648325"/>
    <xdr:pic>
      <xdr:nvPicPr>
        <xdr:cNvPr id="4" name="image1.jp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14</xdr:col>
      <xdr:colOff>190500</xdr:colOff>
      <xdr:row>9</xdr:row>
      <xdr:rowOff>133350</xdr:rowOff>
    </xdr:from>
    <xdr:ext cx="7648575" cy="8534400"/>
    <xdr:pic>
      <xdr:nvPicPr>
        <xdr:cNvPr id="2" name="image3.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180975</xdr:colOff>
      <xdr:row>14</xdr:row>
      <xdr:rowOff>19050</xdr:rowOff>
    </xdr:from>
    <xdr:ext cx="4038600" cy="6248400"/>
    <xdr:sp macro="" textlink="">
      <xdr:nvSpPr>
        <xdr:cNvPr id="17" name="Shape 17">
          <a:extLst>
            <a:ext uri="{FF2B5EF4-FFF2-40B4-BE49-F238E27FC236}">
              <a16:creationId xmlns:a16="http://schemas.microsoft.com/office/drawing/2014/main" id="{00000000-0008-0000-0600-000011000000}"/>
            </a:ext>
          </a:extLst>
        </xdr:cNvPr>
        <xdr:cNvSpPr/>
      </xdr:nvSpPr>
      <xdr:spPr>
        <a:xfrm rot="5400000" flipH="1">
          <a:off x="2226563" y="1765463"/>
          <a:ext cx="6238875" cy="4029075"/>
        </a:xfrm>
        <a:prstGeom prst="bentArrow">
          <a:avLst>
            <a:gd name="adj1" fmla="val 4529"/>
            <a:gd name="adj2" fmla="val 9347"/>
            <a:gd name="adj3" fmla="val 19373"/>
            <a:gd name="adj4" fmla="val 32615"/>
          </a:avLst>
        </a:prstGeom>
        <a:solidFill>
          <a:schemeClr val="dk1"/>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solidFill>
              <a:schemeClr val="dk1"/>
            </a:solidFill>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8</xdr:col>
      <xdr:colOff>752475</xdr:colOff>
      <xdr:row>14</xdr:row>
      <xdr:rowOff>19050</xdr:rowOff>
    </xdr:from>
    <xdr:ext cx="4705350" cy="6991350"/>
    <xdr:grpSp>
      <xdr:nvGrpSpPr>
        <xdr:cNvPr id="2" name="Shape 2">
          <a:extLst>
            <a:ext uri="{FF2B5EF4-FFF2-40B4-BE49-F238E27FC236}">
              <a16:creationId xmlns:a16="http://schemas.microsoft.com/office/drawing/2014/main" id="{00000000-0008-0000-0700-000002000000}"/>
            </a:ext>
          </a:extLst>
        </xdr:cNvPr>
        <xdr:cNvGrpSpPr/>
      </xdr:nvGrpSpPr>
      <xdr:grpSpPr>
        <a:xfrm>
          <a:off x="11306175" y="3019425"/>
          <a:ext cx="4705350" cy="6991350"/>
          <a:chOff x="2993325" y="284325"/>
          <a:chExt cx="4705350" cy="6991350"/>
        </a:xfrm>
      </xdr:grpSpPr>
      <xdr:grpSp>
        <xdr:nvGrpSpPr>
          <xdr:cNvPr id="18" name="Shape 18">
            <a:extLst>
              <a:ext uri="{FF2B5EF4-FFF2-40B4-BE49-F238E27FC236}">
                <a16:creationId xmlns:a16="http://schemas.microsoft.com/office/drawing/2014/main" id="{00000000-0008-0000-0700-000012000000}"/>
              </a:ext>
            </a:extLst>
          </xdr:cNvPr>
          <xdr:cNvGrpSpPr/>
        </xdr:nvGrpSpPr>
        <xdr:grpSpPr>
          <a:xfrm>
            <a:off x="2993325" y="284325"/>
            <a:ext cx="4705350" cy="6991350"/>
            <a:chOff x="2993325" y="284325"/>
            <a:chExt cx="4705350" cy="6991350"/>
          </a:xfrm>
        </xdr:grpSpPr>
        <xdr:sp macro="" textlink="">
          <xdr:nvSpPr>
            <xdr:cNvPr id="9" name="Shape 9">
              <a:extLst>
                <a:ext uri="{FF2B5EF4-FFF2-40B4-BE49-F238E27FC236}">
                  <a16:creationId xmlns:a16="http://schemas.microsoft.com/office/drawing/2014/main" id="{00000000-0008-0000-0700-000009000000}"/>
                </a:ext>
              </a:extLst>
            </xdr:cNvPr>
            <xdr:cNvSpPr/>
          </xdr:nvSpPr>
          <xdr:spPr>
            <a:xfrm>
              <a:off x="2993325" y="284325"/>
              <a:ext cx="4705350" cy="6991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9" name="Shape 19">
              <a:extLst>
                <a:ext uri="{FF2B5EF4-FFF2-40B4-BE49-F238E27FC236}">
                  <a16:creationId xmlns:a16="http://schemas.microsoft.com/office/drawing/2014/main" id="{00000000-0008-0000-0700-000013000000}"/>
                </a:ext>
              </a:extLst>
            </xdr:cNvPr>
            <xdr:cNvGrpSpPr/>
          </xdr:nvGrpSpPr>
          <xdr:grpSpPr>
            <a:xfrm>
              <a:off x="2993325" y="284325"/>
              <a:ext cx="4705350" cy="6991350"/>
              <a:chOff x="11807825" y="3067050"/>
              <a:chExt cx="4953000" cy="7010400"/>
            </a:xfrm>
          </xdr:grpSpPr>
          <xdr:sp macro="" textlink="">
            <xdr:nvSpPr>
              <xdr:cNvPr id="20" name="Shape 20">
                <a:extLst>
                  <a:ext uri="{FF2B5EF4-FFF2-40B4-BE49-F238E27FC236}">
                    <a16:creationId xmlns:a16="http://schemas.microsoft.com/office/drawing/2014/main" id="{00000000-0008-0000-0700-000014000000}"/>
                  </a:ext>
                </a:extLst>
              </xdr:cNvPr>
              <xdr:cNvSpPr/>
            </xdr:nvSpPr>
            <xdr:spPr>
              <a:xfrm>
                <a:off x="11807825" y="3067050"/>
                <a:ext cx="4953000" cy="7010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21" name="Shape 21">
                <a:extLst>
                  <a:ext uri="{FF2B5EF4-FFF2-40B4-BE49-F238E27FC236}">
                    <a16:creationId xmlns:a16="http://schemas.microsoft.com/office/drawing/2014/main" id="{00000000-0008-0000-0700-000015000000}"/>
                  </a:ext>
                </a:extLst>
              </xdr:cNvPr>
              <xdr:cNvSpPr txBox="1"/>
            </xdr:nvSpPr>
            <xdr:spPr>
              <a:xfrm>
                <a:off x="11807825" y="9153525"/>
                <a:ext cx="4953000" cy="923925"/>
              </a:xfrm>
              <a:prstGeom prst="rect">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Project area (in yellow) and the selected forest management units (UFA, in violet) for the market leakage calculations. The latter areas are included in the Saloupoumbé and Maloundoud administrative sub-divisions, located in the East region in Cameroon. </a:t>
                </a:r>
                <a:endParaRPr sz="1100"/>
              </a:p>
            </xdr:txBody>
          </xdr:sp>
          <xdr:pic>
            <xdr:nvPicPr>
              <xdr:cNvPr id="22" name="Shape 22">
                <a:extLst>
                  <a:ext uri="{FF2B5EF4-FFF2-40B4-BE49-F238E27FC236}">
                    <a16:creationId xmlns:a16="http://schemas.microsoft.com/office/drawing/2014/main" id="{00000000-0008-0000-0700-000016000000}"/>
                  </a:ext>
                </a:extLst>
              </xdr:cNvPr>
              <xdr:cNvPicPr preferRelativeResize="0"/>
            </xdr:nvPicPr>
            <xdr:blipFill rotWithShape="1">
              <a:blip xmlns:r="http://schemas.openxmlformats.org/officeDocument/2006/relationships" r:embed="rId1">
                <a:alphaModFix/>
              </a:blip>
              <a:srcRect/>
              <a:stretch/>
            </xdr:blipFill>
            <xdr:spPr>
              <a:xfrm>
                <a:off x="11836400" y="3067050"/>
                <a:ext cx="4914900" cy="6010275"/>
              </a:xfrm>
              <a:prstGeom prst="rect">
                <a:avLst/>
              </a:prstGeom>
              <a:noFill/>
              <a:ln>
                <a:noFill/>
              </a:ln>
            </xdr:spPr>
          </xdr:pic>
        </xdr:grpSp>
      </xdr:grpSp>
    </xdr:grpSp>
    <xdr:clientData fLocksWithSheet="0"/>
  </xdr:oneCellAnchor>
  <xdr:oneCellAnchor>
    <xdr:from>
      <xdr:col>1</xdr:col>
      <xdr:colOff>0</xdr:colOff>
      <xdr:row>30</xdr:row>
      <xdr:rowOff>28575</xdr:rowOff>
    </xdr:from>
    <xdr:ext cx="3057525" cy="1123950"/>
    <xdr:pic>
      <xdr:nvPicPr>
        <xdr:cNvPr id="3" name="image4.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14</xdr:row>
      <xdr:rowOff>66675</xdr:rowOff>
    </xdr:from>
    <xdr:ext cx="8534400" cy="762000"/>
    <xdr:sp macro="" textlink="">
      <xdr:nvSpPr>
        <xdr:cNvPr id="23" name="Shape 23">
          <a:extLst>
            <a:ext uri="{FF2B5EF4-FFF2-40B4-BE49-F238E27FC236}">
              <a16:creationId xmlns:a16="http://schemas.microsoft.com/office/drawing/2014/main" id="{00000000-0008-0000-0800-000017000000}"/>
            </a:ext>
          </a:extLst>
        </xdr:cNvPr>
        <xdr:cNvSpPr txBox="1"/>
      </xdr:nvSpPr>
      <xdr:spPr>
        <a:xfrm>
          <a:off x="1078800" y="3403763"/>
          <a:ext cx="8534400" cy="752475"/>
        </a:xfrm>
        <a:prstGeom prst="rect">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i="1">
              <a:solidFill>
                <a:schemeClr val="dk1"/>
              </a:solidFill>
              <a:latin typeface="Calibri"/>
              <a:ea typeface="Calibri"/>
              <a:cs typeface="Calibri"/>
              <a:sym typeface="Calibri"/>
            </a:rPr>
            <a:t>VCS Methodology Requirements v4.2</a:t>
          </a:r>
          <a:r>
            <a:rPr lang="en-US" sz="1000">
              <a:solidFill>
                <a:schemeClr val="dk1"/>
              </a:solidFill>
              <a:latin typeface="Calibri"/>
              <a:ea typeface="Calibri"/>
              <a:cs typeface="Calibri"/>
              <a:sym typeface="Calibri"/>
            </a:rPr>
            <a:t>, Section 3.3.6: </a:t>
          </a:r>
          <a:endParaRPr sz="1400"/>
        </a:p>
        <a:p>
          <a:pPr marL="0" lvl="0" indent="0" algn="l" rtl="0">
            <a:spcBef>
              <a:spcPts val="0"/>
            </a:spcBef>
            <a:spcAft>
              <a:spcPts val="0"/>
            </a:spcAft>
            <a:buNone/>
          </a:pPr>
          <a:r>
            <a:rPr lang="en-US" sz="1000">
              <a:solidFill>
                <a:schemeClr val="dk1"/>
              </a:solidFill>
              <a:latin typeface="Calibri"/>
              <a:ea typeface="Calibri"/>
              <a:cs typeface="Calibri"/>
              <a:sym typeface="Calibri"/>
            </a:rPr>
            <a:t>"Specific carbon pools and GHG sources, including carbon pools and GHG sources that cause project and leakage emissions, may be deemed </a:t>
          </a:r>
          <a:r>
            <a:rPr lang="en-US" sz="1000" i="1">
              <a:solidFill>
                <a:schemeClr val="dk1"/>
              </a:solidFill>
              <a:latin typeface="Calibri"/>
              <a:ea typeface="Calibri"/>
              <a:cs typeface="Calibri"/>
              <a:sym typeface="Calibri"/>
            </a:rPr>
            <a:t>de minimis </a:t>
          </a:r>
          <a:r>
            <a:rPr lang="en-US" sz="1000">
              <a:solidFill>
                <a:schemeClr val="dk1"/>
              </a:solidFill>
              <a:latin typeface="Calibri"/>
              <a:ea typeface="Calibri"/>
              <a:cs typeface="Calibri"/>
              <a:sym typeface="Calibri"/>
            </a:rPr>
            <a:t>and do not have to be accounted for if together the omitted decrease in carbon stocks (in carbon pools) or increase in GHG emissions (from GHG sources) amounts to less than 5% of the total GHG benefit generated by the project."</a:t>
          </a:r>
          <a:endParaRPr sz="1000"/>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514350</xdr:colOff>
      <xdr:row>80</xdr:row>
      <xdr:rowOff>0</xdr:rowOff>
    </xdr:from>
    <xdr:ext cx="8858250" cy="2047875"/>
    <xdr:sp macro="" textlink="">
      <xdr:nvSpPr>
        <xdr:cNvPr id="24" name="Shape 24">
          <a:extLst>
            <a:ext uri="{FF2B5EF4-FFF2-40B4-BE49-F238E27FC236}">
              <a16:creationId xmlns:a16="http://schemas.microsoft.com/office/drawing/2014/main" id="{00000000-0008-0000-0A00-000018000000}"/>
            </a:ext>
          </a:extLst>
        </xdr:cNvPr>
        <xdr:cNvSpPr txBox="1"/>
      </xdr:nvSpPr>
      <xdr:spPr>
        <a:xfrm>
          <a:off x="921638" y="2760825"/>
          <a:ext cx="8848725" cy="2038350"/>
        </a:xfrm>
        <a:prstGeom prst="rect">
          <a:avLst/>
        </a:prstGeom>
        <a:solidFill>
          <a:schemeClr val="lt1"/>
        </a:solidFill>
        <a:ln w="9525"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Wood density values source:</a:t>
          </a:r>
          <a:endParaRPr sz="1400"/>
        </a:p>
        <a:p>
          <a:pPr marL="0" lvl="0" indent="0" algn="l" rtl="0">
            <a:spcBef>
              <a:spcPts val="0"/>
            </a:spcBef>
            <a:spcAft>
              <a:spcPts val="0"/>
            </a:spcAft>
            <a:buSzPts val="1100"/>
            <a:buFont typeface="Arial"/>
            <a:buNone/>
          </a:pPr>
          <a:endParaRPr sz="11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 </a:t>
          </a:r>
          <a:r>
            <a:rPr lang="en-US" sz="1100" b="0" i="0">
              <a:solidFill>
                <a:schemeClr val="dk1"/>
              </a:solidFill>
              <a:latin typeface="Calibri"/>
              <a:ea typeface="Calibri"/>
              <a:cs typeface="Calibri"/>
              <a:sym typeface="Calibri"/>
            </a:rPr>
            <a:t>Carsan, S. Orwa, C. Harwood, C. Kindt, R. Stroebel, A. Neufeldt, H. and Jamnadass, R. 2012. </a:t>
          </a:r>
          <a:r>
            <a:rPr lang="en-US" sz="1100" b="0" i="1">
              <a:solidFill>
                <a:schemeClr val="dk1"/>
              </a:solidFill>
              <a:latin typeface="Calibri"/>
              <a:ea typeface="Calibri"/>
              <a:cs typeface="Calibri"/>
              <a:sym typeface="Calibri"/>
            </a:rPr>
            <a:t>African Wood Density Database</a:t>
          </a:r>
          <a:r>
            <a:rPr lang="en-US" sz="1100" b="0" i="0">
              <a:solidFill>
                <a:schemeClr val="dk1"/>
              </a:solidFill>
              <a:latin typeface="Calibri"/>
              <a:ea typeface="Calibri"/>
              <a:cs typeface="Calibri"/>
              <a:sym typeface="Calibri"/>
            </a:rPr>
            <a:t>. World Agroforestry Centre, Nairobi. (http://apps.worldagroforestry.org/treesandmarkets/wood) </a:t>
          </a:r>
          <a:endParaRPr sz="1100"/>
        </a:p>
        <a:p>
          <a:pPr marL="0" lvl="0" indent="0" algn="l" rtl="0">
            <a:spcBef>
              <a:spcPts val="0"/>
            </a:spcBef>
            <a:spcAft>
              <a:spcPts val="0"/>
            </a:spcAft>
            <a:buSzPts val="1100"/>
            <a:buFont typeface="Arial"/>
            <a:buNone/>
          </a:pPr>
          <a:endParaRPr sz="11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 CIRAD, </a:t>
          </a:r>
          <a:r>
            <a:rPr lang="en-US" sz="1100" i="1">
              <a:solidFill>
                <a:schemeClr val="dk1"/>
              </a:solidFill>
              <a:latin typeface="Calibri"/>
              <a:ea typeface="Calibri"/>
              <a:cs typeface="Calibri"/>
              <a:sym typeface="Calibri"/>
            </a:rPr>
            <a:t>Tropix 7</a:t>
          </a:r>
          <a:r>
            <a:rPr lang="en-US" sz="1100">
              <a:solidFill>
                <a:schemeClr val="dk1"/>
              </a:solidFill>
              <a:latin typeface="Calibri"/>
              <a:ea typeface="Calibri"/>
              <a:cs typeface="Calibri"/>
              <a:sym typeface="Calibri"/>
            </a:rPr>
            <a:t>, Technical Data Sheets (</a:t>
          </a:r>
          <a:r>
            <a:rPr lang="en-US" sz="1100" b="0" i="0" u="sng">
              <a:solidFill>
                <a:schemeClr val="dk1"/>
              </a:solidFill>
              <a:latin typeface="Calibri"/>
              <a:ea typeface="Calibri"/>
              <a:cs typeface="Calibri"/>
              <a:sym typeface="Calibri"/>
            </a:rPr>
            <a:t>doi:10.18167/74726F706978</a:t>
          </a:r>
          <a:r>
            <a:rPr lang="en-US" sz="1100">
              <a:solidFill>
                <a:schemeClr val="dk1"/>
              </a:solidFill>
              <a:latin typeface="Calibri"/>
              <a:ea typeface="Calibri"/>
              <a:cs typeface="Calibri"/>
              <a:sym typeface="Calibri"/>
            </a:rPr>
            <a:t>)</a:t>
          </a:r>
          <a:endParaRPr sz="1100"/>
        </a:p>
        <a:p>
          <a:pPr marL="0" lvl="0" indent="0" algn="l" rtl="0">
            <a:spcBef>
              <a:spcPts val="0"/>
            </a:spcBef>
            <a:spcAft>
              <a:spcPts val="0"/>
            </a:spcAft>
            <a:buSzPts val="1100"/>
            <a:buFont typeface="Arial"/>
            <a:buNone/>
          </a:pPr>
          <a:endParaRPr sz="11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 J.C. Cerre, J. Gérard, D. Guibal and S. Paradis, 2017; </a:t>
          </a:r>
          <a:r>
            <a:rPr lang="en-US" sz="1100" i="1">
              <a:solidFill>
                <a:schemeClr val="dk1"/>
              </a:solidFill>
              <a:latin typeface="Calibri"/>
              <a:ea typeface="Calibri"/>
              <a:cs typeface="Calibri"/>
              <a:sym typeface="Calibri"/>
            </a:rPr>
            <a:t>Tropical Timber Atlas: Technological characteristics and uses, </a:t>
          </a:r>
          <a:r>
            <a:rPr lang="en-US" sz="1100">
              <a:solidFill>
                <a:schemeClr val="dk1"/>
              </a:solidFill>
              <a:latin typeface="Calibri"/>
              <a:ea typeface="Calibri"/>
              <a:cs typeface="Calibri"/>
              <a:sym typeface="Calibri"/>
            </a:rPr>
            <a:t>ISBN:9782759227709</a:t>
          </a:r>
          <a:endParaRPr sz="1400"/>
        </a:p>
      </xdr:txBody>
    </xdr:sp>
    <xdr:clientData fLocksWithSheet="0"/>
  </xdr:oneCellAnchor>
  <xdr:oneCellAnchor>
    <xdr:from>
      <xdr:col>1</xdr:col>
      <xdr:colOff>0</xdr:colOff>
      <xdr:row>13</xdr:row>
      <xdr:rowOff>104775</xdr:rowOff>
    </xdr:from>
    <xdr:ext cx="5591175" cy="2390775"/>
    <xdr:sp macro="" textlink="">
      <xdr:nvSpPr>
        <xdr:cNvPr id="25" name="Shape 25">
          <a:extLst>
            <a:ext uri="{FF2B5EF4-FFF2-40B4-BE49-F238E27FC236}">
              <a16:creationId xmlns:a16="http://schemas.microsoft.com/office/drawing/2014/main" id="{00000000-0008-0000-0A00-000019000000}"/>
            </a:ext>
          </a:extLst>
        </xdr:cNvPr>
        <xdr:cNvSpPr txBox="1"/>
      </xdr:nvSpPr>
      <xdr:spPr>
        <a:xfrm>
          <a:off x="2555175" y="2589375"/>
          <a:ext cx="5581650" cy="2381250"/>
        </a:xfrm>
        <a:prstGeom prst="rect">
          <a:avLst/>
        </a:prstGeom>
        <a:solidFill>
          <a:srgbClr val="FFF2CC"/>
        </a:solidFill>
        <a:ln w="952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Since selective logging was applied in the baseline scenario, only a share of tree in the logged area are subjected to the regrowth after timber harvest. </a:t>
          </a:r>
          <a:endParaRPr sz="1400"/>
        </a:p>
        <a:p>
          <a:pPr marL="0" marR="0" lvl="0" indent="0" algn="l" rtl="0">
            <a:lnSpc>
              <a:spcPct val="100000"/>
            </a:lnSpc>
            <a:spcBef>
              <a:spcPts val="0"/>
            </a:spcBef>
            <a:spcAft>
              <a:spcPts val="0"/>
            </a:spcAft>
            <a:buClr>
              <a:schemeClr val="dk1"/>
            </a:buClr>
            <a:buSzPts val="1100"/>
            <a:buFont typeface="Arial"/>
            <a:buNone/>
          </a:pPr>
          <a:r>
            <a:rPr lang="en-US" sz="1100">
              <a:solidFill>
                <a:schemeClr val="dk1"/>
              </a:solidFill>
              <a:latin typeface="Calibri"/>
              <a:ea typeface="Calibri"/>
              <a:cs typeface="Calibri"/>
              <a:sym typeface="Calibri"/>
            </a:rPr>
            <a:t>For this reason, we decided to calculate the regrowth only on the share of biomass which should be subjected to logging: we thus calculated this share by dividing the above ground biomass (AGB, t d.m./ha) logged by the one related to the natural forest (for each stratum).  We then assumed that logged forest regrows with a RGR proper to the one of secondary forest (&lt;20 years), in order to be conservative (since this type of vegetation have the higher regrowth rate).</a:t>
          </a:r>
          <a:endParaRPr sz="11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For the calculation of the share, we made the following assumptions:</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 natural forest AGB were assumed as the one from 2019 IPCC standard values (assuming DHB as a primary forest, S and MIT as secondary forests &gt;20 years); </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 logged forest AGB were calculated by multiplying the C</a:t>
          </a:r>
          <a:r>
            <a:rPr lang="en-US" sz="1100" baseline="-25000">
              <a:solidFill>
                <a:schemeClr val="dk1"/>
              </a:solidFill>
              <a:latin typeface="Calibri"/>
              <a:ea typeface="Calibri"/>
              <a:cs typeface="Calibri"/>
              <a:sym typeface="Calibri"/>
            </a:rPr>
            <a:t>HB</a:t>
          </a:r>
          <a:r>
            <a:rPr lang="en-US" sz="1100">
              <a:solidFill>
                <a:schemeClr val="dk1"/>
              </a:solidFill>
              <a:latin typeface="Calibri"/>
              <a:ea typeface="Calibri"/>
              <a:cs typeface="Calibri"/>
              <a:sym typeface="Calibri"/>
            </a:rPr>
            <a:t> by the BCEF</a:t>
          </a:r>
          <a:r>
            <a:rPr lang="en-US" sz="1100" baseline="-25000">
              <a:solidFill>
                <a:schemeClr val="dk1"/>
              </a:solidFill>
              <a:latin typeface="Calibri"/>
              <a:ea typeface="Calibri"/>
              <a:cs typeface="Calibri"/>
              <a:sym typeface="Calibri"/>
            </a:rPr>
            <a:t>R</a:t>
          </a:r>
          <a:r>
            <a:rPr lang="en-US" sz="1100">
              <a:solidFill>
                <a:schemeClr val="dk1"/>
              </a:solidFill>
              <a:latin typeface="Calibri"/>
              <a:ea typeface="Calibri"/>
              <a:cs typeface="Calibri"/>
              <a:sym typeface="Calibri"/>
            </a:rPr>
            <a:t>, divided by the carbon fraction of wood.</a:t>
          </a:r>
          <a:endParaRPr sz="1400"/>
        </a:p>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hyperlink" Target="https://cbmjournal.biomedcentral.com/articles/10.1186/s13021-018-0111-7"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8"/>
  <sheetViews>
    <sheetView workbookViewId="0"/>
  </sheetViews>
  <sheetFormatPr defaultColWidth="14.42578125" defaultRowHeight="15" customHeight="1"/>
  <cols>
    <col min="1" max="1" width="8.7109375" customWidth="1"/>
    <col min="2" max="2" width="15.7109375" customWidth="1"/>
    <col min="3" max="3" width="23.7109375" customWidth="1"/>
    <col min="4" max="4" width="20.7109375" customWidth="1"/>
    <col min="5" max="5" width="18" customWidth="1"/>
    <col min="6" max="6" width="15.7109375" customWidth="1"/>
    <col min="7" max="7" width="26.5703125" customWidth="1"/>
    <col min="8" max="8" width="20.28515625" customWidth="1"/>
    <col min="9" max="9" width="13.42578125" customWidth="1"/>
    <col min="10" max="10" width="18" customWidth="1"/>
    <col min="11" max="11" width="13.42578125" customWidth="1"/>
    <col min="12" max="12" width="18.28515625" customWidth="1"/>
    <col min="13" max="13" width="21.7109375" customWidth="1"/>
    <col min="14" max="14" width="13.42578125" customWidth="1"/>
    <col min="15" max="15" width="22" customWidth="1"/>
    <col min="16" max="19" width="13" customWidth="1"/>
    <col min="20" max="20" width="15.28515625" customWidth="1"/>
    <col min="21" max="21" width="11.28515625" customWidth="1"/>
    <col min="22" max="26" width="8.7109375" customWidth="1"/>
    <col min="27" max="27" width="16.28515625" customWidth="1"/>
    <col min="28" max="28" width="8.7109375" customWidth="1"/>
    <col min="29" max="29" width="16.5703125" customWidth="1"/>
    <col min="30" max="38" width="8.7109375" customWidth="1"/>
    <col min="39" max="39" width="23.7109375" customWidth="1"/>
    <col min="40" max="40" width="8.7109375" customWidth="1"/>
    <col min="41" max="41" width="12" customWidth="1"/>
    <col min="42" max="42" width="18.42578125" customWidth="1"/>
    <col min="43" max="43" width="8.7109375" customWidth="1"/>
    <col min="44" max="44" width="15.28515625" customWidth="1"/>
    <col min="45" max="47" width="8.7109375" customWidth="1"/>
    <col min="48" max="48" width="22.140625" customWidth="1"/>
    <col min="49" max="49" width="8.7109375" customWidth="1"/>
  </cols>
  <sheetData>
    <row r="1" spans="1:49"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row>
    <row r="2" spans="1:49" ht="14.25" customHeight="1">
      <c r="A2" s="1"/>
      <c r="B2" s="352" t="s">
        <v>0</v>
      </c>
      <c r="C2" s="353"/>
      <c r="D2" s="353"/>
      <c r="E2" s="353"/>
      <c r="F2" s="353"/>
      <c r="G2" s="353"/>
      <c r="H2" s="353"/>
      <c r="I2" s="353"/>
      <c r="J2" s="353"/>
      <c r="K2" s="353"/>
      <c r="L2" s="353"/>
      <c r="M2" s="353"/>
      <c r="N2" s="353"/>
      <c r="O2" s="353"/>
      <c r="P2" s="353"/>
      <c r="Q2" s="353"/>
      <c r="R2" s="353"/>
      <c r="S2" s="354"/>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1:49" ht="14.25" customHeight="1">
      <c r="A3" s="1"/>
      <c r="B3" s="355"/>
      <c r="C3" s="356"/>
      <c r="D3" s="356"/>
      <c r="E3" s="356"/>
      <c r="F3" s="356"/>
      <c r="G3" s="356"/>
      <c r="H3" s="356"/>
      <c r="I3" s="356"/>
      <c r="J3" s="356"/>
      <c r="K3" s="356"/>
      <c r="L3" s="356"/>
      <c r="M3" s="356"/>
      <c r="N3" s="356"/>
      <c r="O3" s="356"/>
      <c r="P3" s="356"/>
      <c r="Q3" s="356"/>
      <c r="R3" s="356"/>
      <c r="S3" s="357"/>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ht="14.25" customHeight="1">
      <c r="A4" s="1"/>
      <c r="B4" s="355"/>
      <c r="C4" s="356"/>
      <c r="D4" s="356"/>
      <c r="E4" s="356"/>
      <c r="F4" s="356"/>
      <c r="G4" s="356"/>
      <c r="H4" s="356"/>
      <c r="I4" s="356"/>
      <c r="J4" s="356"/>
      <c r="K4" s="356"/>
      <c r="L4" s="356"/>
      <c r="M4" s="356"/>
      <c r="N4" s="356"/>
      <c r="O4" s="356"/>
      <c r="P4" s="356"/>
      <c r="Q4" s="356"/>
      <c r="R4" s="356"/>
      <c r="S4" s="357"/>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ht="14.25" customHeight="1">
      <c r="A5" s="1"/>
      <c r="B5" s="358"/>
      <c r="C5" s="359"/>
      <c r="D5" s="359"/>
      <c r="E5" s="359"/>
      <c r="F5" s="359"/>
      <c r="G5" s="359"/>
      <c r="H5" s="359"/>
      <c r="I5" s="359"/>
      <c r="J5" s="359"/>
      <c r="K5" s="359"/>
      <c r="L5" s="359"/>
      <c r="M5" s="359"/>
      <c r="N5" s="359"/>
      <c r="O5" s="359"/>
      <c r="P5" s="359"/>
      <c r="Q5" s="359"/>
      <c r="R5" s="359"/>
      <c r="S5" s="360"/>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row>
    <row r="6" spans="1:49" ht="14.2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row>
    <row r="7" spans="1:49" ht="14.2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ht="27" customHeight="1">
      <c r="A8" s="1"/>
      <c r="D8" s="1"/>
      <c r="E8" s="361" t="s">
        <v>1</v>
      </c>
      <c r="F8" s="362"/>
      <c r="G8" s="362"/>
      <c r="H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9" ht="42" customHeight="1">
      <c r="A9" s="1"/>
      <c r="D9" s="1"/>
      <c r="E9" s="315" t="s">
        <v>2</v>
      </c>
      <c r="F9" s="363"/>
      <c r="G9" s="2" t="s">
        <v>3</v>
      </c>
      <c r="H9" s="1"/>
      <c r="J9" s="364" t="s">
        <v>4</v>
      </c>
      <c r="K9" s="365"/>
      <c r="L9" s="365"/>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1:49" ht="30" customHeight="1">
      <c r="A10" s="1"/>
      <c r="B10" s="1"/>
      <c r="C10" s="1"/>
      <c r="D10" s="1"/>
      <c r="E10" s="366" t="s">
        <v>5</v>
      </c>
      <c r="F10" s="367" t="s">
        <v>6</v>
      </c>
      <c r="G10" s="3" t="s">
        <v>7</v>
      </c>
      <c r="H10" s="1"/>
      <c r="I10" s="1"/>
      <c r="J10" s="368" t="s">
        <v>8</v>
      </c>
      <c r="K10" s="369"/>
      <c r="L10" s="4" t="s">
        <v>9</v>
      </c>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49" ht="39" customHeight="1">
      <c r="A11" s="1"/>
      <c r="B11" s="5" t="s">
        <v>10</v>
      </c>
      <c r="C11" s="6" t="s">
        <v>11</v>
      </c>
      <c r="D11" s="7" t="s">
        <v>12</v>
      </c>
      <c r="E11" s="8"/>
      <c r="F11" s="9"/>
      <c r="G11" s="10"/>
      <c r="H11" s="1"/>
      <c r="I11" s="11" t="s">
        <v>13</v>
      </c>
      <c r="J11" s="12" t="s">
        <v>5</v>
      </c>
      <c r="K11" s="13" t="s">
        <v>6</v>
      </c>
      <c r="L11" s="14" t="s">
        <v>7</v>
      </c>
      <c r="O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9" ht="21" customHeight="1">
      <c r="A12" s="1"/>
      <c r="B12" s="370">
        <v>2018</v>
      </c>
      <c r="C12" s="370">
        <v>4</v>
      </c>
      <c r="D12" s="371">
        <v>4.2</v>
      </c>
      <c r="E12" s="15">
        <v>2584.3827899999997</v>
      </c>
      <c r="F12" s="16">
        <v>212.22520999999998</v>
      </c>
      <c r="G12" s="17">
        <f t="shared" ref="G12:G17" si="0">SUM(E12:F12)</f>
        <v>2796.6079999999997</v>
      </c>
      <c r="H12" s="1"/>
      <c r="I12" s="18">
        <v>2018</v>
      </c>
      <c r="J12" s="19">
        <v>2584.3827899999997</v>
      </c>
      <c r="K12" s="19">
        <v>212.22520999999998</v>
      </c>
      <c r="L12" s="19">
        <f t="shared" ref="L12:L15" si="1">SUM(J12:K12)</f>
        <v>2796.6079999999997</v>
      </c>
      <c r="O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49" ht="21" customHeight="1">
      <c r="A13" s="1"/>
      <c r="B13" s="20">
        <v>2019</v>
      </c>
      <c r="C13" s="20">
        <v>4</v>
      </c>
      <c r="D13" s="21">
        <v>4.3</v>
      </c>
      <c r="E13" s="15">
        <v>2717.4274299999997</v>
      </c>
      <c r="F13" s="16">
        <v>75.400229999999993</v>
      </c>
      <c r="G13" s="17">
        <f t="shared" si="0"/>
        <v>2792.8276599999999</v>
      </c>
      <c r="H13" s="1"/>
      <c r="I13" s="18">
        <v>2019</v>
      </c>
      <c r="J13" s="19">
        <v>5301.8102199999994</v>
      </c>
      <c r="K13" s="19">
        <v>287.62543999999997</v>
      </c>
      <c r="L13" s="19">
        <f t="shared" si="1"/>
        <v>5589.4356599999992</v>
      </c>
      <c r="O13" s="1"/>
      <c r="S13" s="1"/>
      <c r="T13" s="1"/>
      <c r="U13" s="1"/>
      <c r="V13" s="1"/>
      <c r="W13" s="1"/>
      <c r="X13" s="1"/>
      <c r="Y13" s="1"/>
      <c r="Z13" s="1"/>
      <c r="AA13" s="1"/>
      <c r="AB13" s="1"/>
      <c r="AC13" s="1"/>
      <c r="AD13" s="1"/>
      <c r="AE13" s="1"/>
      <c r="AF13" s="1"/>
      <c r="AG13" s="1"/>
      <c r="AH13" s="1"/>
      <c r="AI13" s="1"/>
      <c r="AJ13" s="1"/>
      <c r="AK13" s="1"/>
      <c r="AL13" s="1"/>
      <c r="AM13" s="1"/>
      <c r="AN13" s="1"/>
      <c r="AO13" s="1"/>
      <c r="AP13" s="1"/>
    </row>
    <row r="14" spans="1:49" ht="21" customHeight="1">
      <c r="A14" s="1"/>
      <c r="B14" s="20">
        <v>2020</v>
      </c>
      <c r="C14" s="20">
        <v>4</v>
      </c>
      <c r="D14" s="21">
        <v>4.4000000000000004</v>
      </c>
      <c r="E14" s="15">
        <v>2415.8177699999997</v>
      </c>
      <c r="F14" s="16">
        <v>221.14164</v>
      </c>
      <c r="G14" s="17">
        <f t="shared" si="0"/>
        <v>2636.9594099999995</v>
      </c>
      <c r="H14" s="1"/>
      <c r="I14" s="18">
        <v>2020</v>
      </c>
      <c r="J14" s="19">
        <v>7717.627989999999</v>
      </c>
      <c r="K14" s="19">
        <v>508.76707999999996</v>
      </c>
      <c r="L14" s="19">
        <f t="shared" si="1"/>
        <v>8226.3950699999987</v>
      </c>
      <c r="O14" s="1"/>
      <c r="S14" s="1"/>
      <c r="T14" s="1"/>
      <c r="U14" s="1"/>
      <c r="V14" s="1"/>
      <c r="W14" s="1"/>
      <c r="X14" s="1"/>
      <c r="Y14" s="1"/>
      <c r="Z14" s="1"/>
      <c r="AA14" s="1"/>
      <c r="AB14" s="1"/>
      <c r="AC14" s="1"/>
      <c r="AD14" s="1"/>
      <c r="AE14" s="1"/>
      <c r="AF14" s="1"/>
      <c r="AG14" s="1"/>
      <c r="AH14" s="1"/>
      <c r="AI14" s="1"/>
      <c r="AJ14" s="1"/>
      <c r="AK14" s="1"/>
      <c r="AL14" s="1"/>
      <c r="AM14" s="1"/>
      <c r="AN14" s="1"/>
      <c r="AO14" s="1"/>
      <c r="AP14" s="1"/>
    </row>
    <row r="15" spans="1:49" ht="21" customHeight="1">
      <c r="A15" s="1"/>
      <c r="B15" s="20">
        <v>2021</v>
      </c>
      <c r="C15" s="20">
        <v>4</v>
      </c>
      <c r="D15" s="21">
        <v>4.5</v>
      </c>
      <c r="E15" s="15">
        <v>2331.6529500000001</v>
      </c>
      <c r="F15" s="16">
        <v>303.18715000000003</v>
      </c>
      <c r="G15" s="17">
        <f t="shared" si="0"/>
        <v>2634.8401000000003</v>
      </c>
      <c r="H15" s="1"/>
      <c r="I15" s="18">
        <v>2021</v>
      </c>
      <c r="J15" s="19">
        <v>10049.280939999999</v>
      </c>
      <c r="K15" s="19">
        <v>811.95423000000005</v>
      </c>
      <c r="L15" s="19">
        <f t="shared" si="1"/>
        <v>10861.235169999998</v>
      </c>
      <c r="O15" s="1"/>
      <c r="S15" s="1"/>
      <c r="T15" s="1"/>
      <c r="U15" s="1"/>
      <c r="V15" s="1"/>
      <c r="W15" s="1"/>
      <c r="X15" s="1"/>
      <c r="Y15" s="1"/>
      <c r="Z15" s="1"/>
      <c r="AA15" s="1"/>
      <c r="AB15" s="1"/>
      <c r="AC15" s="1"/>
      <c r="AD15" s="1"/>
      <c r="AE15" s="1"/>
      <c r="AF15" s="1"/>
      <c r="AG15" s="1"/>
      <c r="AH15" s="1"/>
      <c r="AI15" s="1"/>
      <c r="AJ15" s="1"/>
      <c r="AK15" s="1"/>
      <c r="AL15" s="1"/>
      <c r="AM15" s="1"/>
      <c r="AN15" s="1"/>
      <c r="AO15" s="1"/>
      <c r="AP15" s="1"/>
    </row>
    <row r="16" spans="1:49" ht="21" customHeight="1">
      <c r="A16" s="1"/>
      <c r="B16" s="372">
        <v>2022</v>
      </c>
      <c r="C16" s="372">
        <v>5</v>
      </c>
      <c r="D16" s="373">
        <v>5.0999999999999996</v>
      </c>
      <c r="E16" s="22">
        <v>2196</v>
      </c>
      <c r="F16" s="23">
        <v>251</v>
      </c>
      <c r="G16" s="24">
        <f t="shared" si="0"/>
        <v>2447</v>
      </c>
      <c r="H16" s="1"/>
      <c r="I16" s="25">
        <v>2022</v>
      </c>
      <c r="J16" s="26">
        <v>12245.068589999999</v>
      </c>
      <c r="K16" s="26">
        <v>1063.1251300000001</v>
      </c>
      <c r="L16" s="26">
        <v>13308.193719999999</v>
      </c>
      <c r="M16" s="1"/>
      <c r="N16" s="1"/>
      <c r="O16" s="1"/>
      <c r="S16" s="1"/>
      <c r="T16" s="1"/>
      <c r="U16" s="1"/>
      <c r="V16" s="1"/>
      <c r="W16" s="1"/>
      <c r="X16" s="1"/>
      <c r="Y16" s="1"/>
      <c r="Z16" s="1"/>
      <c r="AA16" s="1"/>
      <c r="AB16" s="1"/>
      <c r="AC16" s="1"/>
      <c r="AD16" s="1"/>
      <c r="AE16" s="1"/>
      <c r="AF16" s="1"/>
      <c r="AG16" s="1"/>
      <c r="AH16" s="1"/>
      <c r="AI16" s="1"/>
      <c r="AJ16" s="1"/>
      <c r="AK16" s="1"/>
      <c r="AL16" s="1"/>
      <c r="AM16" s="1"/>
      <c r="AN16" s="1"/>
      <c r="AO16" s="1"/>
      <c r="AP16" s="1"/>
    </row>
    <row r="17" spans="1:49" ht="21" customHeight="1">
      <c r="A17" s="1"/>
      <c r="B17" s="27">
        <v>2023</v>
      </c>
      <c r="C17" s="27">
        <v>5</v>
      </c>
      <c r="D17" s="28">
        <v>5.2</v>
      </c>
      <c r="E17" s="22">
        <v>2095</v>
      </c>
      <c r="F17" s="23">
        <v>854</v>
      </c>
      <c r="G17" s="24">
        <f t="shared" si="0"/>
        <v>2949</v>
      </c>
      <c r="H17" s="1"/>
      <c r="I17" s="25">
        <v>2023</v>
      </c>
      <c r="J17" s="26">
        <v>14339.728289999999</v>
      </c>
      <c r="K17" s="26">
        <v>1917.4696899999999</v>
      </c>
      <c r="L17" s="26">
        <v>16257.197979999999</v>
      </c>
      <c r="M17" s="1"/>
      <c r="N17" s="1"/>
      <c r="O17" s="1"/>
      <c r="S17" s="1"/>
      <c r="T17" s="1"/>
      <c r="U17" s="1"/>
      <c r="V17" s="1"/>
      <c r="W17" s="1"/>
      <c r="X17" s="1"/>
      <c r="Y17" s="1"/>
      <c r="Z17" s="1"/>
      <c r="AA17" s="1"/>
      <c r="AB17" s="1"/>
      <c r="AC17" s="1"/>
      <c r="AD17" s="1"/>
      <c r="AE17" s="1"/>
      <c r="AF17" s="1"/>
      <c r="AG17" s="1"/>
      <c r="AH17" s="1"/>
      <c r="AI17" s="1"/>
      <c r="AJ17" s="1"/>
      <c r="AK17" s="1"/>
      <c r="AL17" s="1"/>
      <c r="AM17" s="1"/>
      <c r="AN17" s="1"/>
      <c r="AO17" s="1"/>
      <c r="AP17" s="1"/>
    </row>
    <row r="18" spans="1:49" ht="21" customHeight="1">
      <c r="A18" s="1"/>
      <c r="B18" s="1"/>
      <c r="C18" s="1"/>
      <c r="D18" s="1"/>
      <c r="E18" s="29">
        <f t="shared" ref="E18:G18" si="2">SUM(E12:E17)</f>
        <v>14340.280939999999</v>
      </c>
      <c r="F18" s="30">
        <f t="shared" si="2"/>
        <v>1916.9542300000001</v>
      </c>
      <c r="G18" s="31">
        <f t="shared" si="2"/>
        <v>16257.23517</v>
      </c>
      <c r="H18" s="1"/>
      <c r="I18" s="1"/>
      <c r="J18" s="1"/>
      <c r="K18" s="1"/>
      <c r="L18" s="1"/>
      <c r="M18" s="1"/>
      <c r="N18" s="1"/>
      <c r="O18" s="1"/>
      <c r="S18" s="1"/>
      <c r="T18" s="1"/>
      <c r="U18" s="1"/>
      <c r="V18" s="1"/>
      <c r="W18" s="1"/>
      <c r="X18" s="1"/>
      <c r="Y18" s="1"/>
      <c r="Z18" s="1"/>
      <c r="AA18" s="1"/>
      <c r="AB18" s="1"/>
      <c r="AC18" s="1"/>
      <c r="AD18" s="1"/>
      <c r="AE18" s="1"/>
      <c r="AF18" s="1"/>
      <c r="AG18" s="1"/>
      <c r="AH18" s="1"/>
      <c r="AI18" s="1"/>
      <c r="AJ18" s="1"/>
      <c r="AK18" s="1"/>
      <c r="AL18" s="1"/>
      <c r="AM18" s="1"/>
      <c r="AN18" s="1"/>
      <c r="AO18" s="1"/>
      <c r="AP18" s="1"/>
      <c r="AQ18" s="1"/>
    </row>
    <row r="19" spans="1:49" ht="22.5" customHeight="1">
      <c r="A19" s="1"/>
      <c r="B19" s="1"/>
      <c r="C19" s="1"/>
      <c r="D19" s="1"/>
      <c r="E19" s="32"/>
      <c r="F19" s="32"/>
      <c r="G19" s="32"/>
      <c r="H19" s="1"/>
      <c r="I19" s="1"/>
      <c r="J19" s="1"/>
      <c r="K19" s="1"/>
      <c r="L19" s="1"/>
      <c r="M19" s="1"/>
      <c r="N19" s="1"/>
      <c r="O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row>
    <row r="20" spans="1:49"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row>
    <row r="21" spans="1:49" ht="22.5" customHeight="1">
      <c r="A21" s="1"/>
      <c r="B21" s="1"/>
      <c r="C21" s="1"/>
      <c r="D21" s="1"/>
      <c r="E21" s="1" t="s">
        <v>14</v>
      </c>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row>
    <row r="22" spans="1:49" ht="22.5" customHeight="1">
      <c r="A22" s="1"/>
      <c r="B22" s="1"/>
      <c r="C22" s="1"/>
      <c r="D22" s="1"/>
      <c r="E22" s="12" t="s">
        <v>5</v>
      </c>
      <c r="F22" s="33" t="s">
        <v>15</v>
      </c>
      <c r="G22" s="1"/>
      <c r="H22" s="1"/>
      <c r="I22" s="34"/>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row>
    <row r="23" spans="1:49" ht="14.25" customHeight="1">
      <c r="A23" s="1"/>
      <c r="B23" s="1"/>
      <c r="C23" s="1"/>
      <c r="D23" s="1"/>
      <c r="E23" s="13" t="s">
        <v>6</v>
      </c>
      <c r="F23" s="33" t="s">
        <v>16</v>
      </c>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row>
    <row r="24" spans="1:49"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row>
    <row r="25" spans="1:49"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row>
    <row r="26" spans="1:49" ht="14.25" customHeight="1">
      <c r="A26" s="1"/>
      <c r="B26" s="352" t="s">
        <v>17</v>
      </c>
      <c r="C26" s="353"/>
      <c r="D26" s="353"/>
      <c r="E26" s="353"/>
      <c r="F26" s="353"/>
      <c r="G26" s="353"/>
      <c r="H26" s="353"/>
      <c r="I26" s="353"/>
      <c r="J26" s="353"/>
      <c r="K26" s="353"/>
      <c r="L26" s="353"/>
      <c r="M26" s="353"/>
      <c r="N26" s="353"/>
      <c r="O26" s="353"/>
      <c r="P26" s="353"/>
      <c r="Q26" s="353"/>
      <c r="R26" s="353"/>
      <c r="S26" s="354"/>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row>
    <row r="27" spans="1:49" ht="14.25" customHeight="1">
      <c r="A27" s="1"/>
      <c r="B27" s="355"/>
      <c r="C27" s="356"/>
      <c r="D27" s="356"/>
      <c r="E27" s="356"/>
      <c r="F27" s="356"/>
      <c r="G27" s="356"/>
      <c r="H27" s="356"/>
      <c r="I27" s="356"/>
      <c r="J27" s="356"/>
      <c r="K27" s="356"/>
      <c r="L27" s="356"/>
      <c r="M27" s="356"/>
      <c r="N27" s="356"/>
      <c r="O27" s="356"/>
      <c r="P27" s="356"/>
      <c r="Q27" s="356"/>
      <c r="R27" s="356"/>
      <c r="S27" s="357"/>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1:49" ht="14.25" customHeight="1">
      <c r="A28" s="1"/>
      <c r="B28" s="355"/>
      <c r="C28" s="356"/>
      <c r="D28" s="356"/>
      <c r="E28" s="356"/>
      <c r="F28" s="356"/>
      <c r="G28" s="356"/>
      <c r="H28" s="356"/>
      <c r="I28" s="356"/>
      <c r="J28" s="356"/>
      <c r="K28" s="356"/>
      <c r="L28" s="356"/>
      <c r="M28" s="356"/>
      <c r="N28" s="356"/>
      <c r="O28" s="356"/>
      <c r="P28" s="356"/>
      <c r="Q28" s="356"/>
      <c r="R28" s="356"/>
      <c r="S28" s="357"/>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row>
    <row r="29" spans="1:49" ht="14.25" customHeight="1">
      <c r="A29" s="1"/>
      <c r="B29" s="358"/>
      <c r="C29" s="359"/>
      <c r="D29" s="359"/>
      <c r="E29" s="359"/>
      <c r="F29" s="359"/>
      <c r="G29" s="359"/>
      <c r="H29" s="359"/>
      <c r="I29" s="359"/>
      <c r="J29" s="359"/>
      <c r="K29" s="359"/>
      <c r="L29" s="359"/>
      <c r="M29" s="359"/>
      <c r="N29" s="359"/>
      <c r="O29" s="359"/>
      <c r="P29" s="359"/>
      <c r="Q29" s="359"/>
      <c r="R29" s="359"/>
      <c r="S29" s="360"/>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1:49"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1:49" ht="18"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1:49" ht="1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1:49" ht="15" customHeight="1">
      <c r="A33" s="1"/>
      <c r="B33" s="35" t="s">
        <v>13</v>
      </c>
      <c r="C33" s="36">
        <v>2022</v>
      </c>
      <c r="D33" s="37">
        <v>2023</v>
      </c>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row>
    <row r="34" spans="1:49" ht="48" customHeight="1">
      <c r="A34" s="1"/>
      <c r="B34" s="38" t="s">
        <v>18</v>
      </c>
      <c r="C34" s="39" t="s">
        <v>19</v>
      </c>
      <c r="D34" s="40"/>
      <c r="E34" s="1"/>
      <c r="F34" s="1"/>
      <c r="G34" s="1"/>
      <c r="H34" s="1"/>
      <c r="I34" s="374" t="s">
        <v>20</v>
      </c>
      <c r="J34" s="365"/>
      <c r="K34" s="365"/>
      <c r="L34" s="365"/>
      <c r="M34" s="365"/>
      <c r="N34" s="365"/>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row>
    <row r="35" spans="1:49" ht="15" customHeight="1">
      <c r="A35" s="1"/>
      <c r="B35" s="41" t="s">
        <v>21</v>
      </c>
      <c r="C35" s="25">
        <v>5</v>
      </c>
      <c r="D35" s="42">
        <v>6</v>
      </c>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9" ht="15" customHeight="1">
      <c r="A36" s="1"/>
      <c r="B36" s="41" t="s">
        <v>22</v>
      </c>
      <c r="C36" s="25">
        <v>4</v>
      </c>
      <c r="D36" s="42">
        <v>5</v>
      </c>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9" ht="15" customHeight="1">
      <c r="A37" s="1"/>
      <c r="B37" s="41" t="s">
        <v>23</v>
      </c>
      <c r="C37" s="25">
        <v>3</v>
      </c>
      <c r="D37" s="42">
        <v>4</v>
      </c>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9" ht="15" customHeight="1">
      <c r="A38" s="1"/>
      <c r="B38" s="41" t="s">
        <v>24</v>
      </c>
      <c r="C38" s="25">
        <v>2</v>
      </c>
      <c r="D38" s="42">
        <v>3</v>
      </c>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9" ht="14.25" customHeight="1">
      <c r="A39" s="1"/>
      <c r="B39" s="41" t="s">
        <v>25</v>
      </c>
      <c r="C39" s="25">
        <v>1</v>
      </c>
      <c r="D39" s="42">
        <v>2</v>
      </c>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9" ht="14.25" customHeight="1">
      <c r="A40" s="1"/>
      <c r="B40" s="43" t="s">
        <v>26</v>
      </c>
      <c r="C40" s="44" t="s">
        <v>27</v>
      </c>
      <c r="D40" s="45">
        <v>1</v>
      </c>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9"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1:49"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1:49" ht="14.25" customHeight="1">
      <c r="A43" s="1"/>
      <c r="B43" s="352" t="s">
        <v>28</v>
      </c>
      <c r="C43" s="353"/>
      <c r="D43" s="353"/>
      <c r="E43" s="353"/>
      <c r="F43" s="353"/>
      <c r="G43" s="353"/>
      <c r="H43" s="353"/>
      <c r="I43" s="353"/>
      <c r="J43" s="353"/>
      <c r="K43" s="353"/>
      <c r="L43" s="353"/>
      <c r="M43" s="353"/>
      <c r="N43" s="353"/>
      <c r="O43" s="353"/>
      <c r="P43" s="353"/>
      <c r="Q43" s="353"/>
      <c r="R43" s="353"/>
      <c r="S43" s="354"/>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1:49" ht="14.25" customHeight="1">
      <c r="A44" s="1"/>
      <c r="B44" s="355"/>
      <c r="C44" s="356"/>
      <c r="D44" s="356"/>
      <c r="E44" s="356"/>
      <c r="F44" s="356"/>
      <c r="G44" s="356"/>
      <c r="H44" s="356"/>
      <c r="I44" s="356"/>
      <c r="J44" s="356"/>
      <c r="K44" s="356"/>
      <c r="L44" s="356"/>
      <c r="M44" s="356"/>
      <c r="N44" s="356"/>
      <c r="O44" s="356"/>
      <c r="P44" s="356"/>
      <c r="Q44" s="356"/>
      <c r="R44" s="356"/>
      <c r="S44" s="357"/>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1:49" ht="14.25" customHeight="1">
      <c r="A45" s="1"/>
      <c r="B45" s="355"/>
      <c r="C45" s="356"/>
      <c r="D45" s="356"/>
      <c r="E45" s="356"/>
      <c r="F45" s="356"/>
      <c r="G45" s="356"/>
      <c r="H45" s="356"/>
      <c r="I45" s="356"/>
      <c r="J45" s="356"/>
      <c r="K45" s="356"/>
      <c r="L45" s="356"/>
      <c r="M45" s="356"/>
      <c r="N45" s="356"/>
      <c r="O45" s="356"/>
      <c r="P45" s="356"/>
      <c r="Q45" s="356"/>
      <c r="R45" s="356"/>
      <c r="S45" s="357"/>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1:49" ht="14.25" customHeight="1">
      <c r="A46" s="1"/>
      <c r="B46" s="358"/>
      <c r="C46" s="359"/>
      <c r="D46" s="359"/>
      <c r="E46" s="359"/>
      <c r="F46" s="359"/>
      <c r="G46" s="359"/>
      <c r="H46" s="359"/>
      <c r="I46" s="359"/>
      <c r="J46" s="359"/>
      <c r="K46" s="359"/>
      <c r="L46" s="359"/>
      <c r="M46" s="359"/>
      <c r="N46" s="359"/>
      <c r="O46" s="359"/>
      <c r="P46" s="359"/>
      <c r="Q46" s="359"/>
      <c r="R46" s="359"/>
      <c r="S46" s="360"/>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1:49" ht="14.25" customHeight="1">
      <c r="A47" s="1"/>
      <c r="B47" s="46"/>
      <c r="C47" s="46"/>
      <c r="D47" s="46"/>
      <c r="E47" s="46"/>
      <c r="F47" s="46"/>
      <c r="G47" s="46"/>
      <c r="H47" s="46"/>
      <c r="I47" s="46"/>
      <c r="J47" s="46"/>
      <c r="K47" s="46"/>
      <c r="L47" s="46"/>
      <c r="M47" s="46"/>
      <c r="N47" s="46"/>
      <c r="O47" s="46"/>
      <c r="P47" s="46"/>
      <c r="Q47" s="46"/>
      <c r="R47" s="46"/>
      <c r="S47" s="46"/>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1:49" ht="42" customHeight="1">
      <c r="A48" s="1"/>
      <c r="B48" s="374" t="s">
        <v>29</v>
      </c>
      <c r="C48" s="365"/>
      <c r="D48" s="365"/>
      <c r="E48" s="365"/>
      <c r="F48" s="365"/>
      <c r="G48" s="365"/>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1:49" ht="1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1:49" ht="14.45">
      <c r="A50" s="1"/>
      <c r="B50" s="47" t="s">
        <v>13</v>
      </c>
      <c r="C50" s="48">
        <v>2022</v>
      </c>
      <c r="D50" s="49">
        <v>2023</v>
      </c>
      <c r="E50" s="1"/>
      <c r="F50" s="1"/>
      <c r="G50" s="1"/>
      <c r="H50" s="1"/>
      <c r="I50" s="1"/>
      <c r="J50" s="47" t="s">
        <v>13</v>
      </c>
      <c r="K50" s="48">
        <v>2022</v>
      </c>
      <c r="L50" s="49">
        <v>2023</v>
      </c>
      <c r="M50" s="1"/>
      <c r="N50" s="1"/>
      <c r="O50" s="1"/>
      <c r="P50" s="1"/>
      <c r="Q50" s="1"/>
      <c r="R50" s="47" t="s">
        <v>13</v>
      </c>
      <c r="S50" s="48">
        <v>2022</v>
      </c>
      <c r="T50" s="49">
        <v>2023</v>
      </c>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row>
    <row r="51" spans="1:49" ht="54.75" customHeight="1">
      <c r="A51" s="1"/>
      <c r="B51" s="50" t="s">
        <v>18</v>
      </c>
      <c r="C51" s="320" t="s">
        <v>30</v>
      </c>
      <c r="D51" s="375"/>
      <c r="E51" s="1"/>
      <c r="F51" s="376" t="s">
        <v>13</v>
      </c>
      <c r="G51" s="377" t="s">
        <v>31</v>
      </c>
      <c r="H51" s="1"/>
      <c r="I51" s="1"/>
      <c r="J51" s="50" t="s">
        <v>18</v>
      </c>
      <c r="K51" s="318" t="s">
        <v>32</v>
      </c>
      <c r="L51" s="378"/>
      <c r="M51" s="1"/>
      <c r="N51" s="376" t="s">
        <v>13</v>
      </c>
      <c r="O51" s="379" t="s">
        <v>33</v>
      </c>
      <c r="P51" s="1"/>
      <c r="Q51" s="1"/>
      <c r="R51" s="50" t="s">
        <v>18</v>
      </c>
      <c r="S51" s="319" t="s">
        <v>34</v>
      </c>
      <c r="T51" s="378"/>
      <c r="U51" s="1"/>
      <c r="V51" s="1"/>
      <c r="W51" s="1"/>
      <c r="X51" s="1"/>
      <c r="Y51" s="1"/>
      <c r="Z51" s="376" t="s">
        <v>13</v>
      </c>
      <c r="AA51" s="380" t="s">
        <v>35</v>
      </c>
      <c r="AB51" s="1"/>
      <c r="AC51" s="1"/>
      <c r="AD51" s="1"/>
      <c r="AE51" s="1"/>
      <c r="AF51" s="1"/>
      <c r="AG51" s="1"/>
      <c r="AH51" s="1"/>
      <c r="AI51" s="1"/>
      <c r="AJ51" s="1"/>
      <c r="AK51" s="1"/>
      <c r="AL51" s="1"/>
      <c r="AM51" s="1"/>
      <c r="AN51" s="1"/>
      <c r="AO51" s="1"/>
      <c r="AP51" s="1"/>
      <c r="AQ51" s="1"/>
      <c r="AR51" s="1"/>
      <c r="AS51" s="1"/>
      <c r="AT51" s="1"/>
      <c r="AU51" s="1"/>
    </row>
    <row r="52" spans="1:49" ht="14.25" customHeight="1">
      <c r="A52" s="1"/>
      <c r="B52" s="381" t="s">
        <v>21</v>
      </c>
      <c r="C52" s="51">
        <v>0</v>
      </c>
      <c r="D52" s="382">
        <v>0</v>
      </c>
      <c r="E52" s="1"/>
      <c r="F52" s="52">
        <v>2022</v>
      </c>
      <c r="G52" s="53">
        <f>C56</f>
        <v>2195.7876500000002</v>
      </c>
      <c r="H52" s="1"/>
      <c r="I52" s="1"/>
      <c r="J52" s="381" t="s">
        <v>21</v>
      </c>
      <c r="K52" s="51">
        <v>0</v>
      </c>
      <c r="L52" s="382">
        <v>0</v>
      </c>
      <c r="M52" s="1"/>
      <c r="N52" s="52">
        <v>2022</v>
      </c>
      <c r="O52" s="53">
        <f>SUM(K52:K57)</f>
        <v>251.17090000000002</v>
      </c>
      <c r="P52" s="1"/>
      <c r="Q52" s="1"/>
      <c r="R52" s="381" t="s">
        <v>21</v>
      </c>
      <c r="S52" s="51">
        <v>0</v>
      </c>
      <c r="T52" s="382">
        <v>0</v>
      </c>
      <c r="U52" s="1"/>
      <c r="V52" s="1"/>
      <c r="W52" s="1"/>
      <c r="X52" s="1"/>
      <c r="Y52" s="1"/>
      <c r="Z52" s="52">
        <v>2022</v>
      </c>
      <c r="AA52" s="53">
        <f>SUM(S52:S57)</f>
        <v>2446.9585500000003</v>
      </c>
      <c r="AB52" s="1"/>
      <c r="AC52" s="1"/>
      <c r="AD52" s="1"/>
      <c r="AE52" s="1"/>
      <c r="AF52" s="1"/>
      <c r="AG52" s="1"/>
      <c r="AH52" s="1"/>
      <c r="AI52" s="1"/>
      <c r="AJ52" s="1"/>
      <c r="AK52" s="1"/>
      <c r="AL52" s="1"/>
      <c r="AM52" s="1"/>
      <c r="AN52" s="1"/>
      <c r="AO52" s="1"/>
      <c r="AP52" s="1"/>
      <c r="AQ52" s="1"/>
      <c r="AR52" s="1"/>
      <c r="AS52" s="1"/>
      <c r="AT52" s="1"/>
      <c r="AU52" s="1"/>
    </row>
    <row r="53" spans="1:49" ht="14.25" customHeight="1">
      <c r="A53" s="1"/>
      <c r="B53" s="383" t="s">
        <v>22</v>
      </c>
      <c r="C53" s="51">
        <v>0</v>
      </c>
      <c r="D53" s="382">
        <v>0</v>
      </c>
      <c r="E53" s="1"/>
      <c r="F53" s="54">
        <v>2023</v>
      </c>
      <c r="G53" s="55">
        <f>D57</f>
        <v>2094.6597000000002</v>
      </c>
      <c r="H53" s="1"/>
      <c r="I53" s="1"/>
      <c r="J53" s="383" t="s">
        <v>22</v>
      </c>
      <c r="K53" s="51">
        <v>0</v>
      </c>
      <c r="L53" s="382">
        <v>0</v>
      </c>
      <c r="M53" s="1"/>
      <c r="N53" s="54">
        <v>2023</v>
      </c>
      <c r="O53" s="56">
        <f>SUM(L52:L57)</f>
        <v>854.34455999999989</v>
      </c>
      <c r="P53" s="1"/>
      <c r="Q53" s="1"/>
      <c r="R53" s="383" t="s">
        <v>22</v>
      </c>
      <c r="S53" s="51">
        <v>0</v>
      </c>
      <c r="T53" s="382">
        <v>0</v>
      </c>
      <c r="U53" s="1"/>
      <c r="V53" s="1"/>
      <c r="W53" s="1"/>
      <c r="X53" s="1"/>
      <c r="Y53" s="1"/>
      <c r="Z53" s="54">
        <v>2023</v>
      </c>
      <c r="AA53" s="55">
        <f>SUM(T52:T57)</f>
        <v>2949.0042600000002</v>
      </c>
      <c r="AB53" s="1"/>
      <c r="AC53" s="1"/>
      <c r="AD53" s="1"/>
      <c r="AE53" s="1"/>
      <c r="AF53" s="1"/>
      <c r="AG53" s="1"/>
      <c r="AH53" s="1"/>
      <c r="AI53" s="1"/>
      <c r="AJ53" s="1"/>
      <c r="AK53" s="1"/>
      <c r="AL53" s="1"/>
      <c r="AM53" s="1"/>
      <c r="AN53" s="1"/>
      <c r="AO53" s="1"/>
      <c r="AP53" s="1"/>
      <c r="AQ53" s="1"/>
      <c r="AR53" s="1"/>
      <c r="AS53" s="1"/>
      <c r="AT53" s="1"/>
      <c r="AU53" s="1"/>
    </row>
    <row r="54" spans="1:49" ht="14.25" customHeight="1">
      <c r="A54" s="1"/>
      <c r="B54" s="383" t="s">
        <v>23</v>
      </c>
      <c r="C54" s="51">
        <v>0</v>
      </c>
      <c r="D54" s="382">
        <v>0</v>
      </c>
      <c r="E54" s="1"/>
      <c r="F54" s="1"/>
      <c r="G54" s="1"/>
      <c r="H54" s="1"/>
      <c r="I54" s="1"/>
      <c r="J54" s="383" t="s">
        <v>23</v>
      </c>
      <c r="K54" s="51">
        <v>0</v>
      </c>
      <c r="L54" s="382">
        <v>0</v>
      </c>
      <c r="M54" s="1"/>
      <c r="N54" s="1"/>
      <c r="O54" s="1"/>
      <c r="P54" s="1"/>
      <c r="Q54" s="1"/>
      <c r="R54" s="383" t="s">
        <v>23</v>
      </c>
      <c r="S54" s="51">
        <v>0</v>
      </c>
      <c r="T54" s="382">
        <v>0</v>
      </c>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row>
    <row r="55" spans="1:49" ht="14.25" customHeight="1">
      <c r="A55" s="1"/>
      <c r="B55" s="383" t="s">
        <v>24</v>
      </c>
      <c r="C55" s="51">
        <v>0</v>
      </c>
      <c r="D55" s="382">
        <v>0</v>
      </c>
      <c r="E55" s="1"/>
      <c r="F55" s="1"/>
      <c r="G55" s="1"/>
      <c r="H55" s="1"/>
      <c r="I55" s="1"/>
      <c r="J55" s="57" t="s">
        <v>24</v>
      </c>
      <c r="K55" s="51">
        <v>0</v>
      </c>
      <c r="L55" s="382">
        <v>0</v>
      </c>
      <c r="M55" s="1"/>
      <c r="N55" s="1"/>
      <c r="O55" s="1"/>
      <c r="P55" s="1"/>
      <c r="Q55" s="1"/>
      <c r="R55" s="57" t="s">
        <v>24</v>
      </c>
      <c r="S55" s="51">
        <v>0</v>
      </c>
      <c r="T55" s="382">
        <v>0</v>
      </c>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row>
    <row r="56" spans="1:49" ht="14.25" customHeight="1">
      <c r="A56" s="1"/>
      <c r="B56" s="41" t="s">
        <v>25</v>
      </c>
      <c r="C56" s="58">
        <v>2195.7876500000002</v>
      </c>
      <c r="D56" s="382">
        <v>0</v>
      </c>
      <c r="E56" s="1"/>
      <c r="F56" s="1"/>
      <c r="G56" s="1"/>
      <c r="H56" s="1"/>
      <c r="I56" s="1"/>
      <c r="J56" s="41" t="s">
        <v>25</v>
      </c>
      <c r="K56" s="58">
        <v>251.17090000000002</v>
      </c>
      <c r="L56" s="382">
        <v>0</v>
      </c>
      <c r="M56" s="1"/>
      <c r="N56" s="1"/>
      <c r="O56" s="1"/>
      <c r="P56" s="1"/>
      <c r="Q56" s="1"/>
      <c r="R56" s="41" t="s">
        <v>25</v>
      </c>
      <c r="S56" s="384">
        <v>2446.9585500000003</v>
      </c>
      <c r="T56" s="382">
        <v>0</v>
      </c>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row>
    <row r="57" spans="1:49" ht="14.25" customHeight="1">
      <c r="A57" s="1"/>
      <c r="B57" s="43" t="s">
        <v>26</v>
      </c>
      <c r="C57" s="59">
        <v>0</v>
      </c>
      <c r="D57" s="60">
        <v>2094.6597000000002</v>
      </c>
      <c r="E57" s="1"/>
      <c r="F57" s="1"/>
      <c r="G57" s="1"/>
      <c r="H57" s="1"/>
      <c r="I57" s="1"/>
      <c r="J57" s="43" t="s">
        <v>26</v>
      </c>
      <c r="K57" s="59">
        <v>0</v>
      </c>
      <c r="L57" s="60">
        <v>854.34455999999989</v>
      </c>
      <c r="M57" s="1"/>
      <c r="N57" s="1"/>
      <c r="O57" s="1"/>
      <c r="P57" s="1"/>
      <c r="Q57" s="1"/>
      <c r="R57" s="43" t="s">
        <v>26</v>
      </c>
      <c r="S57" s="59">
        <v>0</v>
      </c>
      <c r="T57" s="385">
        <v>2949.0042600000002</v>
      </c>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row>
    <row r="58" spans="1:49"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row>
    <row r="59" spans="1:49" ht="14.25" customHeight="1">
      <c r="A59" s="1"/>
      <c r="B59" s="1"/>
      <c r="C59" s="1"/>
      <c r="D59" s="1"/>
      <c r="E59" s="1"/>
      <c r="H59" s="1"/>
      <c r="I59" s="1"/>
      <c r="J59" s="1"/>
      <c r="K59" s="1"/>
      <c r="L59" s="1"/>
      <c r="M59" s="1"/>
      <c r="P59" s="1"/>
      <c r="Q59" s="1"/>
      <c r="R59" s="1"/>
      <c r="S59" s="1"/>
      <c r="T59" s="1"/>
      <c r="U59" s="1"/>
      <c r="V59" s="1"/>
      <c r="W59" s="1"/>
      <c r="X59" s="1"/>
      <c r="Y59" s="1"/>
      <c r="AB59" s="1"/>
      <c r="AC59" s="1"/>
      <c r="AD59" s="1"/>
      <c r="AE59" s="1"/>
      <c r="AF59" s="1"/>
      <c r="AG59" s="1"/>
      <c r="AH59" s="1"/>
      <c r="AI59" s="1"/>
      <c r="AJ59" s="1"/>
      <c r="AK59" s="1"/>
      <c r="AL59" s="1"/>
      <c r="AM59" s="1"/>
      <c r="AN59" s="1"/>
      <c r="AO59" s="1"/>
      <c r="AP59" s="1"/>
      <c r="AQ59" s="1"/>
      <c r="AR59" s="1"/>
      <c r="AS59" s="1"/>
      <c r="AT59" s="1"/>
      <c r="AU59" s="1"/>
    </row>
    <row r="60" spans="1:49" ht="14.45">
      <c r="A60" s="1"/>
      <c r="B60" s="47" t="s">
        <v>13</v>
      </c>
      <c r="C60" s="48">
        <v>2022</v>
      </c>
      <c r="D60" s="49">
        <v>2023</v>
      </c>
      <c r="E60" s="1"/>
      <c r="H60" s="1"/>
      <c r="I60" s="1"/>
      <c r="J60" s="47" t="s">
        <v>13</v>
      </c>
      <c r="K60" s="48">
        <v>2022</v>
      </c>
      <c r="L60" s="49">
        <v>2023</v>
      </c>
      <c r="M60" s="1"/>
      <c r="P60" s="1"/>
      <c r="Q60" s="1"/>
      <c r="R60" s="47" t="s">
        <v>13</v>
      </c>
      <c r="S60" s="48">
        <v>2022</v>
      </c>
      <c r="T60" s="49">
        <v>2023</v>
      </c>
      <c r="U60" s="1"/>
      <c r="V60" s="1"/>
      <c r="W60" s="1"/>
      <c r="X60" s="1"/>
      <c r="Y60" s="1"/>
      <c r="AB60" s="1"/>
      <c r="AC60" s="1"/>
      <c r="AD60" s="1"/>
      <c r="AE60" s="1"/>
      <c r="AF60" s="1"/>
      <c r="AG60" s="1"/>
      <c r="AH60" s="1"/>
      <c r="AI60" s="1"/>
      <c r="AJ60" s="1"/>
      <c r="AK60" s="1"/>
      <c r="AL60" s="1"/>
      <c r="AM60" s="1"/>
      <c r="AN60" s="1"/>
      <c r="AO60" s="1"/>
      <c r="AP60" s="1"/>
      <c r="AQ60" s="1"/>
      <c r="AR60" s="1"/>
      <c r="AS60" s="1"/>
      <c r="AT60" s="1"/>
      <c r="AU60" s="1"/>
    </row>
    <row r="61" spans="1:49" ht="49.5" customHeight="1">
      <c r="A61" s="1"/>
      <c r="B61" s="50" t="s">
        <v>18</v>
      </c>
      <c r="C61" s="316" t="s">
        <v>36</v>
      </c>
      <c r="D61" s="386"/>
      <c r="E61" s="1"/>
      <c r="F61" s="61" t="s">
        <v>13</v>
      </c>
      <c r="G61" s="62" t="s">
        <v>37</v>
      </c>
      <c r="H61" s="1"/>
      <c r="I61" s="1"/>
      <c r="J61" s="63" t="s">
        <v>18</v>
      </c>
      <c r="K61" s="321" t="s">
        <v>38</v>
      </c>
      <c r="L61" s="386"/>
      <c r="M61" s="1"/>
      <c r="N61" s="61" t="s">
        <v>13</v>
      </c>
      <c r="O61" s="64" t="s">
        <v>39</v>
      </c>
      <c r="P61" s="1"/>
      <c r="Q61" s="1"/>
      <c r="R61" s="63" t="s">
        <v>18</v>
      </c>
      <c r="S61" s="322" t="s">
        <v>40</v>
      </c>
      <c r="T61" s="386"/>
      <c r="U61" s="1"/>
      <c r="V61" s="1"/>
      <c r="W61" s="1"/>
      <c r="X61" s="1"/>
      <c r="Y61" s="1"/>
      <c r="Z61" s="61" t="s">
        <v>13</v>
      </c>
      <c r="AA61" s="65" t="s">
        <v>35</v>
      </c>
      <c r="AB61" s="1"/>
      <c r="AC61" s="1"/>
      <c r="AD61" s="1"/>
      <c r="AE61" s="1"/>
      <c r="AF61" s="1"/>
      <c r="AG61" s="1"/>
      <c r="AH61" s="1"/>
      <c r="AI61" s="1"/>
      <c r="AJ61" s="1"/>
      <c r="AK61" s="1"/>
      <c r="AL61" s="1"/>
      <c r="AM61" s="1"/>
      <c r="AN61" s="1"/>
      <c r="AO61" s="1"/>
      <c r="AP61" s="1"/>
      <c r="AQ61" s="1"/>
      <c r="AR61" s="1"/>
      <c r="AS61" s="1"/>
      <c r="AT61" s="1"/>
      <c r="AU61" s="1"/>
    </row>
    <row r="62" spans="1:49" ht="14.25" customHeight="1">
      <c r="A62" s="1"/>
      <c r="B62" s="381" t="s">
        <v>21</v>
      </c>
      <c r="C62" s="384">
        <v>2584.3827899999997</v>
      </c>
      <c r="D62" s="66">
        <v>2584.3827899999997</v>
      </c>
      <c r="E62" s="1"/>
      <c r="F62" s="52">
        <v>2022</v>
      </c>
      <c r="G62" s="67">
        <f>SUM(C62:C67)</f>
        <v>10049.280939999999</v>
      </c>
      <c r="H62" s="1"/>
      <c r="I62" s="1"/>
      <c r="J62" s="381" t="s">
        <v>21</v>
      </c>
      <c r="K62" s="384">
        <v>212.22520999999998</v>
      </c>
      <c r="L62" s="66">
        <v>212.22520999999998</v>
      </c>
      <c r="M62" s="1"/>
      <c r="N62" s="52">
        <v>2022</v>
      </c>
      <c r="O62" s="67">
        <f>SUM(K62:K67)</f>
        <v>811.95423000000005</v>
      </c>
      <c r="P62" s="1"/>
      <c r="Q62" s="1"/>
      <c r="R62" s="381" t="s">
        <v>21</v>
      </c>
      <c r="S62" s="384">
        <v>2796.6079999999997</v>
      </c>
      <c r="T62" s="66">
        <v>2796.6079999999997</v>
      </c>
      <c r="U62" s="1"/>
      <c r="V62" s="1"/>
      <c r="W62" s="1"/>
      <c r="X62" s="1"/>
      <c r="Y62" s="1"/>
      <c r="Z62" s="52">
        <v>2022</v>
      </c>
      <c r="AA62" s="53">
        <f>SUM(S62:S67)</f>
        <v>10861.23517</v>
      </c>
      <c r="AB62" s="1"/>
      <c r="AC62" s="1"/>
      <c r="AD62" s="1"/>
      <c r="AE62" s="1"/>
      <c r="AF62" s="1"/>
      <c r="AG62" s="1"/>
      <c r="AH62" s="1"/>
      <c r="AI62" s="1"/>
      <c r="AJ62" s="1"/>
      <c r="AK62" s="1"/>
      <c r="AL62" s="1"/>
      <c r="AM62" s="1"/>
      <c r="AN62" s="1"/>
      <c r="AO62" s="1"/>
      <c r="AP62" s="1"/>
      <c r="AQ62" s="1"/>
      <c r="AR62" s="1"/>
      <c r="AS62" s="1"/>
      <c r="AT62" s="1"/>
      <c r="AU62" s="1"/>
    </row>
    <row r="63" spans="1:49" ht="14.25" customHeight="1">
      <c r="A63" s="1"/>
      <c r="B63" s="383" t="s">
        <v>22</v>
      </c>
      <c r="C63" s="384">
        <v>2717.4274299999997</v>
      </c>
      <c r="D63" s="66">
        <v>2717.4274299999997</v>
      </c>
      <c r="E63" s="1"/>
      <c r="F63" s="54">
        <v>2023</v>
      </c>
      <c r="G63" s="68">
        <f>SUM(D62:D67)</f>
        <v>12245.068589999999</v>
      </c>
      <c r="H63" s="1"/>
      <c r="I63" s="1"/>
      <c r="J63" s="383" t="s">
        <v>22</v>
      </c>
      <c r="K63" s="384">
        <v>75.400229999999993</v>
      </c>
      <c r="L63" s="66">
        <v>75.400229999999993</v>
      </c>
      <c r="M63" s="1"/>
      <c r="N63" s="54">
        <v>2023</v>
      </c>
      <c r="O63" s="68">
        <f>SUM(L62:L67)</f>
        <v>1063.1251300000001</v>
      </c>
      <c r="P63" s="1"/>
      <c r="Q63" s="1"/>
      <c r="R63" s="383" t="s">
        <v>22</v>
      </c>
      <c r="S63" s="384">
        <v>2792.8276599999999</v>
      </c>
      <c r="T63" s="66">
        <v>2792.8276599999999</v>
      </c>
      <c r="U63" s="1"/>
      <c r="V63" s="1"/>
      <c r="W63" s="1"/>
      <c r="X63" s="1"/>
      <c r="Y63" s="1"/>
      <c r="Z63" s="54">
        <v>2023</v>
      </c>
      <c r="AA63" s="55">
        <f>SUM(T62:T67)</f>
        <v>13308.193719999999</v>
      </c>
      <c r="AB63" s="1"/>
      <c r="AC63" s="1"/>
      <c r="AD63" s="1"/>
      <c r="AE63" s="1"/>
      <c r="AF63" s="1"/>
      <c r="AG63" s="1"/>
      <c r="AH63" s="1"/>
      <c r="AI63" s="1"/>
      <c r="AJ63" s="1"/>
      <c r="AK63" s="1"/>
      <c r="AL63" s="1"/>
      <c r="AM63" s="1"/>
      <c r="AN63" s="1"/>
      <c r="AO63" s="1"/>
      <c r="AP63" s="1"/>
      <c r="AQ63" s="1"/>
      <c r="AR63" s="1"/>
      <c r="AS63" s="1"/>
      <c r="AT63" s="1"/>
      <c r="AU63" s="1"/>
    </row>
    <row r="64" spans="1:49" ht="14.25" customHeight="1">
      <c r="A64" s="1"/>
      <c r="B64" s="383" t="s">
        <v>23</v>
      </c>
      <c r="C64" s="384">
        <v>2415.8177699999997</v>
      </c>
      <c r="D64" s="66">
        <v>2415.8177699999997</v>
      </c>
      <c r="E64" s="1"/>
      <c r="F64" s="1"/>
      <c r="G64" s="69"/>
      <c r="H64" s="1"/>
      <c r="I64" s="1"/>
      <c r="J64" s="383" t="s">
        <v>23</v>
      </c>
      <c r="K64" s="384">
        <v>221.14164</v>
      </c>
      <c r="L64" s="66">
        <v>221.14164</v>
      </c>
      <c r="M64" s="1"/>
      <c r="N64" s="1"/>
      <c r="O64" s="69"/>
      <c r="P64" s="1"/>
      <c r="Q64" s="1"/>
      <c r="R64" s="383" t="s">
        <v>23</v>
      </c>
      <c r="S64" s="384">
        <v>2636.9594099999995</v>
      </c>
      <c r="T64" s="66">
        <v>2636.9594099999995</v>
      </c>
      <c r="U64" s="1"/>
      <c r="V64" s="1"/>
      <c r="W64" s="1"/>
      <c r="X64" s="1"/>
      <c r="Y64" s="1"/>
      <c r="Z64" s="1"/>
      <c r="AA64" s="69"/>
      <c r="AB64" s="1"/>
      <c r="AC64" s="1"/>
      <c r="AD64" s="1"/>
      <c r="AE64" s="1"/>
      <c r="AF64" s="1"/>
      <c r="AG64" s="1"/>
      <c r="AH64" s="1"/>
      <c r="AI64" s="1"/>
      <c r="AJ64" s="1"/>
      <c r="AK64" s="1"/>
      <c r="AL64" s="1"/>
      <c r="AM64" s="1"/>
      <c r="AN64" s="1"/>
      <c r="AO64" s="1"/>
      <c r="AP64" s="1"/>
      <c r="AQ64" s="1"/>
      <c r="AR64" s="1"/>
      <c r="AS64" s="1"/>
      <c r="AT64" s="1"/>
      <c r="AU64" s="1"/>
    </row>
    <row r="65" spans="1:49" ht="14.25" customHeight="1">
      <c r="A65" s="1"/>
      <c r="B65" s="383" t="s">
        <v>24</v>
      </c>
      <c r="C65" s="384">
        <v>2331.6529500000001</v>
      </c>
      <c r="D65" s="66">
        <v>2331.6529500000001</v>
      </c>
      <c r="E65" s="1"/>
      <c r="F65" s="1"/>
      <c r="G65" s="69"/>
      <c r="H65" s="1"/>
      <c r="I65" s="1"/>
      <c r="J65" s="57" t="s">
        <v>24</v>
      </c>
      <c r="K65" s="384">
        <v>303.18715000000003</v>
      </c>
      <c r="L65" s="66">
        <v>303.18715000000003</v>
      </c>
      <c r="M65" s="1"/>
      <c r="N65" s="1"/>
      <c r="O65" s="69"/>
      <c r="P65" s="1"/>
      <c r="Q65" s="1"/>
      <c r="R65" s="57" t="s">
        <v>24</v>
      </c>
      <c r="S65" s="384">
        <v>2634.8401000000003</v>
      </c>
      <c r="T65" s="66">
        <v>2634.8401000000003</v>
      </c>
      <c r="U65" s="1"/>
      <c r="V65" s="1"/>
      <c r="W65" s="1"/>
      <c r="X65" s="1"/>
      <c r="Y65" s="1"/>
      <c r="Z65" s="1"/>
      <c r="AA65" s="69"/>
      <c r="AB65" s="1"/>
      <c r="AC65" s="1"/>
      <c r="AD65" s="1"/>
      <c r="AE65" s="1"/>
      <c r="AF65" s="1"/>
      <c r="AG65" s="1"/>
      <c r="AH65" s="1"/>
      <c r="AI65" s="1"/>
      <c r="AJ65" s="1"/>
      <c r="AK65" s="1"/>
      <c r="AL65" s="1"/>
      <c r="AM65" s="1"/>
      <c r="AN65" s="1"/>
      <c r="AO65" s="1"/>
      <c r="AP65" s="1"/>
      <c r="AQ65" s="1"/>
      <c r="AR65" s="1"/>
      <c r="AS65" s="1"/>
      <c r="AT65" s="1"/>
      <c r="AU65" s="1"/>
    </row>
    <row r="66" spans="1:49" ht="21" customHeight="1">
      <c r="A66" s="1"/>
      <c r="B66" s="41" t="s">
        <v>25</v>
      </c>
      <c r="C66" s="51">
        <v>0</v>
      </c>
      <c r="D66" s="66">
        <v>2195.7876500000002</v>
      </c>
      <c r="E66" s="1"/>
      <c r="F66" s="1"/>
      <c r="G66" s="69"/>
      <c r="H66" s="1"/>
      <c r="I66" s="1"/>
      <c r="J66" s="41" t="s">
        <v>25</v>
      </c>
      <c r="K66" s="51">
        <v>0</v>
      </c>
      <c r="L66" s="66">
        <v>251.17090000000002</v>
      </c>
      <c r="M66" s="1"/>
      <c r="N66" s="1"/>
      <c r="O66" s="69"/>
      <c r="P66" s="1"/>
      <c r="Q66" s="1"/>
      <c r="R66" s="41" t="s">
        <v>25</v>
      </c>
      <c r="S66" s="51">
        <v>0</v>
      </c>
      <c r="T66" s="66">
        <v>2446.9585500000003</v>
      </c>
      <c r="U66" s="1"/>
      <c r="V66" s="1"/>
      <c r="W66" s="1"/>
      <c r="X66" s="1"/>
      <c r="Y66" s="1"/>
      <c r="Z66" s="1"/>
      <c r="AA66" s="69"/>
      <c r="AB66" s="1"/>
      <c r="AC66" s="1"/>
      <c r="AD66" s="1"/>
      <c r="AE66" s="1"/>
      <c r="AF66" s="1"/>
      <c r="AG66" s="1"/>
      <c r="AH66" s="1"/>
      <c r="AI66" s="1"/>
      <c r="AJ66" s="1"/>
      <c r="AK66" s="1"/>
      <c r="AL66" s="1"/>
      <c r="AM66" s="1"/>
      <c r="AN66" s="1"/>
      <c r="AO66" s="1"/>
      <c r="AP66" s="1"/>
      <c r="AQ66" s="1"/>
      <c r="AR66" s="1"/>
      <c r="AS66" s="1"/>
      <c r="AT66" s="1"/>
      <c r="AU66" s="1"/>
    </row>
    <row r="67" spans="1:49" ht="21" customHeight="1">
      <c r="A67" s="1"/>
      <c r="B67" s="43" t="s">
        <v>26</v>
      </c>
      <c r="C67" s="59">
        <v>0</v>
      </c>
      <c r="D67" s="70">
        <v>0</v>
      </c>
      <c r="E67" s="1"/>
      <c r="F67" s="1"/>
      <c r="G67" s="69"/>
      <c r="H67" s="1"/>
      <c r="I67" s="1"/>
      <c r="J67" s="43" t="s">
        <v>26</v>
      </c>
      <c r="K67" s="59">
        <v>0</v>
      </c>
      <c r="L67" s="70">
        <v>0</v>
      </c>
      <c r="M67" s="1"/>
      <c r="P67" s="1"/>
      <c r="Q67" s="1"/>
      <c r="R67" s="43" t="s">
        <v>26</v>
      </c>
      <c r="S67" s="59">
        <v>0</v>
      </c>
      <c r="T67" s="70">
        <v>0</v>
      </c>
      <c r="U67" s="1"/>
      <c r="V67" s="1"/>
      <c r="W67" s="1"/>
      <c r="X67" s="1"/>
      <c r="Y67" s="1"/>
      <c r="AB67" s="1"/>
      <c r="AC67" s="1"/>
      <c r="AD67" s="1"/>
      <c r="AE67" s="1"/>
      <c r="AF67" s="1"/>
      <c r="AG67" s="1"/>
      <c r="AH67" s="1"/>
      <c r="AI67" s="1"/>
      <c r="AJ67" s="1"/>
      <c r="AK67" s="1"/>
      <c r="AL67" s="1"/>
      <c r="AM67" s="1"/>
      <c r="AN67" s="1"/>
      <c r="AO67" s="1"/>
      <c r="AP67" s="1"/>
      <c r="AQ67" s="1"/>
      <c r="AR67" s="1"/>
      <c r="AS67" s="1"/>
      <c r="AT67" s="1"/>
      <c r="AU67" s="1"/>
    </row>
    <row r="68" spans="1:49" ht="21" customHeight="1">
      <c r="A68" s="1"/>
      <c r="B68" s="1"/>
      <c r="C68" s="1"/>
      <c r="D68" s="1"/>
      <c r="E68" s="1"/>
      <c r="H68" s="1"/>
      <c r="I68" s="1"/>
      <c r="J68" s="1"/>
      <c r="K68" s="1"/>
      <c r="L68" s="1"/>
      <c r="M68" s="1"/>
      <c r="P68" s="1"/>
      <c r="Q68" s="1"/>
      <c r="R68" s="1"/>
      <c r="S68" s="1"/>
      <c r="T68" s="1"/>
      <c r="U68" s="1"/>
      <c r="V68" s="1"/>
      <c r="W68" s="1"/>
      <c r="X68" s="1"/>
      <c r="Y68" s="1"/>
      <c r="AB68" s="1"/>
      <c r="AC68" s="1"/>
      <c r="AD68" s="1"/>
      <c r="AE68" s="1"/>
      <c r="AF68" s="1"/>
      <c r="AG68" s="1"/>
      <c r="AH68" s="1"/>
      <c r="AI68" s="1"/>
      <c r="AJ68" s="1"/>
      <c r="AK68" s="1"/>
      <c r="AL68" s="1"/>
      <c r="AM68" s="1"/>
      <c r="AN68" s="1"/>
      <c r="AO68" s="1"/>
      <c r="AP68" s="1"/>
      <c r="AQ68" s="1"/>
      <c r="AR68" s="1"/>
      <c r="AS68" s="1"/>
      <c r="AT68" s="1"/>
      <c r="AU68" s="1"/>
    </row>
    <row r="69" spans="1:49" ht="21" customHeight="1">
      <c r="A69" s="1"/>
      <c r="B69" s="1"/>
      <c r="C69" s="1"/>
      <c r="D69" s="1"/>
      <c r="E69" s="1"/>
      <c r="H69" s="1"/>
      <c r="I69" s="1"/>
      <c r="J69" s="1"/>
      <c r="K69" s="1"/>
      <c r="L69" s="1"/>
      <c r="M69" s="1"/>
      <c r="P69" s="1"/>
      <c r="Q69" s="1"/>
      <c r="R69" s="1"/>
      <c r="S69" s="1"/>
      <c r="T69" s="1"/>
      <c r="U69" s="1"/>
      <c r="V69" s="1"/>
      <c r="W69" s="1"/>
      <c r="X69" s="1"/>
      <c r="Y69" s="1"/>
      <c r="AB69" s="1"/>
      <c r="AC69" s="1"/>
      <c r="AD69" s="1"/>
      <c r="AE69" s="1"/>
      <c r="AF69" s="1"/>
      <c r="AG69" s="1"/>
      <c r="AH69" s="1"/>
      <c r="AI69" s="1"/>
      <c r="AJ69" s="1"/>
      <c r="AK69" s="1"/>
      <c r="AL69" s="1"/>
      <c r="AM69" s="1"/>
      <c r="AN69" s="1"/>
      <c r="AO69" s="1"/>
      <c r="AP69" s="1"/>
      <c r="AQ69" s="1"/>
      <c r="AR69" s="1"/>
      <c r="AS69" s="1"/>
      <c r="AT69" s="1"/>
      <c r="AU69" s="1"/>
    </row>
    <row r="70" spans="1:49" ht="27">
      <c r="A70" s="1"/>
      <c r="B70" s="47" t="s">
        <v>13</v>
      </c>
      <c r="C70" s="48">
        <v>2022</v>
      </c>
      <c r="D70" s="49">
        <v>2023</v>
      </c>
      <c r="E70" s="1"/>
      <c r="F70" s="61" t="s">
        <v>13</v>
      </c>
      <c r="G70" s="377" t="s">
        <v>41</v>
      </c>
      <c r="H70" s="1"/>
      <c r="I70" s="1"/>
      <c r="J70" s="47" t="s">
        <v>13</v>
      </c>
      <c r="K70" s="48">
        <v>2022</v>
      </c>
      <c r="L70" s="49">
        <v>2023</v>
      </c>
      <c r="M70" s="1"/>
      <c r="P70" s="1"/>
      <c r="Q70" s="1"/>
      <c r="R70" s="47" t="s">
        <v>13</v>
      </c>
      <c r="S70" s="48">
        <v>2022</v>
      </c>
      <c r="T70" s="49">
        <v>2023</v>
      </c>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row>
    <row r="71" spans="1:49" ht="48.75" customHeight="1">
      <c r="A71" s="1"/>
      <c r="B71" s="50" t="s">
        <v>18</v>
      </c>
      <c r="C71" s="317" t="s">
        <v>42</v>
      </c>
      <c r="D71" s="378"/>
      <c r="E71" s="1"/>
      <c r="F71" s="52">
        <v>2022</v>
      </c>
      <c r="G71" s="71">
        <f>SUM(C72:C77)</f>
        <v>0</v>
      </c>
      <c r="H71" s="1"/>
      <c r="I71" s="1"/>
      <c r="J71" s="50" t="s">
        <v>18</v>
      </c>
      <c r="K71" s="318" t="s">
        <v>43</v>
      </c>
      <c r="L71" s="378"/>
      <c r="M71" s="1"/>
      <c r="N71" s="61" t="s">
        <v>13</v>
      </c>
      <c r="O71" s="379" t="s">
        <v>44</v>
      </c>
      <c r="P71" s="1"/>
      <c r="Q71" s="1"/>
      <c r="R71" s="50" t="s">
        <v>18</v>
      </c>
      <c r="S71" s="319" t="s">
        <v>45</v>
      </c>
      <c r="T71" s="378"/>
      <c r="U71" s="1"/>
      <c r="V71" s="1"/>
      <c r="W71" s="1"/>
      <c r="X71" s="1"/>
      <c r="Y71" s="1"/>
      <c r="Z71" s="61" t="s">
        <v>13</v>
      </c>
      <c r="AA71" s="380" t="s">
        <v>35</v>
      </c>
      <c r="AB71" s="1"/>
      <c r="AC71" s="1"/>
      <c r="AD71" s="1"/>
      <c r="AE71" s="1"/>
      <c r="AF71" s="1"/>
      <c r="AG71" s="1"/>
      <c r="AH71" s="1"/>
      <c r="AI71" s="1"/>
      <c r="AJ71" s="1"/>
      <c r="AK71" s="1"/>
      <c r="AL71" s="1"/>
      <c r="AM71" s="1"/>
      <c r="AN71" s="1"/>
      <c r="AO71" s="1"/>
      <c r="AP71" s="1"/>
      <c r="AQ71" s="1"/>
      <c r="AR71" s="1"/>
      <c r="AS71" s="1"/>
      <c r="AT71" s="1"/>
      <c r="AU71" s="1"/>
    </row>
    <row r="72" spans="1:49" ht="14.25" customHeight="1">
      <c r="A72" s="1"/>
      <c r="B72" s="381" t="s">
        <v>21</v>
      </c>
      <c r="C72" s="51">
        <v>0</v>
      </c>
      <c r="D72" s="382">
        <v>0</v>
      </c>
      <c r="E72" s="1"/>
      <c r="F72" s="54">
        <v>2023</v>
      </c>
      <c r="G72" s="72">
        <f>SUM(D72:D77)</f>
        <v>0</v>
      </c>
      <c r="H72" s="1"/>
      <c r="I72" s="1"/>
      <c r="J72" s="381" t="s">
        <v>21</v>
      </c>
      <c r="K72" s="51">
        <v>0</v>
      </c>
      <c r="L72" s="382">
        <v>0</v>
      </c>
      <c r="M72" s="1"/>
      <c r="N72" s="52">
        <v>2022</v>
      </c>
      <c r="O72" s="71">
        <f>SUM(K72:K75)</f>
        <v>0</v>
      </c>
      <c r="P72" s="1"/>
      <c r="Q72" s="1"/>
      <c r="R72" s="381" t="s">
        <v>21</v>
      </c>
      <c r="S72" s="51">
        <v>0</v>
      </c>
      <c r="T72" s="382">
        <v>0</v>
      </c>
      <c r="U72" s="1"/>
      <c r="V72" s="1"/>
      <c r="W72" s="1"/>
      <c r="X72" s="1"/>
      <c r="Y72" s="1"/>
      <c r="Z72" s="52">
        <v>2022</v>
      </c>
      <c r="AA72" s="67">
        <f>SUM(S72:S77)</f>
        <v>0</v>
      </c>
      <c r="AB72" s="1"/>
      <c r="AC72" s="1"/>
      <c r="AD72" s="1"/>
      <c r="AE72" s="1"/>
      <c r="AF72" s="1"/>
      <c r="AG72" s="1"/>
      <c r="AH72" s="1"/>
      <c r="AI72" s="1"/>
      <c r="AJ72" s="1"/>
      <c r="AK72" s="1"/>
      <c r="AL72" s="1"/>
      <c r="AM72" s="1"/>
      <c r="AN72" s="1"/>
      <c r="AO72" s="1"/>
      <c r="AP72" s="1"/>
      <c r="AQ72" s="1"/>
      <c r="AR72" s="1"/>
      <c r="AS72" s="1"/>
      <c r="AT72" s="1"/>
      <c r="AU72" s="1"/>
    </row>
    <row r="73" spans="1:49" ht="14.25" customHeight="1">
      <c r="A73" s="1"/>
      <c r="B73" s="383" t="s">
        <v>22</v>
      </c>
      <c r="C73" s="51">
        <v>0</v>
      </c>
      <c r="D73" s="382">
        <v>0</v>
      </c>
      <c r="E73" s="1"/>
      <c r="F73" s="1"/>
      <c r="G73" s="1"/>
      <c r="H73" s="1"/>
      <c r="I73" s="1"/>
      <c r="J73" s="383" t="s">
        <v>22</v>
      </c>
      <c r="K73" s="51">
        <v>0</v>
      </c>
      <c r="L73" s="382">
        <v>0</v>
      </c>
      <c r="M73" s="1"/>
      <c r="N73" s="54">
        <v>2023</v>
      </c>
      <c r="O73" s="72">
        <f>SUM(L72:L75)</f>
        <v>0</v>
      </c>
      <c r="P73" s="1"/>
      <c r="Q73" s="1"/>
      <c r="R73" s="383" t="s">
        <v>22</v>
      </c>
      <c r="S73" s="51">
        <v>0</v>
      </c>
      <c r="T73" s="382">
        <v>0</v>
      </c>
      <c r="U73" s="1"/>
      <c r="V73" s="1"/>
      <c r="W73" s="1"/>
      <c r="X73" s="1"/>
      <c r="Y73" s="1"/>
      <c r="Z73" s="54">
        <v>2023</v>
      </c>
      <c r="AA73" s="68">
        <f>SUM(T72:T77)</f>
        <v>0</v>
      </c>
      <c r="AB73" s="1"/>
      <c r="AC73" s="1"/>
      <c r="AD73" s="1"/>
      <c r="AE73" s="1"/>
      <c r="AF73" s="1"/>
      <c r="AG73" s="1"/>
      <c r="AH73" s="1"/>
      <c r="AI73" s="1"/>
      <c r="AJ73" s="1"/>
      <c r="AK73" s="1"/>
      <c r="AL73" s="1"/>
      <c r="AM73" s="1"/>
      <c r="AN73" s="1"/>
      <c r="AO73" s="1"/>
      <c r="AP73" s="1"/>
      <c r="AQ73" s="1"/>
      <c r="AR73" s="1"/>
      <c r="AS73" s="1"/>
      <c r="AT73" s="1"/>
      <c r="AU73" s="1"/>
    </row>
    <row r="74" spans="1:49" ht="14.25" customHeight="1">
      <c r="A74" s="1"/>
      <c r="B74" s="383" t="s">
        <v>23</v>
      </c>
      <c r="C74" s="51">
        <v>0</v>
      </c>
      <c r="D74" s="382">
        <v>0</v>
      </c>
      <c r="E74" s="1"/>
      <c r="F74" s="1"/>
      <c r="G74" s="1"/>
      <c r="H74" s="1"/>
      <c r="I74" s="1"/>
      <c r="J74" s="383" t="s">
        <v>23</v>
      </c>
      <c r="K74" s="51">
        <v>0</v>
      </c>
      <c r="L74" s="382">
        <v>0</v>
      </c>
      <c r="M74" s="1"/>
      <c r="N74" s="1"/>
      <c r="O74" s="1"/>
      <c r="P74" s="1"/>
      <c r="Q74" s="1"/>
      <c r="R74" s="383" t="s">
        <v>23</v>
      </c>
      <c r="S74" s="51">
        <v>0</v>
      </c>
      <c r="T74" s="382">
        <v>0</v>
      </c>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row>
    <row r="75" spans="1:49" ht="14.25" customHeight="1">
      <c r="A75" s="1"/>
      <c r="B75" s="383" t="s">
        <v>24</v>
      </c>
      <c r="C75" s="51">
        <v>0</v>
      </c>
      <c r="D75" s="382">
        <v>0</v>
      </c>
      <c r="E75" s="1"/>
      <c r="F75" s="1"/>
      <c r="G75" s="1"/>
      <c r="H75" s="1"/>
      <c r="I75" s="1"/>
      <c r="J75" s="383" t="s">
        <v>24</v>
      </c>
      <c r="K75" s="51">
        <v>0</v>
      </c>
      <c r="L75" s="382">
        <v>0</v>
      </c>
      <c r="M75" s="1"/>
      <c r="N75" s="1"/>
      <c r="O75" s="1"/>
      <c r="P75" s="1"/>
      <c r="Q75" s="1"/>
      <c r="R75" s="383" t="s">
        <v>24</v>
      </c>
      <c r="S75" s="51">
        <v>0</v>
      </c>
      <c r="T75" s="382">
        <v>0</v>
      </c>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row>
    <row r="76" spans="1:49" ht="14.25" customHeight="1">
      <c r="A76" s="1"/>
      <c r="B76" s="41" t="s">
        <v>25</v>
      </c>
      <c r="C76" s="51">
        <v>0</v>
      </c>
      <c r="D76" s="382">
        <v>0</v>
      </c>
      <c r="E76" s="1"/>
      <c r="F76" s="1"/>
      <c r="G76" s="1"/>
      <c r="H76" s="1"/>
      <c r="I76" s="1"/>
      <c r="J76" s="41" t="s">
        <v>25</v>
      </c>
      <c r="K76" s="51">
        <v>0</v>
      </c>
      <c r="L76" s="382">
        <v>0</v>
      </c>
      <c r="M76" s="1"/>
      <c r="N76" s="1"/>
      <c r="O76" s="1"/>
      <c r="P76" s="1"/>
      <c r="Q76" s="1"/>
      <c r="R76" s="41" t="s">
        <v>25</v>
      </c>
      <c r="S76" s="51">
        <v>0</v>
      </c>
      <c r="T76" s="382">
        <v>0</v>
      </c>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row>
    <row r="77" spans="1:49" ht="14.25" customHeight="1">
      <c r="A77" s="1"/>
      <c r="B77" s="43" t="s">
        <v>26</v>
      </c>
      <c r="C77" s="59">
        <v>0</v>
      </c>
      <c r="D77" s="70">
        <v>0</v>
      </c>
      <c r="E77" s="1"/>
      <c r="F77" s="1"/>
      <c r="G77" s="1"/>
      <c r="H77" s="1"/>
      <c r="I77" s="1"/>
      <c r="J77" s="43" t="s">
        <v>26</v>
      </c>
      <c r="K77" s="59">
        <v>0</v>
      </c>
      <c r="L77" s="70">
        <v>0</v>
      </c>
      <c r="M77" s="1"/>
      <c r="N77" s="1"/>
      <c r="O77" s="1"/>
      <c r="P77" s="1"/>
      <c r="Q77" s="1"/>
      <c r="R77" s="43" t="s">
        <v>26</v>
      </c>
      <c r="S77" s="59">
        <v>0</v>
      </c>
      <c r="T77" s="70">
        <v>0</v>
      </c>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row>
    <row r="78" spans="1:49"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1:4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1:49"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1:49"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1:49"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1:49"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1:49"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1:49"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1:49"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1:49"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1:49"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1:4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1:49"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1:49"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1:49"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1:49"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1:49"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1:49"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1:49"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1:49"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1:49"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1:4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1:49"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1:49"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1:49"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1:49"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1:49"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1:49"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1:49"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1:49"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1:49"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1:4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1:49"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1:49"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1:49"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1:49"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1:49"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1:49"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1:49"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1:49"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1:49"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1:4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1:49"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1:49"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1:49"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1:49"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1:49"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1:49"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1:49"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1:49"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1:49"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1:4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1:49"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1:49"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1:49"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1:49"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1:49"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1:49"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1:49"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1:49"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1:49"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1:4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1:49"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1:49"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1:49"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1:49"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1:49"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1:49"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1:49"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1:49"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1:49"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1:49"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1:49"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1:49"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1:49"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1:49"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1:49"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1:49"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1:49"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1:49"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1:4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1:49"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1:49"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1:49"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1:49"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1:49"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1:49"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1:49"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1:49"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1:49"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1:4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1:49"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1:49"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1:49"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1:49"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1:49"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1:49"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1:49"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1:49"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1:49"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179" spans="1:4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row>
    <row r="180" spans="1:49"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row>
    <row r="181" spans="1:49"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row>
    <row r="182" spans="1:49"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row>
    <row r="183" spans="1:49"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row>
    <row r="184" spans="1:49"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row>
    <row r="185" spans="1:49"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row>
    <row r="186" spans="1:49"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row>
    <row r="187" spans="1:49"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row>
    <row r="188" spans="1:49"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row>
    <row r="189" spans="1:4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row>
    <row r="190" spans="1:49"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row>
    <row r="191" spans="1:49"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row>
    <row r="192" spans="1:49"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row>
    <row r="193" spans="1:49"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row>
    <row r="194" spans="1:49"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row>
    <row r="195" spans="1:49"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row>
    <row r="196" spans="1:49"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row>
    <row r="197" spans="1:49"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row>
    <row r="198" spans="1:49"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row>
    <row r="199" spans="1:4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row>
    <row r="200" spans="1:49"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row>
    <row r="201" spans="1:49"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row>
    <row r="202" spans="1:49"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row>
    <row r="203" spans="1:49"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row>
    <row r="204" spans="1:49"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row>
    <row r="205" spans="1:49"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row>
    <row r="206" spans="1:49"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1:49"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1:49"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1:4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1:49"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1:49"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1:49"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1:49"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1:49"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1:49"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1:49"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1:49"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1:49"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row>
    <row r="219" spans="1:4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1:49"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1:49"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1:49"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1:49"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1:49"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1:49"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1:49"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1:49"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1:49"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1:4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1:49"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1:49"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1:49"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1:49"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1:49"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1:49"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1:49"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1:49"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1:49"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row>
    <row r="239" spans="1:4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1:49"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1:49"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1:49"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1:49"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1:49"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1:49"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1:49"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1:49"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1:49"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1: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1:49"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1:49"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1:49"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1:49"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1:49"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1:49"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row>
    <row r="256" spans="1:49"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1:49"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1:49"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1:4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1:49"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1:49"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1:49"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1:49"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1:49"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1:49"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1:49"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1:49"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1:49"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1:4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1:49"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1:49"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1:49"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1:49"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1:49"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row>
    <row r="275" spans="1:49"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row>
    <row r="276" spans="1:49"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row>
    <row r="277" spans="1:49"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row>
    <row r="278" spans="1:49"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row>
    <row r="279" spans="1:4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row>
    <row r="280" spans="1:49"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row>
    <row r="281" spans="1:49"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row>
    <row r="282" spans="1:49"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row>
    <row r="283" spans="1:49"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row>
    <row r="284" spans="1:49"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row>
    <row r="285" spans="1:49"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row>
    <row r="286" spans="1:49"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row>
    <row r="287" spans="1:49"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row>
    <row r="288" spans="1:49"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row>
    <row r="289" spans="1:4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row>
    <row r="290" spans="1:49"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row>
    <row r="291" spans="1:49"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row>
    <row r="292" spans="1:49"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row>
    <row r="293" spans="1:49"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row>
    <row r="294" spans="1:49"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row>
    <row r="295" spans="1:49"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row>
    <row r="296" spans="1:49"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row>
    <row r="297" spans="1:49"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row>
    <row r="298" spans="1:49"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row>
    <row r="299" spans="1:4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row>
    <row r="300" spans="1:49"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row>
    <row r="301" spans="1:49"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row>
    <row r="302" spans="1:49"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row>
    <row r="303" spans="1:49"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row>
    <row r="304" spans="1:49"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row>
    <row r="305" spans="1:49"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row>
    <row r="306" spans="1:49"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row>
    <row r="307" spans="1:49"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row>
    <row r="308" spans="1:49"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row>
    <row r="309" spans="1:4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row>
    <row r="310" spans="1:49"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row>
    <row r="311" spans="1:49"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row>
    <row r="312" spans="1:49"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row>
    <row r="313" spans="1:49"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1:49"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row>
    <row r="315" spans="1:49"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row>
    <row r="316" spans="1:49"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row>
    <row r="317" spans="1:49"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row>
    <row r="318" spans="1:49"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row>
    <row r="319" spans="1:4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row>
    <row r="320" spans="1:49"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row>
    <row r="321" spans="1:49"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row>
    <row r="322" spans="1:49"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row>
    <row r="323" spans="1:49"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row>
    <row r="324" spans="1:49"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row>
    <row r="325" spans="1:49"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row>
    <row r="326" spans="1:49"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row>
    <row r="327" spans="1:49"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row>
    <row r="328" spans="1:49"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row>
    <row r="329" spans="1:4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row>
    <row r="330" spans="1:49"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row>
    <row r="331" spans="1:49"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row>
    <row r="332" spans="1:49"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row>
    <row r="333" spans="1:49"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row>
    <row r="334" spans="1:49"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row>
    <row r="335" spans="1:49"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row>
    <row r="336" spans="1:49"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row>
    <row r="337" spans="1:49"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row>
    <row r="338" spans="1:49"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row>
    <row r="339" spans="1:4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row>
    <row r="340" spans="1:49"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row>
    <row r="341" spans="1:49"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row>
    <row r="342" spans="1:49"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row>
    <row r="343" spans="1:49"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row>
    <row r="344" spans="1:49"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row>
    <row r="345" spans="1:49"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row>
    <row r="346" spans="1:49"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row>
    <row r="347" spans="1:49"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row>
    <row r="348" spans="1:49"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row>
    <row r="349" spans="1: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row>
    <row r="350" spans="1:49"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row>
    <row r="351" spans="1:49"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row>
    <row r="352" spans="1:49"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row>
    <row r="353" spans="1:49"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row>
    <row r="354" spans="1:49"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row>
    <row r="355" spans="1:49"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row>
    <row r="356" spans="1:49"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row>
    <row r="357" spans="1:49"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row>
    <row r="358" spans="1:49"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row>
    <row r="359" spans="1:4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row>
    <row r="360" spans="1:49"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row>
    <row r="361" spans="1:49"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row>
    <row r="362" spans="1:49"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row>
    <row r="363" spans="1:49"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row>
    <row r="364" spans="1:49"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row>
    <row r="365" spans="1:49"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row>
    <row r="366" spans="1:49"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row>
    <row r="367" spans="1:49"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row>
    <row r="368" spans="1:49"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row>
    <row r="369" spans="1:4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row>
    <row r="370" spans="1:49"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row>
    <row r="371" spans="1:49"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row>
    <row r="372" spans="1:49"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row>
    <row r="373" spans="1:49"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row>
    <row r="374" spans="1:49"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row>
    <row r="375" spans="1:49"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row>
    <row r="376" spans="1:49"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row>
    <row r="377" spans="1:49"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row>
    <row r="378" spans="1:49"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row>
    <row r="379" spans="1:4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row>
    <row r="380" spans="1:49"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row>
    <row r="381" spans="1:49"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row>
    <row r="382" spans="1:49"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row>
    <row r="383" spans="1:49"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row>
    <row r="384" spans="1:49"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row>
    <row r="385" spans="1:49"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row>
    <row r="386" spans="1:49"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row>
    <row r="387" spans="1:49"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row>
    <row r="388" spans="1:49"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row>
    <row r="389" spans="1:4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row>
    <row r="390" spans="1:49"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row>
    <row r="391" spans="1:49"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row>
    <row r="392" spans="1:49"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row>
    <row r="393" spans="1:49"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row>
    <row r="394" spans="1:49"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row>
    <row r="395" spans="1:49"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row>
    <row r="396" spans="1:49"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row>
    <row r="397" spans="1:49"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row>
    <row r="398" spans="1:49"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row>
    <row r="399" spans="1:4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row>
    <row r="400" spans="1:49"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row>
    <row r="401" spans="1:49"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row>
    <row r="402" spans="1:49"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row>
    <row r="403" spans="1:49"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row>
    <row r="404" spans="1:49"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row>
    <row r="405" spans="1:49"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row>
    <row r="406" spans="1:49"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row>
    <row r="407" spans="1:49"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row>
    <row r="408" spans="1:49"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row>
    <row r="409" spans="1:4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row>
    <row r="410" spans="1:49"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row>
    <row r="411" spans="1:49"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row>
    <row r="412" spans="1:49"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row>
    <row r="413" spans="1:49"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row>
    <row r="414" spans="1:49"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row>
    <row r="415" spans="1:49"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row>
    <row r="416" spans="1:49"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row>
    <row r="417" spans="1:49"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row>
    <row r="418" spans="1:49"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row>
    <row r="419" spans="1:4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row>
    <row r="420" spans="1:49"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row>
    <row r="421" spans="1:49"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row>
    <row r="422" spans="1:49"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row>
    <row r="423" spans="1:49"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row>
    <row r="424" spans="1:49"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row>
    <row r="425" spans="1:49"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row>
    <row r="426" spans="1:49"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row>
    <row r="427" spans="1:49"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row>
    <row r="428" spans="1:49"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row>
    <row r="429" spans="1:4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row>
    <row r="430" spans="1:49"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row>
    <row r="431" spans="1:49"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row>
    <row r="432" spans="1:49"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row>
    <row r="433" spans="1:49"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row>
    <row r="434" spans="1:49"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row>
    <row r="435" spans="1:49"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row>
    <row r="436" spans="1:49"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row>
    <row r="437" spans="1:49"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row>
    <row r="438" spans="1:49"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row>
    <row r="439" spans="1:4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row>
    <row r="440" spans="1:49"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row>
    <row r="441" spans="1:49"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row>
    <row r="442" spans="1:49"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row>
    <row r="443" spans="1:49"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row>
    <row r="444" spans="1:49"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row>
    <row r="445" spans="1:49"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row>
    <row r="446" spans="1:49"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row>
    <row r="447" spans="1:49"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row>
    <row r="448" spans="1:49"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row>
    <row r="449" spans="1: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row>
    <row r="450" spans="1:49"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row>
    <row r="451" spans="1:49"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row>
    <row r="452" spans="1:49"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row>
    <row r="453" spans="1:49"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row>
    <row r="454" spans="1:49"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row>
    <row r="455" spans="1:49"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row>
    <row r="456" spans="1:49"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row>
    <row r="457" spans="1:49"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row>
    <row r="458" spans="1:49"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row>
    <row r="459" spans="1:4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row>
    <row r="460" spans="1:49"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row>
    <row r="461" spans="1:49"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row>
    <row r="462" spans="1:49"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row>
    <row r="463" spans="1:49"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row>
    <row r="464" spans="1:49"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row>
    <row r="465" spans="1:49"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row>
    <row r="466" spans="1:49"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row>
    <row r="467" spans="1:49"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row>
    <row r="468" spans="1:49"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row>
    <row r="469" spans="1:4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row>
    <row r="470" spans="1:49"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row>
    <row r="471" spans="1:49"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row>
    <row r="472" spans="1:49"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row>
    <row r="473" spans="1:49"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row>
    <row r="474" spans="1:49"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row>
    <row r="475" spans="1:49"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row>
    <row r="476" spans="1:49"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row>
    <row r="477" spans="1:49"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row>
    <row r="478" spans="1:49"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row>
    <row r="479" spans="1:4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row>
    <row r="480" spans="1:49"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row>
    <row r="481" spans="1:49"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row>
    <row r="482" spans="1:49"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row>
    <row r="483" spans="1:49"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row>
    <row r="484" spans="1:49"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row>
    <row r="485" spans="1:49"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row>
    <row r="486" spans="1:49"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row>
    <row r="487" spans="1:49"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row>
    <row r="488" spans="1:49"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row>
    <row r="489" spans="1:4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row>
    <row r="490" spans="1:49"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row>
    <row r="491" spans="1:49"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row>
    <row r="492" spans="1:49"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row>
    <row r="493" spans="1:49"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row>
    <row r="494" spans="1:49"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row>
    <row r="495" spans="1:49"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row>
    <row r="496" spans="1:49"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row>
    <row r="497" spans="1:49"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row>
    <row r="498" spans="1:49"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row>
    <row r="499" spans="1:4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row>
    <row r="500" spans="1:49"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row>
    <row r="501" spans="1:49"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row>
    <row r="502" spans="1:49"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row>
    <row r="503" spans="1:49"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row>
    <row r="504" spans="1:49"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row>
    <row r="505" spans="1:49"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row>
    <row r="506" spans="1:49"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row>
    <row r="507" spans="1:49"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row>
    <row r="508" spans="1:49"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row>
    <row r="509" spans="1:4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row>
    <row r="510" spans="1:49"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row>
    <row r="511" spans="1:49"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row>
    <row r="512" spans="1:49"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row>
    <row r="513" spans="1:49"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row>
    <row r="514" spans="1:49"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row>
    <row r="515" spans="1:49"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row>
    <row r="516" spans="1:49"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row>
    <row r="517" spans="1:49"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row>
    <row r="518" spans="1:49"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row>
    <row r="519" spans="1:4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row>
    <row r="520" spans="1:49"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row>
    <row r="521" spans="1:49"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row>
    <row r="522" spans="1:49"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row>
    <row r="523" spans="1:49"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row>
    <row r="524" spans="1:49"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row>
    <row r="525" spans="1:49"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row>
    <row r="526" spans="1:49"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row>
    <row r="527" spans="1:49"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row>
    <row r="528" spans="1:49"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row>
    <row r="529" spans="1:4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row>
    <row r="530" spans="1:49"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row>
    <row r="531" spans="1:49"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row>
    <row r="532" spans="1:49"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row>
    <row r="533" spans="1:49"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row>
    <row r="534" spans="1:49"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row>
    <row r="535" spans="1:49"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row>
    <row r="536" spans="1:49"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row>
    <row r="537" spans="1:49"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row>
    <row r="538" spans="1:49"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row>
    <row r="539" spans="1:4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row>
    <row r="540" spans="1:49"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row>
    <row r="541" spans="1:49"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row>
    <row r="542" spans="1:49"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row>
    <row r="543" spans="1:49"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row>
    <row r="544" spans="1:49"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row>
    <row r="545" spans="1:49"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row>
    <row r="546" spans="1:49"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row>
    <row r="547" spans="1:49"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row>
    <row r="548" spans="1:49"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row>
    <row r="549" spans="1: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row>
    <row r="550" spans="1:49"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row>
    <row r="551" spans="1:49"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row>
    <row r="552" spans="1:49"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row>
    <row r="553" spans="1:49"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row>
    <row r="554" spans="1:49"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row>
    <row r="555" spans="1:49"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row>
    <row r="556" spans="1:49"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row>
    <row r="557" spans="1:49"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row>
    <row r="558" spans="1:49"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row>
    <row r="559" spans="1:4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row>
    <row r="560" spans="1:49"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row>
    <row r="561" spans="1:49"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row>
    <row r="562" spans="1:49"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row>
    <row r="563" spans="1:49"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row>
    <row r="564" spans="1:49"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row>
    <row r="565" spans="1:49"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row>
    <row r="566" spans="1:49"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row>
    <row r="567" spans="1:49"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row>
    <row r="568" spans="1:49"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row>
    <row r="569" spans="1:4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row>
    <row r="570" spans="1:49"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row>
    <row r="571" spans="1:49"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row>
    <row r="572" spans="1:49"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row>
    <row r="573" spans="1:49"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row>
    <row r="574" spans="1:49"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row>
    <row r="575" spans="1:49"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row>
    <row r="576" spans="1:49"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row>
    <row r="577" spans="1:49"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row>
    <row r="578" spans="1:49"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row>
    <row r="579" spans="1:4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row>
    <row r="580" spans="1:49"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row>
    <row r="581" spans="1:49"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row>
    <row r="582" spans="1:49"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row>
    <row r="583" spans="1:49"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row>
    <row r="584" spans="1:49"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row>
    <row r="585" spans="1:49"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row>
    <row r="586" spans="1:49"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row>
    <row r="587" spans="1:49"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row>
    <row r="588" spans="1:49"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row>
    <row r="589" spans="1:4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row>
    <row r="590" spans="1:49"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row>
    <row r="591" spans="1:49"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row>
    <row r="592" spans="1:49"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row>
    <row r="593" spans="1:49"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row>
    <row r="594" spans="1:49"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row>
    <row r="595" spans="1:49"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row>
    <row r="596" spans="1:49"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row>
    <row r="597" spans="1:49"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row>
    <row r="598" spans="1:49"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row>
    <row r="599" spans="1:4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row>
    <row r="600" spans="1:49"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row>
    <row r="601" spans="1:49"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row>
    <row r="602" spans="1:49"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row>
    <row r="603" spans="1:49"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row>
    <row r="604" spans="1:49"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row>
    <row r="605" spans="1:49"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row>
    <row r="606" spans="1:49"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row>
    <row r="607" spans="1:49"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row>
    <row r="608" spans="1:49"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row>
    <row r="609" spans="1:4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row>
    <row r="610" spans="1:49"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row>
    <row r="611" spans="1:49"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row>
    <row r="612" spans="1:49"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row>
    <row r="613" spans="1:49"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row>
    <row r="614" spans="1:49"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row>
    <row r="615" spans="1:49"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row>
    <row r="616" spans="1:49"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row>
    <row r="617" spans="1:49"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row>
    <row r="618" spans="1:49"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row>
    <row r="619" spans="1:4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row>
    <row r="620" spans="1:49"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row>
    <row r="621" spans="1:49"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row>
    <row r="622" spans="1:49"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row>
    <row r="623" spans="1:49"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row>
    <row r="624" spans="1:49"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row>
    <row r="625" spans="1:49"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row>
    <row r="626" spans="1:49"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row>
    <row r="627" spans="1:49"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row>
    <row r="628" spans="1:49"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row>
    <row r="629" spans="1:4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row>
    <row r="630" spans="1:49"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row>
    <row r="631" spans="1:49"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row>
    <row r="632" spans="1:49"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row>
    <row r="633" spans="1:49"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row>
    <row r="634" spans="1:49"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row>
    <row r="635" spans="1:49"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row>
    <row r="636" spans="1:49"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row>
    <row r="637" spans="1:49"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row>
    <row r="638" spans="1:49"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row>
    <row r="639" spans="1:4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row>
    <row r="640" spans="1:49"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row>
    <row r="641" spans="1:49"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row>
    <row r="642" spans="1:49"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row>
    <row r="643" spans="1:49"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row>
    <row r="644" spans="1:49"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row>
    <row r="645" spans="1:49"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row>
    <row r="646" spans="1:49"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row>
    <row r="647" spans="1:49"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row>
    <row r="648" spans="1:49"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row>
    <row r="649" spans="1: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row>
    <row r="650" spans="1:49"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row>
    <row r="651" spans="1:49"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row>
    <row r="652" spans="1:49"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row>
    <row r="653" spans="1:49"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row>
    <row r="654" spans="1:49"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row>
    <row r="655" spans="1:49"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row>
    <row r="656" spans="1:49"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row>
    <row r="657" spans="1:49"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row>
    <row r="658" spans="1:49"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row>
    <row r="659" spans="1:4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row>
    <row r="660" spans="1:49"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row>
    <row r="661" spans="1:49"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row>
    <row r="662" spans="1:49"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row>
    <row r="663" spans="1:49"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row>
    <row r="664" spans="1:49"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row>
    <row r="665" spans="1:49"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row>
    <row r="666" spans="1:49"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row>
    <row r="667" spans="1:49"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row>
    <row r="668" spans="1:49"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row>
    <row r="669" spans="1:4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row>
    <row r="670" spans="1:49"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row>
    <row r="671" spans="1:49"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row>
    <row r="672" spans="1:49"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row>
    <row r="673" spans="1:49"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row>
    <row r="674" spans="1:49"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row>
    <row r="675" spans="1:49"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row>
    <row r="676" spans="1:49"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row>
    <row r="677" spans="1:49"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row>
    <row r="678" spans="1:49"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row>
    <row r="679" spans="1:4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row>
    <row r="680" spans="1:49"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row>
    <row r="681" spans="1:49"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row>
    <row r="682" spans="1:49"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row>
    <row r="683" spans="1:49"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row>
    <row r="684" spans="1:49"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row>
    <row r="685" spans="1:49"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row>
    <row r="686" spans="1:49"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row>
    <row r="687" spans="1:49"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row>
    <row r="688" spans="1:49"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row>
    <row r="689" spans="1:4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row>
    <row r="690" spans="1:49"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row>
    <row r="691" spans="1:49"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row>
    <row r="692" spans="1:49"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row>
    <row r="693" spans="1:49"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row>
    <row r="694" spans="1:49"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row>
    <row r="695" spans="1:49"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row>
    <row r="696" spans="1:49"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row>
    <row r="697" spans="1:49"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row>
    <row r="698" spans="1:49"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row>
    <row r="699" spans="1:4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row>
    <row r="700" spans="1:49"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row>
    <row r="701" spans="1:49"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row>
    <row r="702" spans="1:49"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row>
    <row r="703" spans="1:49"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row>
    <row r="704" spans="1:49"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row>
    <row r="705" spans="1:49"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row>
    <row r="706" spans="1:49"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row>
    <row r="707" spans="1:49"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row>
    <row r="708" spans="1:49"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row>
    <row r="709" spans="1:4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row>
    <row r="710" spans="1:49"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row>
    <row r="711" spans="1:49"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row>
    <row r="712" spans="1:49"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row>
    <row r="713" spans="1:49"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row>
    <row r="714" spans="1:49"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row>
    <row r="715" spans="1:49"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row>
    <row r="716" spans="1:49"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row>
    <row r="717" spans="1:49"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row>
    <row r="718" spans="1:49"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row>
    <row r="719" spans="1:4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row>
    <row r="720" spans="1:49"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row>
    <row r="721" spans="1:49"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row>
    <row r="722" spans="1:49"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row>
    <row r="723" spans="1:49"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row>
    <row r="724" spans="1:49"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row>
    <row r="725" spans="1:49"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row>
    <row r="726" spans="1:49"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row>
    <row r="727" spans="1:49"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row>
    <row r="728" spans="1:49"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row>
    <row r="729" spans="1:4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row>
    <row r="730" spans="1:49"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row>
    <row r="731" spans="1:49"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row>
    <row r="732" spans="1:49"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row>
    <row r="733" spans="1:49"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row>
    <row r="734" spans="1:49"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row>
    <row r="735" spans="1:49"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row>
    <row r="736" spans="1:49"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row>
    <row r="737" spans="1:49"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row>
    <row r="738" spans="1:49"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row>
    <row r="739" spans="1:4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row>
    <row r="740" spans="1:49"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row>
    <row r="741" spans="1:49"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row>
    <row r="742" spans="1:49"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row>
    <row r="743" spans="1:49"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row>
    <row r="744" spans="1:49"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row>
    <row r="745" spans="1:49"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row>
    <row r="746" spans="1:49"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row>
    <row r="747" spans="1:49"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row>
    <row r="748" spans="1:49"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row>
    <row r="749" spans="1: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row>
    <row r="750" spans="1:49"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row>
    <row r="751" spans="1:49"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row>
    <row r="752" spans="1:49"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row>
    <row r="753" spans="1:49"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row>
    <row r="754" spans="1:49"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row>
    <row r="755" spans="1:49"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row>
    <row r="756" spans="1:49"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row>
    <row r="757" spans="1:49"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row>
    <row r="758" spans="1:49"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row>
    <row r="759" spans="1:4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row>
    <row r="760" spans="1:49"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row>
    <row r="761" spans="1:49"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row>
    <row r="762" spans="1:49"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row>
    <row r="763" spans="1:49"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row>
    <row r="764" spans="1:49"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row>
    <row r="765" spans="1:49"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row>
    <row r="766" spans="1:49"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row>
    <row r="767" spans="1:49"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row>
    <row r="768" spans="1:49"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row>
    <row r="769" spans="1:4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row>
    <row r="770" spans="1:49"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row>
    <row r="771" spans="1:49"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row>
    <row r="772" spans="1:49"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row>
    <row r="773" spans="1:49"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row>
    <row r="774" spans="1:49"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row>
    <row r="775" spans="1:49"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row>
    <row r="776" spans="1:49"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row>
    <row r="777" spans="1:49"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row>
    <row r="778" spans="1:49"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row>
    <row r="779" spans="1:4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row>
    <row r="780" spans="1:49"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row>
    <row r="781" spans="1:49"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row>
    <row r="782" spans="1:49"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row>
    <row r="783" spans="1:49"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row>
    <row r="784" spans="1:49"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row>
    <row r="785" spans="1:49"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row>
    <row r="786" spans="1:49"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row>
    <row r="787" spans="1:49"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row>
    <row r="788" spans="1:49"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row>
    <row r="789" spans="1:4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row>
    <row r="790" spans="1:49"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row>
    <row r="791" spans="1:49"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row>
    <row r="792" spans="1:49"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row>
    <row r="793" spans="1:49"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row>
    <row r="794" spans="1:49"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row>
    <row r="795" spans="1:49"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row>
    <row r="796" spans="1:49"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row>
    <row r="797" spans="1:49"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row>
    <row r="798" spans="1:49"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row>
    <row r="799" spans="1:4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row>
    <row r="800" spans="1:49"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row>
    <row r="801" spans="1:49"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row>
    <row r="802" spans="1:49"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row>
    <row r="803" spans="1:49"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row>
    <row r="804" spans="1:49"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row>
    <row r="805" spans="1:49"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row>
    <row r="806" spans="1:49"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row>
    <row r="807" spans="1:49"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row>
    <row r="808" spans="1:49"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row>
    <row r="809" spans="1:4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row>
    <row r="810" spans="1:49"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row>
    <row r="811" spans="1:49"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row>
    <row r="812" spans="1:49"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row>
    <row r="813" spans="1:49"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row>
    <row r="814" spans="1:49"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row>
    <row r="815" spans="1:49"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row>
    <row r="816" spans="1:49"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row>
    <row r="817" spans="1:49"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row>
    <row r="818" spans="1:49"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row>
    <row r="819" spans="1:4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row>
    <row r="820" spans="1:49"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row>
    <row r="821" spans="1:49"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row>
    <row r="822" spans="1:49"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row>
    <row r="823" spans="1:49"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row>
    <row r="824" spans="1:49"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row>
    <row r="825" spans="1:49"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row>
    <row r="826" spans="1:49"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row>
    <row r="827" spans="1:49"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row>
    <row r="828" spans="1:49"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row>
    <row r="829" spans="1:4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row>
    <row r="830" spans="1:49"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row>
    <row r="831" spans="1:49"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row>
    <row r="832" spans="1:49"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row>
    <row r="833" spans="1:49"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row>
    <row r="834" spans="1:49"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row>
    <row r="835" spans="1:49"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row>
    <row r="836" spans="1:49"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row>
    <row r="837" spans="1:49"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row>
    <row r="838" spans="1:49"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row>
    <row r="839" spans="1:4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row>
    <row r="840" spans="1:49"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row>
    <row r="841" spans="1:49"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row>
    <row r="842" spans="1:49"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row>
    <row r="843" spans="1:49"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row>
    <row r="844" spans="1:49"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row>
    <row r="845" spans="1:49"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row>
    <row r="846" spans="1:49"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row>
    <row r="847" spans="1:49"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row>
    <row r="848" spans="1:49"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row>
    <row r="849" spans="1: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row>
    <row r="850" spans="1:49"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row>
    <row r="851" spans="1:49"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row>
    <row r="852" spans="1:49"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row>
    <row r="853" spans="1:49"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row>
    <row r="854" spans="1:49"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row>
    <row r="855" spans="1:49"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row>
    <row r="856" spans="1:49"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row>
    <row r="857" spans="1:49"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row>
    <row r="858" spans="1:49"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row>
    <row r="859" spans="1:4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row>
    <row r="860" spans="1:49"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row>
    <row r="861" spans="1:49"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row>
    <row r="862" spans="1:49"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row>
    <row r="863" spans="1:49"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row>
    <row r="864" spans="1:49"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row>
    <row r="865" spans="1:49"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row>
    <row r="866" spans="1:49"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row>
    <row r="867" spans="1:49"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row>
    <row r="868" spans="1:49"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row>
    <row r="869" spans="1:4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row>
    <row r="870" spans="1:49"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row>
    <row r="871" spans="1:49"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row>
    <row r="872" spans="1:49"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row>
    <row r="873" spans="1:49"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row>
    <row r="874" spans="1:49"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row>
    <row r="875" spans="1:49"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row>
    <row r="876" spans="1:49"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row>
    <row r="877" spans="1:49"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row>
    <row r="878" spans="1:49"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row>
    <row r="879" spans="1:4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row>
    <row r="880" spans="1:49"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row>
    <row r="881" spans="1:49"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row>
    <row r="882" spans="1:49"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row>
    <row r="883" spans="1:49"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row>
    <row r="884" spans="1:49"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row>
    <row r="885" spans="1:49"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row>
    <row r="886" spans="1:49"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row>
    <row r="887" spans="1:49"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row>
    <row r="888" spans="1:49"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row>
    <row r="889" spans="1:4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row>
    <row r="890" spans="1:49"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row>
    <row r="891" spans="1:49"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row>
    <row r="892" spans="1:49"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row>
    <row r="893" spans="1:49"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row>
    <row r="894" spans="1:49"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row>
    <row r="895" spans="1:49"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row>
    <row r="896" spans="1:49"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row>
    <row r="897" spans="1:49"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row>
    <row r="898" spans="1:49"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row>
    <row r="899" spans="1:4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row>
    <row r="900" spans="1:49"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row>
    <row r="901" spans="1:49"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row>
    <row r="902" spans="1:49"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row>
    <row r="903" spans="1:49"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row>
    <row r="904" spans="1:49"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row>
    <row r="905" spans="1:49"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row>
    <row r="906" spans="1:49"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row>
    <row r="907" spans="1:49"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row>
    <row r="908" spans="1:49"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row>
    <row r="909" spans="1:4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row>
    <row r="910" spans="1:49"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row>
    <row r="911" spans="1:49"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row>
    <row r="912" spans="1:49"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row>
    <row r="913" spans="1:49"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row>
    <row r="914" spans="1:49"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row>
    <row r="915" spans="1:49"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row>
    <row r="916" spans="1:49"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row>
    <row r="917" spans="1:49"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row>
    <row r="918" spans="1:49"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row>
    <row r="919" spans="1:4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row>
    <row r="920" spans="1:49"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row>
    <row r="921" spans="1:49"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row>
    <row r="922" spans="1:49"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row>
    <row r="923" spans="1:49"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row>
    <row r="924" spans="1:49"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row>
    <row r="925" spans="1:49"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row>
    <row r="926" spans="1:49"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row>
    <row r="927" spans="1:49"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row>
    <row r="928" spans="1:49"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row>
    <row r="929" spans="1:4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row>
    <row r="930" spans="1:49"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row>
    <row r="931" spans="1:49"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row>
    <row r="932" spans="1:49"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row>
    <row r="933" spans="1:49"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row>
    <row r="934" spans="1:49"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row>
    <row r="935" spans="1:49"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row>
    <row r="936" spans="1:49"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row>
    <row r="937" spans="1:49"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row>
    <row r="938" spans="1:49"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row>
    <row r="939" spans="1:4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row>
    <row r="940" spans="1:49"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row>
    <row r="941" spans="1:49"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row>
    <row r="942" spans="1:49"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row>
    <row r="943" spans="1:49"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row>
    <row r="944" spans="1:49"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row>
    <row r="945" spans="1:49"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row>
    <row r="946" spans="1:49"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row>
    <row r="947" spans="1:49"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row>
    <row r="948" spans="1:49"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row>
    <row r="949" spans="1: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row>
    <row r="950" spans="1:49"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row>
    <row r="951" spans="1:49"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row>
    <row r="952" spans="1:49"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row>
    <row r="953" spans="1:49"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row>
    <row r="954" spans="1:49"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row>
    <row r="955" spans="1:49"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row>
    <row r="956" spans="1:49"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row>
    <row r="957" spans="1:49"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row>
    <row r="958" spans="1:49"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row>
    <row r="959" spans="1:4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row>
    <row r="960" spans="1:49"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row>
    <row r="961" spans="1:49"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row>
    <row r="962" spans="1:49"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row>
    <row r="963" spans="1:49"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row>
    <row r="964" spans="1:49"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row>
    <row r="965" spans="1:49"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row>
    <row r="966" spans="1:49"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row>
    <row r="967" spans="1:49"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row>
    <row r="968" spans="1:49"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row>
    <row r="969" spans="1:4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row>
    <row r="970" spans="1:49"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row>
    <row r="971" spans="1:49"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row>
    <row r="972" spans="1:49"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row>
    <row r="973" spans="1:49"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row>
    <row r="974" spans="1:49"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row>
    <row r="975" spans="1:49"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row>
    <row r="976" spans="1:49"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row>
    <row r="977" spans="1:49"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row>
    <row r="978" spans="1:49"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row>
    <row r="979" spans="1:4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row>
    <row r="980" spans="1:49"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row>
    <row r="981" spans="1:49"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row>
    <row r="982" spans="1:49"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row>
    <row r="983" spans="1:49"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row>
    <row r="984" spans="1:49"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row>
    <row r="985" spans="1:49"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row>
    <row r="986" spans="1:49"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row>
    <row r="987" spans="1:49"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row>
    <row r="988" spans="1:49"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row>
    <row r="989" spans="1:4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row>
    <row r="990" spans="1:49"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row>
    <row r="991" spans="1:49"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row>
    <row r="992" spans="1:49"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row>
    <row r="993" spans="1:49"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row>
    <row r="994" spans="1:49"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row>
    <row r="995" spans="1:49"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row>
    <row r="996" spans="1:49"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row>
    <row r="997" spans="1:49"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row>
    <row r="998" spans="1:49"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row>
    <row r="999" spans="1:4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row>
    <row r="1000" spans="1:49"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row>
    <row r="1001" spans="1:49"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row>
    <row r="1002" spans="1:49" ht="14.25" customHeight="1">
      <c r="A1002" s="1"/>
      <c r="B1002" s="1"/>
      <c r="C1002" s="1"/>
      <c r="D1002" s="1"/>
      <c r="E1002" s="1"/>
      <c r="F1002" s="1"/>
      <c r="G1002" s="1"/>
      <c r="H1002" s="1"/>
      <c r="I1002" s="1"/>
      <c r="J1002" s="1"/>
      <c r="K1002" s="1"/>
      <c r="L1002" s="1"/>
      <c r="M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row>
    <row r="1003" spans="1:49" ht="14.25" customHeight="1">
      <c r="A1003" s="1"/>
      <c r="B1003" s="1"/>
      <c r="C1003" s="1"/>
      <c r="D1003" s="1"/>
      <c r="E1003" s="1"/>
      <c r="F1003" s="1"/>
      <c r="G1003" s="1"/>
      <c r="J1003" s="1"/>
      <c r="K1003" s="1"/>
      <c r="L1003" s="1"/>
      <c r="M1003" s="1"/>
      <c r="P1003" s="1"/>
      <c r="Q1003" s="1"/>
      <c r="R1003" s="1"/>
      <c r="S1003" s="1"/>
      <c r="T1003" s="1"/>
      <c r="U1003" s="1"/>
      <c r="V1003" s="1"/>
      <c r="W1003" s="1"/>
      <c r="X1003" s="1"/>
      <c r="Y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row>
    <row r="1004" spans="1:49" ht="14.25" customHeight="1">
      <c r="A1004" s="1"/>
      <c r="B1004" s="1"/>
      <c r="C1004" s="1"/>
      <c r="D1004" s="1"/>
      <c r="E1004" s="1"/>
      <c r="F1004" s="1"/>
      <c r="G1004" s="1"/>
      <c r="J1004" s="1"/>
      <c r="K1004" s="1"/>
      <c r="L1004" s="1"/>
      <c r="M1004" s="1"/>
      <c r="P1004" s="1"/>
      <c r="Q1004" s="1"/>
      <c r="R1004" s="1"/>
      <c r="S1004" s="1"/>
      <c r="T1004" s="1"/>
      <c r="U1004" s="1"/>
      <c r="V1004" s="1"/>
      <c r="W1004" s="1"/>
      <c r="X1004" s="1"/>
      <c r="Y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row>
    <row r="1005" spans="1:49" ht="14.25" customHeight="1">
      <c r="A1005" s="1"/>
      <c r="B1005" s="1"/>
      <c r="C1005" s="1"/>
      <c r="D1005" s="1"/>
      <c r="E1005" s="1"/>
      <c r="F1005" s="1"/>
      <c r="G1005" s="1"/>
      <c r="J1005" s="1"/>
      <c r="K1005" s="1"/>
      <c r="L1005" s="1"/>
      <c r="M1005" s="1"/>
      <c r="P1005" s="1"/>
      <c r="Q1005" s="1"/>
      <c r="R1005" s="1"/>
      <c r="S1005" s="1"/>
      <c r="T1005" s="1"/>
      <c r="U1005" s="1"/>
      <c r="V1005" s="1"/>
      <c r="W1005" s="1"/>
      <c r="X1005" s="1"/>
      <c r="Y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row>
    <row r="1006" spans="1:49" ht="14.25" customHeight="1">
      <c r="A1006" s="1"/>
      <c r="B1006" s="1"/>
      <c r="C1006" s="1"/>
      <c r="D1006" s="1"/>
      <c r="E1006" s="1"/>
      <c r="F1006" s="1"/>
      <c r="G1006" s="1"/>
      <c r="J1006" s="1"/>
      <c r="K1006" s="1"/>
      <c r="L1006" s="1"/>
      <c r="M1006" s="1"/>
      <c r="P1006" s="1"/>
      <c r="Q1006" s="1"/>
      <c r="R1006" s="1"/>
      <c r="S1006" s="1"/>
      <c r="T1006" s="1"/>
      <c r="U1006" s="1"/>
      <c r="V1006" s="1"/>
      <c r="W1006" s="1"/>
      <c r="X1006" s="1"/>
      <c r="Y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row>
    <row r="1007" spans="1:49" ht="14.25" customHeight="1">
      <c r="A1007" s="1"/>
      <c r="B1007" s="1"/>
      <c r="C1007" s="1"/>
      <c r="D1007" s="1"/>
      <c r="E1007" s="1"/>
      <c r="F1007" s="1"/>
      <c r="G1007" s="1"/>
      <c r="J1007" s="1"/>
      <c r="K1007" s="1"/>
      <c r="L1007" s="1"/>
      <c r="M1007" s="1"/>
      <c r="P1007" s="1"/>
      <c r="Q1007" s="1"/>
      <c r="R1007" s="1"/>
      <c r="S1007" s="1"/>
      <c r="T1007" s="1"/>
      <c r="U1007" s="1"/>
      <c r="V1007" s="1"/>
      <c r="W1007" s="1"/>
      <c r="X1007" s="1"/>
      <c r="Y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row>
    <row r="1008" spans="1:49" ht="14.25" customHeight="1">
      <c r="A1008" s="1"/>
      <c r="B1008" s="1"/>
      <c r="C1008" s="1"/>
      <c r="D1008" s="1"/>
      <c r="E1008" s="1"/>
      <c r="F1008" s="1"/>
      <c r="G1008" s="1"/>
      <c r="J1008" s="1"/>
      <c r="K1008" s="1"/>
      <c r="L1008" s="1"/>
      <c r="M1008" s="1"/>
      <c r="P1008" s="1"/>
      <c r="Q1008" s="1"/>
      <c r="R1008" s="1"/>
      <c r="S1008" s="1"/>
      <c r="T1008" s="1"/>
      <c r="U1008" s="1"/>
      <c r="V1008" s="1"/>
      <c r="W1008" s="1"/>
      <c r="X1008" s="1"/>
      <c r="Y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row>
  </sheetData>
  <mergeCells count="18">
    <mergeCell ref="B26:S29"/>
    <mergeCell ref="I34:N34"/>
    <mergeCell ref="C61:D61"/>
    <mergeCell ref="C71:D71"/>
    <mergeCell ref="K71:L71"/>
    <mergeCell ref="S71:T71"/>
    <mergeCell ref="B43:S46"/>
    <mergeCell ref="B48:G48"/>
    <mergeCell ref="C51:D51"/>
    <mergeCell ref="K51:L51"/>
    <mergeCell ref="S51:T51"/>
    <mergeCell ref="K61:L61"/>
    <mergeCell ref="S61:T61"/>
    <mergeCell ref="B2:S5"/>
    <mergeCell ref="E8:G8"/>
    <mergeCell ref="E9:F9"/>
    <mergeCell ref="J9:L9"/>
    <mergeCell ref="J10:K10"/>
  </mergeCells>
  <pageMargins left="0.7" right="0.7" top="0.75" bottom="0.75" header="0" footer="0"/>
  <pageSetup orientation="portrait"/>
  <drawing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X998"/>
  <sheetViews>
    <sheetView workbookViewId="0">
      <selection activeCell="I27" sqref="I27"/>
    </sheetView>
  </sheetViews>
  <sheetFormatPr defaultColWidth="14.42578125" defaultRowHeight="15" customHeight="1"/>
  <cols>
    <col min="2" max="2" width="28.42578125" customWidth="1"/>
    <col min="3" max="3" width="27.85546875" customWidth="1"/>
    <col min="4" max="4" width="12.28515625" customWidth="1"/>
    <col min="5" max="5" width="8.7109375" customWidth="1"/>
    <col min="6" max="6" width="15" customWidth="1"/>
    <col min="7" max="7" width="9.42578125" customWidth="1"/>
    <col min="8" max="8" width="4.5703125" customWidth="1"/>
    <col min="9" max="9" width="22.42578125" customWidth="1"/>
    <col min="10" max="10" width="21.28515625" customWidth="1"/>
    <col min="11" max="11" width="7.28515625" customWidth="1"/>
    <col min="12" max="12" width="8.7109375" customWidth="1"/>
    <col min="13" max="13" width="11.42578125" customWidth="1"/>
    <col min="14" max="14" width="21.140625" customWidth="1"/>
    <col min="15" max="15" width="13.42578125" customWidth="1"/>
    <col min="16" max="16" width="19.7109375" customWidth="1"/>
    <col min="17" max="17" width="13.5703125" customWidth="1"/>
    <col min="18" max="18" width="16.42578125" customWidth="1"/>
    <col min="19" max="19" width="8.7109375" customWidth="1"/>
    <col min="20" max="20" width="10.7109375" customWidth="1"/>
    <col min="21" max="26" width="8.7109375" customWidth="1"/>
  </cols>
  <sheetData>
    <row r="1" spans="2:21" ht="14.25" customHeight="1"/>
    <row r="2" spans="2:21" ht="66" customHeight="1">
      <c r="B2" s="230" t="s">
        <v>341</v>
      </c>
      <c r="C2" s="230" t="s">
        <v>342</v>
      </c>
      <c r="F2" s="342" t="s">
        <v>343</v>
      </c>
      <c r="G2" s="386"/>
      <c r="I2" s="342" t="s">
        <v>356</v>
      </c>
      <c r="J2" s="387"/>
      <c r="K2" s="386"/>
      <c r="M2" s="343" t="s">
        <v>357</v>
      </c>
      <c r="N2" s="387"/>
      <c r="O2" s="387"/>
      <c r="P2" s="387"/>
      <c r="Q2" s="386"/>
    </row>
    <row r="3" spans="2:21" ht="14.25" customHeight="1">
      <c r="I3" s="108"/>
      <c r="J3" s="108"/>
      <c r="K3" s="108"/>
    </row>
    <row r="4" spans="2:21" ht="40.5" customHeight="1">
      <c r="B4" s="231" t="s">
        <v>182</v>
      </c>
      <c r="C4" s="231" t="s">
        <v>358</v>
      </c>
      <c r="F4" s="231" t="s">
        <v>359</v>
      </c>
      <c r="I4" s="233" t="s">
        <v>360</v>
      </c>
      <c r="J4" s="78"/>
      <c r="M4" s="11" t="s">
        <v>13</v>
      </c>
      <c r="N4" s="234" t="s">
        <v>361</v>
      </c>
      <c r="O4" s="234" t="s">
        <v>362</v>
      </c>
      <c r="P4" s="234" t="s">
        <v>363</v>
      </c>
      <c r="Q4" s="234" t="s">
        <v>364</v>
      </c>
      <c r="R4" s="234" t="s">
        <v>365</v>
      </c>
    </row>
    <row r="5" spans="2:21" ht="26.25" customHeight="1">
      <c r="B5" s="183" t="s">
        <v>183</v>
      </c>
      <c r="C5" s="183" t="s">
        <v>183</v>
      </c>
      <c r="F5" s="183" t="s">
        <v>183</v>
      </c>
      <c r="I5" s="183" t="s">
        <v>280</v>
      </c>
      <c r="M5" s="181"/>
      <c r="N5" s="232" t="s">
        <v>366</v>
      </c>
      <c r="O5" s="232" t="s">
        <v>280</v>
      </c>
      <c r="P5" s="232" t="s">
        <v>366</v>
      </c>
      <c r="Q5" s="232" t="s">
        <v>366</v>
      </c>
      <c r="R5" s="232" t="s">
        <v>366</v>
      </c>
    </row>
    <row r="6" spans="2:21" ht="14.25" customHeight="1">
      <c r="B6" s="180" t="s">
        <v>184</v>
      </c>
      <c r="C6" s="180" t="s">
        <v>184</v>
      </c>
      <c r="F6" s="180" t="s">
        <v>184</v>
      </c>
      <c r="I6" s="180" t="s">
        <v>184</v>
      </c>
      <c r="M6" s="180" t="s">
        <v>184</v>
      </c>
      <c r="N6" s="180" t="s">
        <v>184</v>
      </c>
      <c r="O6" s="180" t="s">
        <v>184</v>
      </c>
      <c r="P6" s="180" t="s">
        <v>184</v>
      </c>
      <c r="Q6" s="180" t="s">
        <v>184</v>
      </c>
      <c r="R6" s="180" t="s">
        <v>184</v>
      </c>
    </row>
    <row r="7" spans="2:21" ht="14.25" customHeight="1">
      <c r="B7" s="184">
        <f>BSL_ExPost_total!M15</f>
        <v>272679.01224708557</v>
      </c>
      <c r="C7" s="184">
        <f>IF(Significance!$E$21&gt;0.05,PRJ_ExPost!L7,0)</f>
        <v>0</v>
      </c>
      <c r="F7" s="184">
        <f>BSL_ExPost_total!M15*LF_ME</f>
        <v>54535.802449417119</v>
      </c>
      <c r="I7" s="235">
        <v>0.24</v>
      </c>
      <c r="M7" s="181">
        <v>2022</v>
      </c>
      <c r="N7" s="184">
        <f t="shared" ref="N7:N8" si="0">B7-C7-F7</f>
        <v>218143.20979766845</v>
      </c>
      <c r="O7" s="236">
        <f>IF(Uncertainty!I42&lt;=0.15,0,Uncertainty!I42)</f>
        <v>0</v>
      </c>
      <c r="P7" s="184">
        <f t="shared" ref="P7:P8" si="1">N7*(1-O$7)</f>
        <v>218143.20979766845</v>
      </c>
      <c r="Q7" s="184">
        <f t="shared" ref="Q7:Q8" si="2">P7*$I$7</f>
        <v>52354.370351440426</v>
      </c>
      <c r="R7" s="184">
        <f t="shared" ref="R7:R8" si="3">P7-Q7</f>
        <v>165788.83944622803</v>
      </c>
    </row>
    <row r="8" spans="2:21" ht="14.25" customHeight="1">
      <c r="B8" s="184">
        <f>BSL_ExPost_total!M16</f>
        <v>324048.79437812953</v>
      </c>
      <c r="C8" s="184">
        <f>IF(Significance!$E$21&gt;0.05,PRJ_ExPost!L8,0)</f>
        <v>0</v>
      </c>
      <c r="F8" s="184">
        <f>BSL_ExPost_total!M16*LF_ME</f>
        <v>64809.758875625907</v>
      </c>
      <c r="M8" s="181">
        <v>2023</v>
      </c>
      <c r="N8" s="184">
        <f t="shared" si="0"/>
        <v>259239.03550250363</v>
      </c>
      <c r="O8" s="46"/>
      <c r="P8" s="184">
        <f t="shared" si="1"/>
        <v>259239.03550250363</v>
      </c>
      <c r="Q8" s="184">
        <f t="shared" si="2"/>
        <v>62217.368520600867</v>
      </c>
      <c r="R8" s="184">
        <f t="shared" si="3"/>
        <v>197021.66698190276</v>
      </c>
    </row>
    <row r="9" spans="2:21" ht="14.25" customHeight="1">
      <c r="B9" s="185">
        <f t="shared" ref="B9:C9" si="4">SUM(B7:B8)</f>
        <v>596727.8066252151</v>
      </c>
      <c r="C9" s="185">
        <f t="shared" si="4"/>
        <v>0</v>
      </c>
      <c r="F9" s="185">
        <f>SUM(F7:F8)</f>
        <v>119345.56132504303</v>
      </c>
      <c r="M9" s="46"/>
      <c r="N9" s="185">
        <f>SUM(N7:N8)</f>
        <v>477382.24530017207</v>
      </c>
      <c r="P9" s="185">
        <f t="shared" ref="P9:R9" si="5">SUM(P7:P8)</f>
        <v>477382.24530017207</v>
      </c>
      <c r="Q9" s="185">
        <f t="shared" si="5"/>
        <v>114571.73887204129</v>
      </c>
      <c r="R9" s="185">
        <f t="shared" si="5"/>
        <v>362810.50642813079</v>
      </c>
      <c r="S9" s="111" t="s">
        <v>367</v>
      </c>
    </row>
    <row r="10" spans="2:21" ht="14.25" customHeight="1">
      <c r="J10" s="157"/>
      <c r="N10" s="185">
        <f>AVERAGE(N7:N8)</f>
        <v>238691.12265008604</v>
      </c>
      <c r="P10" s="185">
        <f t="shared" ref="P10:R10" si="6">AVERAGE(P7:P8)</f>
        <v>238691.12265008604</v>
      </c>
      <c r="Q10" s="185">
        <f t="shared" si="6"/>
        <v>57285.869436020643</v>
      </c>
      <c r="R10" s="185">
        <f t="shared" si="6"/>
        <v>181405.25321406539</v>
      </c>
      <c r="S10" s="111" t="s">
        <v>175</v>
      </c>
      <c r="U10" s="106"/>
    </row>
    <row r="11" spans="2:21" ht="14.25" customHeight="1"/>
    <row r="12" spans="2:21" ht="14.25" customHeight="1">
      <c r="R12" s="237"/>
      <c r="S12" s="237"/>
      <c r="T12" s="237"/>
    </row>
    <row r="13" spans="2:21" ht="14.25" customHeight="1">
      <c r="G13" s="182"/>
    </row>
    <row r="14" spans="2:21" ht="31.15">
      <c r="G14" s="182"/>
      <c r="M14" s="344" t="s">
        <v>368</v>
      </c>
      <c r="N14" s="387"/>
      <c r="O14" s="387"/>
      <c r="P14" s="387"/>
      <c r="Q14" s="386"/>
    </row>
    <row r="16" spans="2:21" ht="36" customHeight="1">
      <c r="M16" s="11" t="s">
        <v>13</v>
      </c>
      <c r="N16" s="234" t="s">
        <v>369</v>
      </c>
      <c r="O16" s="234" t="s">
        <v>370</v>
      </c>
      <c r="P16" s="234" t="s">
        <v>371</v>
      </c>
    </row>
    <row r="17" spans="13:24" ht="15.6">
      <c r="M17" s="181"/>
      <c r="N17" s="232" t="s">
        <v>366</v>
      </c>
      <c r="O17" s="232" t="s">
        <v>366</v>
      </c>
      <c r="P17" s="232" t="s">
        <v>280</v>
      </c>
    </row>
    <row r="18" spans="13:24" ht="14.45">
      <c r="M18" s="180" t="s">
        <v>184</v>
      </c>
      <c r="N18" s="180" t="s">
        <v>184</v>
      </c>
      <c r="O18" s="180" t="s">
        <v>184</v>
      </c>
      <c r="P18" s="180" t="s">
        <v>184</v>
      </c>
    </row>
    <row r="19" spans="13:24" ht="14.25" customHeight="1">
      <c r="M19" s="181">
        <v>2022</v>
      </c>
      <c r="N19" s="184">
        <v>196329</v>
      </c>
      <c r="O19" s="184">
        <f t="shared" ref="O19:O20" si="7">R7</f>
        <v>165788.83944622803</v>
      </c>
      <c r="P19" s="238">
        <f t="shared" ref="P19:P20" si="8">(O19-N19)/O19</f>
        <v>-0.18421119694053575</v>
      </c>
    </row>
    <row r="20" spans="13:24" ht="14.25" customHeight="1">
      <c r="M20" s="181">
        <v>2023</v>
      </c>
      <c r="N20" s="184">
        <v>233315</v>
      </c>
      <c r="O20" s="184">
        <f t="shared" si="7"/>
        <v>197021.66698190276</v>
      </c>
      <c r="P20" s="238">
        <f t="shared" si="8"/>
        <v>-0.18420985658105782</v>
      </c>
    </row>
    <row r="21" spans="13:24" ht="23.25" customHeight="1"/>
    <row r="22" spans="13:24" ht="14.45">
      <c r="M22" s="239" t="s">
        <v>372</v>
      </c>
      <c r="N22" s="239"/>
      <c r="O22" s="239"/>
      <c r="P22" s="239"/>
      <c r="Q22" s="239"/>
      <c r="R22" s="239"/>
      <c r="S22" s="239"/>
      <c r="T22" s="239"/>
      <c r="U22" s="239"/>
      <c r="V22" s="239"/>
      <c r="W22" s="239"/>
      <c r="X22" s="239"/>
    </row>
    <row r="23" spans="13:24" ht="14.25" customHeight="1"/>
    <row r="24" spans="13:24" ht="14.25" customHeight="1"/>
    <row r="25" spans="13:24" ht="14.25" customHeight="1"/>
    <row r="26" spans="13:24" ht="14.25" customHeight="1"/>
    <row r="27" spans="13:24" ht="14.25" customHeight="1"/>
    <row r="28" spans="13:24" ht="14.25" customHeight="1"/>
    <row r="29" spans="13:24" ht="14.25" customHeight="1"/>
    <row r="30" spans="13:24" ht="14.25" customHeight="1"/>
    <row r="31" spans="13:24" ht="14.25" customHeight="1"/>
    <row r="32" spans="13:2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sheetData>
  <mergeCells count="4">
    <mergeCell ref="F2:G2"/>
    <mergeCell ref="I2:K2"/>
    <mergeCell ref="M2:Q2"/>
    <mergeCell ref="M14:Q14"/>
  </mergeCells>
  <pageMargins left="0.7" right="0.7" top="0.75" bottom="0.75" header="0" footer="0"/>
  <pageSetup paperSize="9" orientation="portrait"/>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1002"/>
  <sheetViews>
    <sheetView topLeftCell="D8" workbookViewId="0">
      <selection activeCell="I26" sqref="I26"/>
    </sheetView>
  </sheetViews>
  <sheetFormatPr defaultColWidth="14.42578125" defaultRowHeight="15" customHeight="1"/>
  <cols>
    <col min="1" max="1" width="8.7109375" customWidth="1"/>
    <col min="2" max="2" width="28.28515625" customWidth="1"/>
    <col min="3" max="3" width="33.28515625" customWidth="1"/>
    <col min="4" max="4" width="22.28515625" customWidth="1"/>
    <col min="5" max="5" width="23.28515625" customWidth="1"/>
    <col min="6" max="6" width="23.7109375" customWidth="1"/>
    <col min="7" max="7" width="23.5703125" customWidth="1"/>
    <col min="8" max="8" width="22.28515625" customWidth="1"/>
    <col min="9" max="9" width="27.7109375" customWidth="1"/>
    <col min="10" max="10" width="38.5703125" customWidth="1"/>
    <col min="11" max="11" width="28.7109375" customWidth="1"/>
    <col min="12" max="12" width="31.28515625" customWidth="1"/>
    <col min="13" max="28" width="8.7109375" customWidth="1"/>
  </cols>
  <sheetData>
    <row r="1" spans="1:28" ht="14.25" customHeight="1">
      <c r="A1" s="345"/>
      <c r="B1" s="356"/>
      <c r="C1" s="73"/>
      <c r="D1" s="73"/>
      <c r="E1" s="73"/>
      <c r="F1" s="73"/>
      <c r="G1" s="73"/>
      <c r="H1" s="73"/>
      <c r="I1" s="73"/>
      <c r="J1" s="73"/>
      <c r="K1" s="73"/>
      <c r="L1" s="73"/>
      <c r="M1" s="73"/>
      <c r="N1" s="73"/>
      <c r="O1" s="73"/>
      <c r="P1" s="73"/>
      <c r="Q1" s="73"/>
      <c r="R1" s="73"/>
      <c r="S1" s="73"/>
      <c r="T1" s="73"/>
      <c r="U1" s="73"/>
      <c r="V1" s="73"/>
      <c r="W1" s="73"/>
      <c r="X1" s="73"/>
      <c r="Y1" s="73"/>
      <c r="Z1" s="73"/>
      <c r="AA1" s="73"/>
      <c r="AB1" s="73"/>
    </row>
    <row r="2" spans="1:28" ht="61.15">
      <c r="A2" s="73"/>
      <c r="B2" s="346" t="s">
        <v>373</v>
      </c>
      <c r="C2" s="387"/>
      <c r="D2" s="387"/>
      <c r="E2" s="387"/>
      <c r="F2" s="387"/>
      <c r="G2" s="387"/>
      <c r="H2" s="386"/>
      <c r="I2" s="240"/>
      <c r="J2" s="240"/>
      <c r="K2" s="240"/>
      <c r="L2" s="73"/>
      <c r="M2" s="73"/>
      <c r="N2" s="73"/>
      <c r="O2" s="73"/>
      <c r="P2" s="73"/>
      <c r="Q2" s="73"/>
      <c r="R2" s="73"/>
      <c r="S2" s="73"/>
      <c r="T2" s="73"/>
      <c r="U2" s="73"/>
      <c r="V2" s="73"/>
      <c r="W2" s="73"/>
      <c r="X2" s="73"/>
      <c r="Y2" s="73"/>
      <c r="Z2" s="73"/>
    </row>
    <row r="3" spans="1:28" ht="51" customHeight="1"/>
    <row r="4" spans="1:28" ht="51" customHeight="1">
      <c r="B4" s="241" t="s">
        <v>250</v>
      </c>
      <c r="C4" s="242" t="s">
        <v>374</v>
      </c>
      <c r="D4" s="242" t="s">
        <v>375</v>
      </c>
      <c r="E4" s="242" t="s">
        <v>376</v>
      </c>
      <c r="F4" s="347" t="s">
        <v>377</v>
      </c>
      <c r="G4" s="454"/>
      <c r="H4" s="347" t="s">
        <v>235</v>
      </c>
      <c r="I4" s="387"/>
      <c r="J4" s="386"/>
      <c r="K4" s="243"/>
    </row>
    <row r="5" spans="1:28" ht="51" customHeight="1">
      <c r="B5" s="244" t="s">
        <v>378</v>
      </c>
      <c r="C5" s="245" t="s">
        <v>379</v>
      </c>
      <c r="D5" s="245">
        <v>1.67</v>
      </c>
      <c r="E5" s="246" t="s">
        <v>380</v>
      </c>
      <c r="F5" s="348" t="s">
        <v>381</v>
      </c>
      <c r="G5" s="417"/>
      <c r="H5" s="455" t="s">
        <v>382</v>
      </c>
      <c r="I5" s="389"/>
      <c r="J5" s="369"/>
    </row>
    <row r="6" spans="1:28" ht="51" customHeight="1">
      <c r="B6" s="456" t="s">
        <v>383</v>
      </c>
      <c r="C6" s="457" t="s">
        <v>384</v>
      </c>
      <c r="D6" s="457">
        <v>0.49</v>
      </c>
      <c r="E6" s="458" t="s">
        <v>385</v>
      </c>
      <c r="F6" s="348" t="s">
        <v>386</v>
      </c>
      <c r="G6" s="417"/>
      <c r="H6" s="349" t="s">
        <v>387</v>
      </c>
      <c r="I6" s="396"/>
      <c r="J6" s="417"/>
    </row>
    <row r="7" spans="1:28" ht="63" customHeight="1">
      <c r="B7" s="244" t="s">
        <v>257</v>
      </c>
      <c r="C7" s="245" t="s">
        <v>388</v>
      </c>
      <c r="D7" s="245">
        <v>1.74</v>
      </c>
      <c r="E7" s="247" t="s">
        <v>27</v>
      </c>
      <c r="F7" s="459" t="s">
        <v>389</v>
      </c>
      <c r="G7" s="369"/>
      <c r="H7" s="455" t="s">
        <v>390</v>
      </c>
      <c r="I7" s="389"/>
      <c r="J7" s="369"/>
    </row>
    <row r="8" spans="1:28" ht="63" customHeight="1">
      <c r="B8" s="244" t="s">
        <v>391</v>
      </c>
      <c r="C8" s="245" t="s">
        <v>392</v>
      </c>
      <c r="D8" s="245">
        <v>1.22</v>
      </c>
      <c r="E8" s="247" t="s">
        <v>27</v>
      </c>
      <c r="F8" s="459" t="s">
        <v>393</v>
      </c>
      <c r="G8" s="369"/>
      <c r="H8" s="460" t="s">
        <v>394</v>
      </c>
      <c r="I8" s="389"/>
      <c r="J8" s="369"/>
    </row>
    <row r="9" spans="1:28" ht="63" customHeight="1">
      <c r="B9" s="244" t="s">
        <v>395</v>
      </c>
      <c r="C9" s="245" t="s">
        <v>396</v>
      </c>
      <c r="D9" s="248">
        <v>0.66653846153846164</v>
      </c>
      <c r="E9" s="249" t="s">
        <v>397</v>
      </c>
      <c r="F9" s="459" t="s">
        <v>393</v>
      </c>
      <c r="G9" s="369"/>
      <c r="H9" s="455" t="s">
        <v>398</v>
      </c>
      <c r="I9" s="389"/>
      <c r="J9" s="369"/>
    </row>
    <row r="10" spans="1:28" ht="14.25" customHeight="1">
      <c r="H10" s="157"/>
      <c r="J10" s="157"/>
      <c r="K10" s="250"/>
    </row>
    <row r="11" spans="1:28" ht="14.25" customHeight="1">
      <c r="H11" s="157"/>
      <c r="J11" s="157"/>
      <c r="K11" s="250"/>
    </row>
    <row r="12" spans="1:28" ht="27">
      <c r="B12" s="351" t="s">
        <v>399</v>
      </c>
      <c r="C12" s="386"/>
      <c r="H12" s="157"/>
      <c r="J12" s="157"/>
      <c r="K12" s="250"/>
    </row>
    <row r="13" spans="1:28" ht="14.25" customHeight="1">
      <c r="H13" s="157"/>
      <c r="J13" s="157"/>
      <c r="K13" s="250"/>
    </row>
    <row r="14" spans="1:28" ht="14.25" customHeight="1">
      <c r="C14" s="251"/>
    </row>
    <row r="15" spans="1:28" ht="23.25" customHeight="1">
      <c r="E15" s="252" t="s">
        <v>249</v>
      </c>
      <c r="F15" s="253" t="s">
        <v>400</v>
      </c>
      <c r="G15" s="253" t="s">
        <v>401</v>
      </c>
      <c r="H15" s="253" t="s">
        <v>402</v>
      </c>
      <c r="I15" s="254" t="s">
        <v>403</v>
      </c>
      <c r="J15" s="254" t="s">
        <v>404</v>
      </c>
      <c r="K15" s="255" t="s">
        <v>405</v>
      </c>
    </row>
    <row r="16" spans="1:28" ht="21" customHeight="1">
      <c r="A16" s="1"/>
      <c r="B16" s="1"/>
      <c r="C16" s="1"/>
      <c r="D16" s="1"/>
      <c r="E16" s="1"/>
      <c r="F16" s="190" t="s">
        <v>406</v>
      </c>
      <c r="G16" s="190" t="s">
        <v>406</v>
      </c>
      <c r="H16" s="190" t="s">
        <v>407</v>
      </c>
      <c r="I16" s="190" t="s">
        <v>408</v>
      </c>
      <c r="J16" s="190" t="s">
        <v>408</v>
      </c>
      <c r="K16" s="190" t="s">
        <v>408</v>
      </c>
      <c r="L16" s="1"/>
      <c r="M16" s="1"/>
      <c r="N16" s="1"/>
      <c r="O16" s="1"/>
      <c r="P16" s="1"/>
      <c r="Q16" s="1"/>
      <c r="R16" s="1"/>
      <c r="S16" s="1"/>
      <c r="T16" s="1"/>
      <c r="U16" s="1"/>
      <c r="V16" s="1"/>
      <c r="W16" s="1"/>
      <c r="X16" s="1"/>
      <c r="Y16" s="1"/>
      <c r="Z16" s="1"/>
      <c r="AA16" s="1"/>
      <c r="AB16" s="1"/>
    </row>
    <row r="17" spans="2:11" ht="14.25" customHeight="1">
      <c r="E17" s="256" t="s">
        <v>5</v>
      </c>
      <c r="F17" s="52">
        <v>236.6</v>
      </c>
      <c r="G17" s="257">
        <f>39.57/Bibliography!$D$6</f>
        <v>80.755102040816325</v>
      </c>
      <c r="H17" s="258">
        <f>G17/F17</f>
        <v>0.34131488605585936</v>
      </c>
      <c r="I17" s="52">
        <v>0.4</v>
      </c>
      <c r="J17" s="52">
        <v>2.9</v>
      </c>
      <c r="K17" s="259">
        <f>H17*J17</f>
        <v>0.98981316956199206</v>
      </c>
    </row>
    <row r="18" spans="2:11" ht="14.25" customHeight="1">
      <c r="E18" s="260" t="s">
        <v>6</v>
      </c>
      <c r="F18" s="128">
        <v>72.8</v>
      </c>
      <c r="G18" s="261">
        <f>27.11/Bibliography!$D$6</f>
        <v>55.326530612244895</v>
      </c>
      <c r="H18" s="262">
        <f t="shared" ref="H18" si="0">G18/F18</f>
        <v>0.75997981610226506</v>
      </c>
      <c r="I18" s="128">
        <v>0.9</v>
      </c>
      <c r="J18" s="128">
        <v>2.9</v>
      </c>
      <c r="K18" s="263">
        <f t="shared" ref="K18" si="1">H18*J18</f>
        <v>2.2039414666965684</v>
      </c>
    </row>
    <row r="19" spans="2:11" ht="14.25" customHeight="1"/>
    <row r="20" spans="2:11" ht="14.25" customHeight="1">
      <c r="E20" s="252" t="s">
        <v>249</v>
      </c>
      <c r="F20" s="350" t="s">
        <v>409</v>
      </c>
      <c r="G20" s="386"/>
    </row>
    <row r="21" spans="2:11" ht="14.25" customHeight="1">
      <c r="F21" s="264" t="s">
        <v>408</v>
      </c>
      <c r="G21" s="264" t="s">
        <v>410</v>
      </c>
    </row>
    <row r="22" spans="2:11" ht="14.25" customHeight="1">
      <c r="E22" s="265" t="s">
        <v>5</v>
      </c>
      <c r="F22" s="259">
        <f t="shared" ref="F22:F23" si="2">K17</f>
        <v>0.98981316956199206</v>
      </c>
      <c r="G22" s="257">
        <f t="shared" ref="G22:G23" si="3">F22*$D$6</f>
        <v>0.4850084530853761</v>
      </c>
    </row>
    <row r="23" spans="2:11" ht="18" customHeight="1">
      <c r="E23" s="461" t="s">
        <v>6</v>
      </c>
      <c r="F23" s="263">
        <f t="shared" si="2"/>
        <v>2.2039414666965684</v>
      </c>
      <c r="G23" s="261">
        <f t="shared" si="3"/>
        <v>1.0799313186813184</v>
      </c>
    </row>
    <row r="24" spans="2:11" ht="14.25" customHeight="1"/>
    <row r="25" spans="2:11" ht="14.25" customHeight="1"/>
    <row r="26" spans="2:11" ht="14.25" customHeight="1"/>
    <row r="27" spans="2:11" ht="14.25" customHeight="1"/>
    <row r="28" spans="2:11" ht="14.25" customHeight="1">
      <c r="B28" s="351" t="s">
        <v>411</v>
      </c>
      <c r="C28" s="386"/>
    </row>
    <row r="29" spans="2:11" ht="14.25" customHeight="1"/>
    <row r="30" spans="2:11" ht="24" customHeight="1">
      <c r="B30" s="266" t="s">
        <v>412</v>
      </c>
      <c r="C30" s="267" t="s">
        <v>413</v>
      </c>
      <c r="D30" s="268" t="s">
        <v>414</v>
      </c>
      <c r="E30" s="269" t="s">
        <v>415</v>
      </c>
      <c r="F30" s="270" t="s">
        <v>416</v>
      </c>
    </row>
    <row r="31" spans="2:11" ht="14.25" customHeight="1">
      <c r="B31" s="271" t="s">
        <v>417</v>
      </c>
      <c r="C31" s="272">
        <v>0.95</v>
      </c>
      <c r="D31" s="273">
        <v>0.12</v>
      </c>
      <c r="E31" s="274">
        <v>0.24</v>
      </c>
      <c r="F31" s="275">
        <v>0.86</v>
      </c>
    </row>
    <row r="32" spans="2:11" ht="14.25" customHeight="1">
      <c r="B32" s="271" t="s">
        <v>418</v>
      </c>
      <c r="C32" s="272">
        <f>1-C31</f>
        <v>5.0000000000000044E-2</v>
      </c>
      <c r="D32" s="273">
        <v>0.18</v>
      </c>
      <c r="E32" s="274">
        <v>0.24</v>
      </c>
      <c r="F32" s="275">
        <v>0.99</v>
      </c>
    </row>
    <row r="33" spans="2:9" ht="14.25" customHeight="1"/>
    <row r="34" spans="2:9" ht="14.25" customHeight="1"/>
    <row r="35" spans="2:9" ht="14.25" customHeight="1">
      <c r="B35" s="351" t="s">
        <v>419</v>
      </c>
      <c r="C35" s="386"/>
    </row>
    <row r="36" spans="2:9" ht="14.25" customHeight="1"/>
    <row r="37" spans="2:9" ht="14.25" customHeight="1">
      <c r="I37" s="276"/>
    </row>
    <row r="38" spans="2:9" ht="42.75" customHeight="1">
      <c r="B38" s="255" t="s">
        <v>83</v>
      </c>
      <c r="C38" s="255" t="s">
        <v>84</v>
      </c>
      <c r="D38" s="61" t="s">
        <v>420</v>
      </c>
      <c r="E38" s="277" t="s">
        <v>235</v>
      </c>
    </row>
    <row r="39" spans="2:9" ht="14.25" customHeight="1">
      <c r="B39" s="52" t="s">
        <v>85</v>
      </c>
      <c r="C39" s="462" t="s">
        <v>86</v>
      </c>
      <c r="D39" s="278">
        <f>0.685</f>
        <v>0.68500000000000005</v>
      </c>
      <c r="E39" s="52" t="s">
        <v>421</v>
      </c>
    </row>
    <row r="40" spans="2:9" ht="14.25" customHeight="1">
      <c r="B40" s="128" t="s">
        <v>87</v>
      </c>
      <c r="C40" s="279" t="s">
        <v>88</v>
      </c>
      <c r="D40" s="280">
        <v>0.76500000000000001</v>
      </c>
      <c r="E40" s="128" t="s">
        <v>421</v>
      </c>
    </row>
    <row r="41" spans="2:9" ht="14.25" customHeight="1">
      <c r="B41" s="128" t="s">
        <v>89</v>
      </c>
      <c r="C41" s="279" t="s">
        <v>90</v>
      </c>
      <c r="D41" s="280">
        <v>0.56999999999999995</v>
      </c>
      <c r="E41" s="128" t="s">
        <v>422</v>
      </c>
    </row>
    <row r="42" spans="2:9" ht="14.25" customHeight="1">
      <c r="B42" s="128" t="s">
        <v>91</v>
      </c>
      <c r="C42" s="279" t="s">
        <v>92</v>
      </c>
      <c r="D42" s="280">
        <v>0.49</v>
      </c>
      <c r="E42" s="128" t="s">
        <v>422</v>
      </c>
    </row>
    <row r="43" spans="2:9" ht="14.25" customHeight="1">
      <c r="B43" s="128" t="s">
        <v>93</v>
      </c>
      <c r="C43" s="279" t="s">
        <v>94</v>
      </c>
      <c r="D43" s="280">
        <v>1.05</v>
      </c>
      <c r="E43" s="128" t="s">
        <v>422</v>
      </c>
    </row>
    <row r="44" spans="2:9" ht="14.25" customHeight="1">
      <c r="B44" s="128" t="s">
        <v>95</v>
      </c>
      <c r="C44" s="279" t="s">
        <v>96</v>
      </c>
      <c r="D44" s="280">
        <v>0.56999999999999995</v>
      </c>
      <c r="E44" s="128" t="s">
        <v>422</v>
      </c>
    </row>
    <row r="45" spans="2:9" ht="14.25" customHeight="1">
      <c r="B45" s="128" t="s">
        <v>97</v>
      </c>
      <c r="C45" s="279" t="s">
        <v>98</v>
      </c>
      <c r="D45" s="280">
        <v>0.56999999999999995</v>
      </c>
      <c r="E45" s="128" t="s">
        <v>422</v>
      </c>
    </row>
    <row r="46" spans="2:9" ht="14.25" customHeight="1">
      <c r="B46" s="128" t="s">
        <v>99</v>
      </c>
      <c r="C46" s="279" t="s">
        <v>100</v>
      </c>
      <c r="D46" s="280">
        <v>0.74</v>
      </c>
      <c r="E46" s="128" t="s">
        <v>422</v>
      </c>
    </row>
    <row r="47" spans="2:9" ht="14.25" customHeight="1">
      <c r="B47" s="128" t="s">
        <v>101</v>
      </c>
      <c r="C47" s="279" t="s">
        <v>102</v>
      </c>
      <c r="D47" s="280">
        <v>0.38</v>
      </c>
      <c r="E47" s="128" t="s">
        <v>422</v>
      </c>
    </row>
    <row r="48" spans="2:9" ht="14.25" customHeight="1">
      <c r="B48" s="128" t="s">
        <v>103</v>
      </c>
      <c r="C48" s="279" t="s">
        <v>104</v>
      </c>
      <c r="D48" s="280">
        <v>1.06</v>
      </c>
      <c r="E48" s="128" t="s">
        <v>422</v>
      </c>
    </row>
    <row r="49" spans="2:5" ht="14.25" customHeight="1">
      <c r="B49" s="128" t="s">
        <v>105</v>
      </c>
      <c r="C49" s="279" t="s">
        <v>106</v>
      </c>
      <c r="D49" s="280">
        <v>0.57499999999999996</v>
      </c>
      <c r="E49" s="128" t="s">
        <v>421</v>
      </c>
    </row>
    <row r="50" spans="2:5" ht="14.25" customHeight="1">
      <c r="B50" s="128" t="s">
        <v>107</v>
      </c>
      <c r="C50" s="279" t="s">
        <v>108</v>
      </c>
      <c r="D50" s="280">
        <v>0.66</v>
      </c>
      <c r="E50" s="128" t="s">
        <v>422</v>
      </c>
    </row>
    <row r="51" spans="2:5" ht="14.25" customHeight="1">
      <c r="B51" s="128" t="s">
        <v>109</v>
      </c>
      <c r="C51" s="279" t="s">
        <v>110</v>
      </c>
      <c r="D51" s="280">
        <v>0.76</v>
      </c>
      <c r="E51" s="128" t="s">
        <v>422</v>
      </c>
    </row>
    <row r="52" spans="2:5" ht="14.25" customHeight="1">
      <c r="B52" s="128" t="s">
        <v>111</v>
      </c>
      <c r="C52" s="279" t="s">
        <v>112</v>
      </c>
      <c r="D52" s="280">
        <v>0.52</v>
      </c>
      <c r="E52" s="128" t="s">
        <v>422</v>
      </c>
    </row>
    <row r="53" spans="2:5" ht="14.25" customHeight="1">
      <c r="B53" s="128" t="s">
        <v>113</v>
      </c>
      <c r="C53" s="279" t="s">
        <v>114</v>
      </c>
      <c r="D53" s="280">
        <v>0.63</v>
      </c>
      <c r="E53" s="128" t="s">
        <v>422</v>
      </c>
    </row>
    <row r="54" spans="2:5" ht="14.25" customHeight="1">
      <c r="B54" s="128" t="s">
        <v>115</v>
      </c>
      <c r="C54" s="279" t="s">
        <v>116</v>
      </c>
      <c r="D54" s="280">
        <v>0.63</v>
      </c>
      <c r="E54" s="128" t="s">
        <v>422</v>
      </c>
    </row>
    <row r="55" spans="2:5" ht="14.25" customHeight="1">
      <c r="B55" s="128" t="s">
        <v>117</v>
      </c>
      <c r="C55" s="279" t="s">
        <v>118</v>
      </c>
      <c r="D55" s="280">
        <v>0.7</v>
      </c>
      <c r="E55" s="128" t="s">
        <v>422</v>
      </c>
    </row>
    <row r="56" spans="2:5" ht="14.25" customHeight="1">
      <c r="B56" s="128" t="s">
        <v>119</v>
      </c>
      <c r="C56" s="279" t="s">
        <v>120</v>
      </c>
      <c r="D56" s="280">
        <v>0.53</v>
      </c>
      <c r="E56" s="128" t="s">
        <v>422</v>
      </c>
    </row>
    <row r="57" spans="2:5" ht="14.25" customHeight="1">
      <c r="B57" s="128" t="s">
        <v>121</v>
      </c>
      <c r="C57" s="279" t="s">
        <v>122</v>
      </c>
      <c r="D57" s="280">
        <v>0.8</v>
      </c>
      <c r="E57" s="128" t="s">
        <v>422</v>
      </c>
    </row>
    <row r="58" spans="2:5" ht="14.25" customHeight="1">
      <c r="B58" s="128" t="s">
        <v>123</v>
      </c>
      <c r="C58" s="279" t="s">
        <v>124</v>
      </c>
      <c r="D58" s="280">
        <v>0.8</v>
      </c>
      <c r="E58" s="128" t="s">
        <v>422</v>
      </c>
    </row>
    <row r="59" spans="2:5" ht="14.25" customHeight="1">
      <c r="B59" s="128" t="s">
        <v>125</v>
      </c>
      <c r="C59" s="279" t="s">
        <v>126</v>
      </c>
      <c r="D59" s="280">
        <v>0.62</v>
      </c>
      <c r="E59" s="128" t="s">
        <v>422</v>
      </c>
    </row>
    <row r="60" spans="2:5" ht="14.25" customHeight="1">
      <c r="B60" s="128" t="s">
        <v>127</v>
      </c>
      <c r="C60" s="279" t="s">
        <v>128</v>
      </c>
      <c r="D60" s="280">
        <v>0.36</v>
      </c>
      <c r="E60" s="128" t="s">
        <v>422</v>
      </c>
    </row>
    <row r="61" spans="2:5" ht="14.25" customHeight="1">
      <c r="B61" s="128" t="s">
        <v>129</v>
      </c>
      <c r="C61" s="279" t="s">
        <v>130</v>
      </c>
      <c r="D61" s="280">
        <v>0.74</v>
      </c>
      <c r="E61" s="128" t="s">
        <v>422</v>
      </c>
    </row>
    <row r="62" spans="2:5" ht="14.25" customHeight="1">
      <c r="B62" s="128" t="s">
        <v>131</v>
      </c>
      <c r="C62" s="279" t="s">
        <v>132</v>
      </c>
      <c r="D62" s="280">
        <v>0.54</v>
      </c>
      <c r="E62" s="128" t="s">
        <v>422</v>
      </c>
    </row>
    <row r="63" spans="2:5" ht="14.25" customHeight="1">
      <c r="B63" s="128" t="s">
        <v>133</v>
      </c>
      <c r="C63" s="279" t="s">
        <v>134</v>
      </c>
      <c r="D63" s="280">
        <v>0.32</v>
      </c>
      <c r="E63" s="128" t="s">
        <v>422</v>
      </c>
    </row>
    <row r="64" spans="2:5" ht="14.25" customHeight="1">
      <c r="B64" s="128" t="s">
        <v>135</v>
      </c>
      <c r="C64" s="279" t="s">
        <v>136</v>
      </c>
      <c r="D64" s="280">
        <v>0.49</v>
      </c>
      <c r="E64" s="128" t="s">
        <v>422</v>
      </c>
    </row>
    <row r="65" spans="2:5" ht="14.25" customHeight="1">
      <c r="B65" s="128" t="s">
        <v>137</v>
      </c>
      <c r="C65" s="279" t="s">
        <v>138</v>
      </c>
      <c r="D65" s="280">
        <v>0.64</v>
      </c>
      <c r="E65" s="128" t="s">
        <v>422</v>
      </c>
    </row>
    <row r="66" spans="2:5" ht="14.25" customHeight="1">
      <c r="B66" s="128" t="s">
        <v>139</v>
      </c>
      <c r="C66" s="279" t="s">
        <v>140</v>
      </c>
      <c r="D66" s="280">
        <v>0.69</v>
      </c>
      <c r="E66" s="128" t="s">
        <v>422</v>
      </c>
    </row>
    <row r="67" spans="2:5" ht="14.25" customHeight="1">
      <c r="B67" s="128" t="s">
        <v>141</v>
      </c>
      <c r="C67" s="279" t="s">
        <v>142</v>
      </c>
      <c r="D67" s="280">
        <v>0.76</v>
      </c>
      <c r="E67" s="128" t="s">
        <v>422</v>
      </c>
    </row>
    <row r="68" spans="2:5" ht="14.25" customHeight="1">
      <c r="B68" s="128" t="s">
        <v>143</v>
      </c>
      <c r="C68" s="279" t="s">
        <v>144</v>
      </c>
      <c r="D68" s="280">
        <v>0.59</v>
      </c>
      <c r="E68" s="128" t="s">
        <v>422</v>
      </c>
    </row>
    <row r="69" spans="2:5" ht="14.25" customHeight="1">
      <c r="B69" s="128" t="s">
        <v>145</v>
      </c>
      <c r="C69" s="279" t="s">
        <v>146</v>
      </c>
      <c r="D69" s="280">
        <v>0.75</v>
      </c>
      <c r="E69" s="128" t="s">
        <v>422</v>
      </c>
    </row>
    <row r="70" spans="2:5" ht="14.25" customHeight="1">
      <c r="B70" s="128" t="s">
        <v>147</v>
      </c>
      <c r="C70" s="279" t="s">
        <v>148</v>
      </c>
      <c r="D70" s="280">
        <v>0.66</v>
      </c>
      <c r="E70" s="128" t="s">
        <v>423</v>
      </c>
    </row>
    <row r="71" spans="2:5" ht="14.25" customHeight="1">
      <c r="B71" s="128" t="s">
        <v>149</v>
      </c>
      <c r="C71" s="279" t="s">
        <v>150</v>
      </c>
      <c r="D71" s="280">
        <v>0.88</v>
      </c>
      <c r="E71" s="128" t="s">
        <v>422</v>
      </c>
    </row>
    <row r="72" spans="2:5" ht="14.25" customHeight="1">
      <c r="B72" s="128" t="s">
        <v>151</v>
      </c>
      <c r="C72" s="279" t="s">
        <v>152</v>
      </c>
      <c r="D72" s="280">
        <v>0.91</v>
      </c>
      <c r="E72" s="128" t="s">
        <v>422</v>
      </c>
    </row>
    <row r="73" spans="2:5" ht="14.25" customHeight="1">
      <c r="B73" s="128" t="s">
        <v>153</v>
      </c>
      <c r="C73" s="279" t="s">
        <v>154</v>
      </c>
      <c r="D73" s="280">
        <v>0.79</v>
      </c>
      <c r="E73" s="128" t="s">
        <v>422</v>
      </c>
    </row>
    <row r="74" spans="2:5" ht="14.25" customHeight="1">
      <c r="B74" s="128" t="s">
        <v>155</v>
      </c>
      <c r="C74" s="279" t="s">
        <v>156</v>
      </c>
      <c r="D74" s="280">
        <v>0.69</v>
      </c>
      <c r="E74" s="128" t="s">
        <v>422</v>
      </c>
    </row>
    <row r="75" spans="2:5" ht="14.25" customHeight="1">
      <c r="B75" s="128" t="s">
        <v>157</v>
      </c>
      <c r="C75" s="279" t="s">
        <v>158</v>
      </c>
      <c r="D75" s="280">
        <v>0.62</v>
      </c>
      <c r="E75" s="128" t="s">
        <v>422</v>
      </c>
    </row>
    <row r="76" spans="2:5" ht="14.25" customHeight="1">
      <c r="B76" s="128" t="s">
        <v>159</v>
      </c>
      <c r="C76" s="279" t="s">
        <v>160</v>
      </c>
      <c r="D76" s="280">
        <v>0.91</v>
      </c>
      <c r="E76" s="128" t="s">
        <v>422</v>
      </c>
    </row>
    <row r="77" spans="2:5" ht="14.25" customHeight="1">
      <c r="B77" s="54" t="s">
        <v>161</v>
      </c>
      <c r="C77" s="281" t="s">
        <v>162</v>
      </c>
      <c r="D77" s="282">
        <v>0.55000000000000004</v>
      </c>
      <c r="E77" s="54" t="s">
        <v>422</v>
      </c>
    </row>
    <row r="78" spans="2:5" ht="14.25" customHeight="1">
      <c r="B78" s="283" t="s">
        <v>175</v>
      </c>
      <c r="D78" s="284">
        <f>AVERAGE(D39:D77)</f>
        <v>0.66653846153846164</v>
      </c>
    </row>
    <row r="79" spans="2:5" ht="14.25" customHeight="1">
      <c r="B79" s="283" t="s">
        <v>424</v>
      </c>
      <c r="D79" s="284">
        <f>_xlfn.STDEV.S(D39:D77)</f>
        <v>0.16563336908807164</v>
      </c>
    </row>
    <row r="80" spans="2:5"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18">
    <mergeCell ref="H6:J6"/>
    <mergeCell ref="F9:G9"/>
    <mergeCell ref="F20:G20"/>
    <mergeCell ref="B28:C28"/>
    <mergeCell ref="B35:C35"/>
    <mergeCell ref="F6:G6"/>
    <mergeCell ref="F7:G7"/>
    <mergeCell ref="H7:J7"/>
    <mergeCell ref="F8:G8"/>
    <mergeCell ref="H8:J8"/>
    <mergeCell ref="H9:J9"/>
    <mergeCell ref="B12:C12"/>
    <mergeCell ref="A1:B1"/>
    <mergeCell ref="B2:H2"/>
    <mergeCell ref="F4:G4"/>
    <mergeCell ref="H4:J4"/>
    <mergeCell ref="F5:G5"/>
    <mergeCell ref="H5:J5"/>
  </mergeCells>
  <hyperlinks>
    <hyperlink ref="H8" r:id="rId1" xr:uid="{00000000-0004-0000-0A00-000000000000}"/>
  </hyperlinks>
  <pageMargins left="0.7" right="0.7" top="0.75" bottom="0.75" header="0" footer="0"/>
  <pageSetup orientation="portrait"/>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1000"/>
  <sheetViews>
    <sheetView workbookViewId="0"/>
  </sheetViews>
  <sheetFormatPr defaultColWidth="14.42578125" defaultRowHeight="15" customHeight="1"/>
  <cols>
    <col min="1" max="1" width="21.140625" customWidth="1"/>
    <col min="2" max="2" width="32.140625" customWidth="1"/>
    <col min="3" max="3" width="11.7109375" customWidth="1"/>
    <col min="4" max="4" width="13" customWidth="1"/>
    <col min="5" max="5" width="15.28515625" customWidth="1"/>
    <col min="6" max="6" width="11.7109375" customWidth="1"/>
    <col min="7" max="7" width="10.42578125" customWidth="1"/>
    <col min="8" max="8" width="11.7109375" customWidth="1"/>
    <col min="9" max="9" width="10.42578125" customWidth="1"/>
    <col min="10" max="10" width="7.7109375" customWidth="1"/>
    <col min="11" max="11" width="6.7109375" customWidth="1"/>
    <col min="12" max="12" width="13" customWidth="1"/>
    <col min="13" max="13" width="15.28515625" customWidth="1"/>
    <col min="14" max="14" width="11.28515625" customWidth="1"/>
    <col min="15" max="15" width="10" customWidth="1"/>
    <col min="16" max="16" width="12.42578125" customWidth="1"/>
    <col min="17" max="17" width="10" customWidth="1"/>
    <col min="18" max="18" width="11.7109375" customWidth="1"/>
    <col min="19" max="19" width="10.140625" customWidth="1"/>
    <col min="20" max="20" width="13" customWidth="1"/>
    <col min="21" max="21" width="15.28515625" customWidth="1"/>
    <col min="22" max="22" width="11.7109375" customWidth="1"/>
    <col min="23" max="23" width="10.42578125" customWidth="1"/>
    <col min="24" max="24" width="11.28515625" customWidth="1"/>
    <col min="25" max="25" width="8.5703125" customWidth="1"/>
    <col min="26" max="26" width="10.42578125" customWidth="1"/>
    <col min="27" max="27" width="9" customWidth="1"/>
    <col min="28" max="28" width="10.42578125" customWidth="1"/>
    <col min="29" max="29" width="9" customWidth="1"/>
    <col min="30" max="30" width="10.42578125" customWidth="1"/>
    <col min="31" max="32" width="9" customWidth="1"/>
    <col min="33" max="33" width="7.140625" customWidth="1"/>
    <col min="34" max="34" width="4.28515625" customWidth="1"/>
    <col min="35" max="35" width="8.28515625" customWidth="1"/>
    <col min="36" max="36" width="21" customWidth="1"/>
    <col min="37" max="38" width="21.28515625" customWidth="1"/>
    <col min="39" max="39" width="20.28515625" customWidth="1"/>
    <col min="40" max="40" width="21" customWidth="1"/>
    <col min="41" max="43" width="22.7109375" customWidth="1"/>
    <col min="44" max="45" width="23.28515625" customWidth="1"/>
  </cols>
  <sheetData>
    <row r="1" spans="1:45" ht="14.25" customHeight="1">
      <c r="A1" s="73"/>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row>
    <row r="2" spans="1:45" ht="61.15">
      <c r="A2" s="74"/>
      <c r="B2" s="74"/>
      <c r="C2" s="323" t="s">
        <v>46</v>
      </c>
      <c r="D2" s="387"/>
      <c r="E2" s="387"/>
      <c r="F2" s="387"/>
      <c r="G2" s="387"/>
      <c r="H2" s="387"/>
      <c r="I2" s="387"/>
      <c r="J2" s="387"/>
      <c r="K2" s="387"/>
      <c r="L2" s="387"/>
      <c r="M2" s="387"/>
      <c r="N2" s="387"/>
      <c r="O2" s="387"/>
      <c r="P2" s="387"/>
      <c r="Q2" s="386"/>
      <c r="R2" s="75"/>
      <c r="S2" s="75"/>
      <c r="AD2" s="75"/>
      <c r="AE2" s="75"/>
      <c r="AF2" s="75"/>
      <c r="AG2" s="75"/>
      <c r="AH2" s="75"/>
      <c r="AI2" s="75"/>
      <c r="AJ2" s="75"/>
      <c r="AK2" s="75"/>
      <c r="AL2" s="75"/>
      <c r="AM2" s="75"/>
      <c r="AN2" s="75"/>
      <c r="AO2" s="75"/>
      <c r="AP2" s="75"/>
      <c r="AQ2" s="75"/>
      <c r="AR2" s="75"/>
      <c r="AS2" s="75"/>
    </row>
    <row r="3" spans="1:45" ht="18" customHeight="1">
      <c r="A3" s="74"/>
      <c r="B3" s="74"/>
      <c r="C3" s="76"/>
      <c r="D3" s="46"/>
      <c r="E3" s="46"/>
      <c r="F3" s="46"/>
      <c r="G3" s="46"/>
      <c r="H3" s="46"/>
      <c r="I3" s="46"/>
      <c r="J3" s="46"/>
      <c r="K3" s="46"/>
      <c r="L3" s="46"/>
      <c r="M3" s="46"/>
      <c r="N3" s="46"/>
      <c r="O3" s="46"/>
      <c r="P3" s="46"/>
      <c r="Q3" s="46"/>
      <c r="R3" s="75"/>
      <c r="S3" s="75"/>
      <c r="AD3" s="75"/>
      <c r="AE3" s="75"/>
      <c r="AF3" s="75"/>
      <c r="AG3" s="75"/>
      <c r="AH3" s="75"/>
      <c r="AI3" s="75"/>
      <c r="AJ3" s="75"/>
      <c r="AK3" s="75"/>
      <c r="AL3" s="75"/>
      <c r="AM3" s="75"/>
      <c r="AN3" s="75"/>
      <c r="AO3" s="75"/>
      <c r="AP3" s="75"/>
      <c r="AQ3" s="75"/>
      <c r="AR3" s="75"/>
      <c r="AS3" s="75"/>
    </row>
    <row r="4" spans="1:45" ht="61.15">
      <c r="A4" s="74"/>
      <c r="B4" s="74"/>
      <c r="C4" s="388" t="s">
        <v>47</v>
      </c>
      <c r="D4" s="389"/>
      <c r="E4" s="389"/>
      <c r="F4" s="389"/>
      <c r="G4" s="389"/>
      <c r="H4" s="389"/>
      <c r="I4" s="389"/>
      <c r="J4" s="389"/>
      <c r="K4" s="389"/>
      <c r="L4" s="369"/>
      <c r="M4" s="46"/>
      <c r="N4" s="46"/>
      <c r="O4" s="46"/>
      <c r="P4" s="46"/>
      <c r="Q4" s="46"/>
      <c r="R4" s="75"/>
      <c r="S4" s="75"/>
      <c r="AD4" s="75"/>
      <c r="AE4" s="75"/>
      <c r="AF4" s="75"/>
      <c r="AG4" s="75"/>
      <c r="AH4" s="75"/>
      <c r="AI4" s="75"/>
      <c r="AJ4" s="75"/>
      <c r="AK4" s="75"/>
      <c r="AL4" s="75"/>
      <c r="AM4" s="75"/>
      <c r="AN4" s="75"/>
      <c r="AO4" s="75"/>
      <c r="AP4" s="75"/>
      <c r="AQ4" s="75"/>
      <c r="AR4" s="75"/>
      <c r="AS4" s="75"/>
    </row>
    <row r="5" spans="1:45" ht="15.75" customHeight="1">
      <c r="A5" s="76"/>
      <c r="B5" s="46"/>
      <c r="M5" s="76"/>
      <c r="N5" s="76"/>
      <c r="O5" s="76"/>
      <c r="P5" s="76"/>
      <c r="Q5" s="76"/>
      <c r="R5" s="76"/>
      <c r="S5" s="76"/>
      <c r="T5" s="76"/>
      <c r="U5" s="76"/>
      <c r="V5" s="76"/>
      <c r="W5" s="76"/>
      <c r="X5" s="76"/>
      <c r="Y5" s="76"/>
      <c r="Z5" s="76"/>
      <c r="AA5" s="76"/>
      <c r="AB5" s="76"/>
      <c r="AC5" s="76"/>
      <c r="AD5" s="76"/>
      <c r="AE5" s="76"/>
      <c r="AF5" s="76"/>
      <c r="AG5" s="76"/>
      <c r="AH5" s="76"/>
      <c r="AI5" s="77"/>
      <c r="AJ5" s="46"/>
      <c r="AK5" s="46"/>
      <c r="AL5" s="46"/>
      <c r="AM5" s="46"/>
      <c r="AN5" s="46"/>
      <c r="AO5" s="46"/>
      <c r="AP5" s="46"/>
      <c r="AQ5" s="46"/>
      <c r="AR5" s="46"/>
      <c r="AS5" s="46"/>
    </row>
    <row r="6" spans="1:45" ht="14.25" customHeight="1">
      <c r="A6" s="78"/>
      <c r="B6" s="79" t="s">
        <v>48</v>
      </c>
      <c r="C6" s="328"/>
      <c r="D6" s="356"/>
      <c r="E6" s="329" t="s">
        <v>49</v>
      </c>
      <c r="F6" s="387"/>
      <c r="G6" s="329" t="s">
        <v>50</v>
      </c>
      <c r="H6" s="386"/>
      <c r="I6" s="78"/>
      <c r="J6" s="390" t="s">
        <v>51</v>
      </c>
      <c r="K6" s="391"/>
      <c r="L6" s="390" t="s">
        <v>52</v>
      </c>
      <c r="M6" s="391"/>
      <c r="N6" s="390" t="s">
        <v>53</v>
      </c>
      <c r="O6" s="391"/>
      <c r="P6" s="390" t="s">
        <v>54</v>
      </c>
      <c r="Q6" s="391"/>
      <c r="R6" s="391"/>
      <c r="S6" s="391"/>
      <c r="T6" s="390" t="s">
        <v>55</v>
      </c>
      <c r="U6" s="391"/>
      <c r="V6" s="390" t="s">
        <v>56</v>
      </c>
      <c r="W6" s="391"/>
      <c r="X6" s="390" t="s">
        <v>57</v>
      </c>
      <c r="Y6" s="391"/>
      <c r="Z6" s="390" t="s">
        <v>58</v>
      </c>
      <c r="AA6" s="391"/>
      <c r="AB6" s="392" t="s">
        <v>59</v>
      </c>
      <c r="AC6" s="354"/>
      <c r="AD6" s="78"/>
      <c r="AE6" s="393" t="s">
        <v>60</v>
      </c>
      <c r="AF6" s="353"/>
      <c r="AG6" s="393" t="s">
        <v>61</v>
      </c>
      <c r="AH6" s="354"/>
      <c r="AI6" s="78"/>
      <c r="AJ6" s="78"/>
      <c r="AK6" s="78"/>
      <c r="AL6" s="78"/>
      <c r="AM6" s="78"/>
      <c r="AN6" s="78"/>
      <c r="AO6" s="78"/>
      <c r="AP6" s="78"/>
      <c r="AQ6" s="78"/>
      <c r="AR6" s="78"/>
      <c r="AS6" s="78"/>
    </row>
    <row r="7" spans="1:45" ht="50.25" customHeight="1">
      <c r="C7" s="330" t="s">
        <v>62</v>
      </c>
      <c r="D7" s="387"/>
      <c r="E7" s="394" t="s">
        <v>63</v>
      </c>
      <c r="F7" s="391"/>
      <c r="G7" s="395" t="s">
        <v>64</v>
      </c>
      <c r="H7" s="396"/>
      <c r="I7" s="80" t="s">
        <v>65</v>
      </c>
      <c r="J7" s="394" t="s">
        <v>66</v>
      </c>
      <c r="K7" s="391"/>
      <c r="L7" s="394" t="s">
        <v>67</v>
      </c>
      <c r="M7" s="391"/>
      <c r="N7" s="394" t="s">
        <v>68</v>
      </c>
      <c r="O7" s="391"/>
      <c r="P7" s="394" t="s">
        <v>69</v>
      </c>
      <c r="Q7" s="391"/>
      <c r="R7" s="394" t="s">
        <v>70</v>
      </c>
      <c r="S7" s="391"/>
      <c r="T7" s="394" t="s">
        <v>71</v>
      </c>
      <c r="U7" s="391"/>
      <c r="V7" s="394" t="s">
        <v>72</v>
      </c>
      <c r="W7" s="391"/>
      <c r="X7" s="394" t="s">
        <v>73</v>
      </c>
      <c r="Y7" s="391"/>
      <c r="Z7" s="394" t="s">
        <v>74</v>
      </c>
      <c r="AA7" s="391"/>
      <c r="AB7" s="394" t="s">
        <v>75</v>
      </c>
      <c r="AC7" s="397"/>
      <c r="AD7" s="81"/>
      <c r="AE7" s="398" t="s">
        <v>76</v>
      </c>
      <c r="AF7" s="391"/>
      <c r="AG7" s="398" t="s">
        <v>77</v>
      </c>
      <c r="AH7" s="397"/>
      <c r="AI7" s="81"/>
    </row>
    <row r="8" spans="1:45" ht="14.25" customHeight="1">
      <c r="C8" s="332" t="s">
        <v>78</v>
      </c>
      <c r="D8" s="359"/>
      <c r="E8" s="324" t="s">
        <v>79</v>
      </c>
      <c r="F8" s="399"/>
      <c r="G8" s="324" t="s">
        <v>80</v>
      </c>
      <c r="H8" s="399"/>
      <c r="I8" s="82" t="s">
        <v>81</v>
      </c>
      <c r="J8" s="324" t="s">
        <v>80</v>
      </c>
      <c r="K8" s="399"/>
      <c r="L8" s="324" t="s">
        <v>80</v>
      </c>
      <c r="M8" s="399"/>
      <c r="N8" s="324" t="s">
        <v>80</v>
      </c>
      <c r="O8" s="399"/>
      <c r="P8" s="324" t="s">
        <v>80</v>
      </c>
      <c r="Q8" s="399"/>
      <c r="R8" s="324" t="s">
        <v>80</v>
      </c>
      <c r="S8" s="399"/>
      <c r="T8" s="324" t="s">
        <v>80</v>
      </c>
      <c r="U8" s="399"/>
      <c r="V8" s="324" t="s">
        <v>80</v>
      </c>
      <c r="W8" s="399"/>
      <c r="X8" s="324" t="s">
        <v>80</v>
      </c>
      <c r="Y8" s="399"/>
      <c r="Z8" s="324" t="s">
        <v>80</v>
      </c>
      <c r="AA8" s="399"/>
      <c r="AB8" s="331" t="s">
        <v>82</v>
      </c>
      <c r="AC8" s="400"/>
      <c r="AD8" s="83"/>
      <c r="AE8" s="324" t="s">
        <v>80</v>
      </c>
      <c r="AF8" s="399"/>
      <c r="AG8" s="324" t="s">
        <v>80</v>
      </c>
      <c r="AH8" s="400"/>
      <c r="AI8" s="83"/>
    </row>
    <row r="9" spans="1:45" ht="14.25" customHeight="1">
      <c r="A9" s="84" t="s">
        <v>83</v>
      </c>
      <c r="B9" s="84" t="s">
        <v>84</v>
      </c>
      <c r="C9" s="85" t="s">
        <v>5</v>
      </c>
      <c r="D9" s="86" t="s">
        <v>6</v>
      </c>
      <c r="E9" s="87" t="s">
        <v>5</v>
      </c>
      <c r="F9" s="86" t="s">
        <v>6</v>
      </c>
      <c r="G9" s="87" t="s">
        <v>5</v>
      </c>
      <c r="H9" s="86" t="s">
        <v>6</v>
      </c>
      <c r="I9" s="88"/>
      <c r="J9" s="87" t="s">
        <v>5</v>
      </c>
      <c r="K9" s="86" t="s">
        <v>6</v>
      </c>
      <c r="L9" s="87" t="s">
        <v>5</v>
      </c>
      <c r="M9" s="86" t="s">
        <v>6</v>
      </c>
      <c r="N9" s="87" t="s">
        <v>5</v>
      </c>
      <c r="O9" s="86" t="s">
        <v>6</v>
      </c>
      <c r="P9" s="87" t="s">
        <v>5</v>
      </c>
      <c r="Q9" s="86" t="s">
        <v>6</v>
      </c>
      <c r="R9" s="87" t="s">
        <v>5</v>
      </c>
      <c r="S9" s="86" t="s">
        <v>6</v>
      </c>
      <c r="T9" s="401" t="s">
        <v>5</v>
      </c>
      <c r="U9" s="86" t="s">
        <v>6</v>
      </c>
      <c r="V9" s="401" t="s">
        <v>5</v>
      </c>
      <c r="W9" s="86" t="s">
        <v>6</v>
      </c>
      <c r="X9" s="401" t="s">
        <v>5</v>
      </c>
      <c r="Y9" s="86" t="s">
        <v>6</v>
      </c>
      <c r="Z9" s="401" t="s">
        <v>5</v>
      </c>
      <c r="AA9" s="402" t="s">
        <v>6</v>
      </c>
      <c r="AB9" s="87" t="s">
        <v>5</v>
      </c>
      <c r="AC9" s="89" t="s">
        <v>6</v>
      </c>
      <c r="AD9" s="90"/>
      <c r="AE9" s="87" t="s">
        <v>5</v>
      </c>
      <c r="AF9" s="402" t="s">
        <v>6</v>
      </c>
      <c r="AG9" s="87" t="s">
        <v>5</v>
      </c>
      <c r="AH9" s="89" t="s">
        <v>6</v>
      </c>
      <c r="AI9" s="90"/>
      <c r="AJ9" s="90"/>
      <c r="AK9" s="90"/>
      <c r="AL9" s="90"/>
      <c r="AM9" s="90"/>
      <c r="AN9" s="90"/>
      <c r="AO9" s="90"/>
      <c r="AP9" s="90"/>
      <c r="AQ9" s="90"/>
      <c r="AR9" s="90"/>
      <c r="AS9" s="90"/>
    </row>
    <row r="10" spans="1:45" ht="14.25" customHeight="1">
      <c r="A10" s="46" t="s">
        <v>85</v>
      </c>
      <c r="B10" s="91" t="s">
        <v>86</v>
      </c>
      <c r="C10" s="92">
        <v>5697.7158085483343</v>
      </c>
      <c r="D10" s="403">
        <v>350.58812558660929</v>
      </c>
      <c r="E10" s="93">
        <v>0.16340719564195999</v>
      </c>
      <c r="F10" s="404">
        <v>0.10187712922140425</v>
      </c>
      <c r="G10" s="93">
        <v>0.13371610819381613</v>
      </c>
      <c r="H10" s="404">
        <v>8.3366054841875092E-2</v>
      </c>
      <c r="I10" s="405">
        <v>0.68500000000000005</v>
      </c>
      <c r="J10" s="93">
        <v>5.4847625217223986E-2</v>
      </c>
      <c r="K10" s="404">
        <v>3.4195058423164337E-2</v>
      </c>
      <c r="L10" s="93">
        <v>9.5434867877969731E-2</v>
      </c>
      <c r="M10" s="404">
        <v>5.9499401656305947E-2</v>
      </c>
      <c r="N10" s="93">
        <v>0</v>
      </c>
      <c r="O10" s="404">
        <v>0</v>
      </c>
      <c r="P10" s="93">
        <v>0.17430335085456189</v>
      </c>
      <c r="Q10" s="404">
        <v>0.1086703980750167</v>
      </c>
      <c r="R10" s="94">
        <v>49.802125843019198</v>
      </c>
      <c r="S10" s="95">
        <v>34.153289842899142</v>
      </c>
      <c r="T10" s="94">
        <v>13.82702708404592</v>
      </c>
      <c r="U10" s="95">
        <v>9.5129414144008333</v>
      </c>
      <c r="V10" s="94">
        <v>5.0192108315086683</v>
      </c>
      <c r="W10" s="95">
        <v>3.4531977334275026</v>
      </c>
      <c r="X10" s="94">
        <v>8.8078162525372505</v>
      </c>
      <c r="Y10" s="96">
        <v>6.0597436809733303</v>
      </c>
      <c r="Z10" s="94">
        <v>7.631972782823528</v>
      </c>
      <c r="AA10" s="97">
        <v>5.2507678995633906</v>
      </c>
      <c r="AB10" s="98">
        <v>0.48500999502279407</v>
      </c>
      <c r="AC10" s="406">
        <v>1.0800792344657046</v>
      </c>
      <c r="AE10" s="99">
        <v>10.381022054951764</v>
      </c>
      <c r="AF10" s="97">
        <v>7.1310651126955866</v>
      </c>
      <c r="AG10" s="99">
        <v>5.3618112234430964</v>
      </c>
      <c r="AH10" s="100">
        <v>3.6778673792680836</v>
      </c>
    </row>
    <row r="11" spans="1:45" ht="14.25" customHeight="1">
      <c r="A11" s="46" t="s">
        <v>87</v>
      </c>
      <c r="B11" s="91" t="s">
        <v>88</v>
      </c>
      <c r="C11" s="101">
        <v>0</v>
      </c>
      <c r="D11" s="102">
        <v>0</v>
      </c>
      <c r="E11" s="93">
        <v>0</v>
      </c>
      <c r="F11" s="404">
        <v>0</v>
      </c>
      <c r="G11" s="103">
        <v>0</v>
      </c>
      <c r="H11" s="104">
        <v>0</v>
      </c>
      <c r="I11" s="105">
        <v>0.76500000000000001</v>
      </c>
      <c r="J11" s="103">
        <v>0</v>
      </c>
      <c r="K11" s="104">
        <v>0</v>
      </c>
      <c r="L11" s="103">
        <v>0</v>
      </c>
      <c r="M11" s="104">
        <v>0</v>
      </c>
      <c r="N11" s="103">
        <v>0</v>
      </c>
      <c r="O11" s="104">
        <v>0</v>
      </c>
      <c r="P11" s="103">
        <v>0</v>
      </c>
      <c r="Q11" s="104">
        <v>0</v>
      </c>
      <c r="R11" s="106"/>
      <c r="S11" s="106"/>
      <c r="T11" s="106"/>
      <c r="U11" s="106"/>
    </row>
    <row r="12" spans="1:45" ht="14.25" customHeight="1">
      <c r="A12" s="46" t="s">
        <v>89</v>
      </c>
      <c r="B12" s="91" t="s">
        <v>90</v>
      </c>
      <c r="C12" s="101">
        <v>11907.106014677889</v>
      </c>
      <c r="D12" s="102">
        <v>511.04330250746932</v>
      </c>
      <c r="E12" s="93">
        <v>0.34148891721676794</v>
      </c>
      <c r="F12" s="404">
        <v>0.14850367359183372</v>
      </c>
      <c r="G12" s="103">
        <v>0.27944038095848117</v>
      </c>
      <c r="H12" s="104">
        <v>0.12152055610019753</v>
      </c>
      <c r="I12" s="105">
        <v>0.56999999999999995</v>
      </c>
      <c r="J12" s="103">
        <v>9.537785457864327E-2</v>
      </c>
      <c r="K12" s="104">
        <v>4.1477076034199152E-2</v>
      </c>
      <c r="L12" s="103">
        <v>0.1659574669668393</v>
      </c>
      <c r="M12" s="104">
        <v>7.2170112299506525E-2</v>
      </c>
      <c r="N12" s="103">
        <v>0</v>
      </c>
      <c r="O12" s="104">
        <v>0</v>
      </c>
      <c r="P12" s="103">
        <v>0.35001999334667722</v>
      </c>
      <c r="Q12" s="104">
        <v>0.15221359236550491</v>
      </c>
      <c r="R12" s="106"/>
      <c r="S12" s="106"/>
      <c r="T12" s="106"/>
      <c r="U12" s="106"/>
      <c r="V12" s="107"/>
    </row>
    <row r="13" spans="1:45" ht="14.25" customHeight="1">
      <c r="A13" s="46" t="s">
        <v>91</v>
      </c>
      <c r="B13" s="91" t="s">
        <v>92</v>
      </c>
      <c r="C13" s="101">
        <v>13862.443650408652</v>
      </c>
      <c r="D13" s="102">
        <v>463.24321717770624</v>
      </c>
      <c r="E13" s="93">
        <v>0.39756687026394727</v>
      </c>
      <c r="F13" s="404">
        <v>0.13461348418000949</v>
      </c>
      <c r="G13" s="103">
        <v>0.32532896993698801</v>
      </c>
      <c r="H13" s="104">
        <v>0.11015421410450175</v>
      </c>
      <c r="I13" s="105">
        <v>0.49</v>
      </c>
      <c r="J13" s="103">
        <v>9.5455805550373724E-2</v>
      </c>
      <c r="K13" s="104">
        <v>3.2320697551620273E-2</v>
      </c>
      <c r="L13" s="103">
        <v>0.16609310165765029</v>
      </c>
      <c r="M13" s="104">
        <v>5.6238013739819272E-2</v>
      </c>
      <c r="N13" s="103">
        <v>0</v>
      </c>
      <c r="O13" s="104">
        <v>0</v>
      </c>
      <c r="P13" s="103">
        <v>0.39596626604426455</v>
      </c>
      <c r="Q13" s="104">
        <v>0.13407153029270075</v>
      </c>
      <c r="R13" s="106"/>
      <c r="S13" s="106"/>
      <c r="T13" s="106"/>
      <c r="U13" s="106"/>
    </row>
    <row r="14" spans="1:45" ht="14.25" customHeight="1">
      <c r="A14" s="46" t="s">
        <v>93</v>
      </c>
      <c r="B14" s="91" t="s">
        <v>94</v>
      </c>
      <c r="C14" s="101">
        <v>5283.5998997075076</v>
      </c>
      <c r="D14" s="102">
        <v>243.20645252452158</v>
      </c>
      <c r="E14" s="93">
        <v>0.15153059076937683</v>
      </c>
      <c r="F14" s="404">
        <v>7.0673172828835729E-2</v>
      </c>
      <c r="G14" s="103">
        <v>0.12399748242658105</v>
      </c>
      <c r="H14" s="104">
        <v>5.7831857325836275E-2</v>
      </c>
      <c r="I14" s="105">
        <v>1.05</v>
      </c>
      <c r="J14" s="103">
        <v>7.7962488950844386E-2</v>
      </c>
      <c r="K14" s="104">
        <v>3.636134742043598E-2</v>
      </c>
      <c r="L14" s="103">
        <v>0.13565473077446924</v>
      </c>
      <c r="M14" s="104">
        <v>6.3268744511558603E-2</v>
      </c>
      <c r="N14" s="103">
        <v>0</v>
      </c>
      <c r="O14" s="104">
        <v>0</v>
      </c>
      <c r="P14" s="103">
        <v>0.18168972425020591</v>
      </c>
      <c r="Q14" s="104">
        <v>8.4739254416958898E-2</v>
      </c>
      <c r="R14" s="106"/>
      <c r="S14" s="106"/>
      <c r="T14" s="106"/>
      <c r="U14" s="106"/>
    </row>
    <row r="15" spans="1:45" ht="14.25" customHeight="1">
      <c r="A15" s="46" t="s">
        <v>95</v>
      </c>
      <c r="B15" s="91" t="s">
        <v>96</v>
      </c>
      <c r="C15" s="101">
        <v>4000.7252995496929</v>
      </c>
      <c r="D15" s="102">
        <v>113.25374452688874</v>
      </c>
      <c r="E15" s="93">
        <v>0.11473848884362292</v>
      </c>
      <c r="F15" s="404">
        <v>3.2910317047014213E-2</v>
      </c>
      <c r="G15" s="103">
        <v>9.3890505420736639E-2</v>
      </c>
      <c r="H15" s="104">
        <v>2.693051243957173E-2</v>
      </c>
      <c r="I15" s="105">
        <v>0.56999999999999995</v>
      </c>
      <c r="J15" s="103">
        <v>3.2046459934023878E-2</v>
      </c>
      <c r="K15" s="104">
        <v>9.1918515512310686E-3</v>
      </c>
      <c r="L15" s="103">
        <v>5.5760840285201549E-2</v>
      </c>
      <c r="M15" s="104">
        <v>1.5993821699142059E-2</v>
      </c>
      <c r="N15" s="103">
        <v>0</v>
      </c>
      <c r="O15" s="104">
        <v>0</v>
      </c>
      <c r="P15" s="103">
        <v>0.1176048857719143</v>
      </c>
      <c r="Q15" s="104">
        <v>3.3732482587482723E-2</v>
      </c>
      <c r="R15" s="106"/>
      <c r="S15" s="106"/>
      <c r="T15" s="106"/>
      <c r="U15" s="106"/>
    </row>
    <row r="16" spans="1:45" ht="14.25" customHeight="1">
      <c r="A16" s="46" t="s">
        <v>97</v>
      </c>
      <c r="B16" s="91" t="s">
        <v>98</v>
      </c>
      <c r="C16" s="101">
        <v>7530.3685643062981</v>
      </c>
      <c r="D16" s="102">
        <v>415.50379923331747</v>
      </c>
      <c r="E16" s="93">
        <v>0.21596661725344607</v>
      </c>
      <c r="F16" s="404">
        <v>0.1207409240562536</v>
      </c>
      <c r="G16" s="103">
        <v>0.17672548289849491</v>
      </c>
      <c r="H16" s="104">
        <v>9.880229815523231E-2</v>
      </c>
      <c r="I16" s="105">
        <v>0.56999999999999995</v>
      </c>
      <c r="J16" s="103">
        <v>6.031947619888748E-2</v>
      </c>
      <c r="K16" s="104">
        <v>3.3722940088911628E-2</v>
      </c>
      <c r="L16" s="103">
        <v>0.10495588858606421</v>
      </c>
      <c r="M16" s="104">
        <v>5.8677915754706232E-2</v>
      </c>
      <c r="N16" s="103">
        <v>0</v>
      </c>
      <c r="O16" s="104">
        <v>0</v>
      </c>
      <c r="P16" s="103">
        <v>0.22136189528567163</v>
      </c>
      <c r="Q16" s="104">
        <v>0.12375727382102691</v>
      </c>
      <c r="R16" s="106"/>
      <c r="S16" s="106"/>
      <c r="T16" s="106"/>
      <c r="U16" s="106"/>
    </row>
    <row r="17" spans="1:31" ht="14.25" customHeight="1">
      <c r="A17" s="46" t="s">
        <v>99</v>
      </c>
      <c r="B17" s="91" t="s">
        <v>100</v>
      </c>
      <c r="C17" s="101">
        <v>25237.529554553679</v>
      </c>
      <c r="D17" s="102">
        <v>1136.2114009029854</v>
      </c>
      <c r="E17" s="93">
        <v>0.72379775826190618</v>
      </c>
      <c r="F17" s="404">
        <v>0.33017078236447667</v>
      </c>
      <c r="G17" s="103">
        <v>0.59228370558571786</v>
      </c>
      <c r="H17" s="104">
        <v>0.27017875120885126</v>
      </c>
      <c r="I17" s="105">
        <v>0.74</v>
      </c>
      <c r="J17" s="103">
        <v>0.26244906714576716</v>
      </c>
      <c r="K17" s="104">
        <v>0.11971992568535923</v>
      </c>
      <c r="L17" s="103">
        <v>0.45666137683363484</v>
      </c>
      <c r="M17" s="104">
        <v>0.20831267069252507</v>
      </c>
      <c r="N17" s="103">
        <v>0</v>
      </c>
      <c r="O17" s="104">
        <v>0</v>
      </c>
      <c r="P17" s="103">
        <v>0.78649601527358559</v>
      </c>
      <c r="Q17" s="104">
        <v>0.35877149621601712</v>
      </c>
      <c r="R17" s="106"/>
      <c r="S17" s="106"/>
      <c r="T17" s="106"/>
      <c r="U17" s="106"/>
    </row>
    <row r="18" spans="1:31" ht="14.25" customHeight="1">
      <c r="A18" s="46" t="s">
        <v>101</v>
      </c>
      <c r="B18" s="91" t="s">
        <v>102</v>
      </c>
      <c r="C18" s="101">
        <v>408659.42388137279</v>
      </c>
      <c r="D18" s="102">
        <v>28403.023550620685</v>
      </c>
      <c r="E18" s="93">
        <v>11.720116038242343</v>
      </c>
      <c r="F18" s="404">
        <v>8.2536123997455011</v>
      </c>
      <c r="G18" s="103">
        <v>9.5905709540937085</v>
      </c>
      <c r="H18" s="104">
        <v>6.7539310267117427</v>
      </c>
      <c r="I18" s="105">
        <v>0.38</v>
      </c>
      <c r="J18" s="103">
        <v>2.1822856063207241</v>
      </c>
      <c r="K18" s="104">
        <v>1.5368226288326121</v>
      </c>
      <c r="L18" s="103">
        <v>3.7971769549980601</v>
      </c>
      <c r="M18" s="104">
        <v>2.674071374168745</v>
      </c>
      <c r="N18" s="103">
        <v>0</v>
      </c>
      <c r="O18" s="104">
        <v>0</v>
      </c>
      <c r="P18" s="103">
        <v>11.205462302771044</v>
      </c>
      <c r="Q18" s="104">
        <v>7.8911797720478756</v>
      </c>
      <c r="R18" s="106"/>
      <c r="S18" s="106"/>
      <c r="T18" s="106"/>
      <c r="U18" s="106"/>
    </row>
    <row r="19" spans="1:31" ht="14.25" customHeight="1">
      <c r="A19" s="46" t="s">
        <v>103</v>
      </c>
      <c r="B19" s="91" t="s">
        <v>104</v>
      </c>
      <c r="C19" s="101">
        <v>75629.125455883594</v>
      </c>
      <c r="D19" s="102">
        <v>5321.6373876593343</v>
      </c>
      <c r="E19" s="93">
        <v>2.1689995982352435</v>
      </c>
      <c r="F19" s="404">
        <v>1.54641044646018</v>
      </c>
      <c r="G19" s="103">
        <v>1.7748923712358997</v>
      </c>
      <c r="H19" s="104">
        <v>1.2654276683383652</v>
      </c>
      <c r="I19" s="105">
        <v>1.06</v>
      </c>
      <c r="J19" s="103">
        <v>1.1265783913233856</v>
      </c>
      <c r="K19" s="104">
        <v>0.80320558589141755</v>
      </c>
      <c r="L19" s="103">
        <v>1.9602464009026908</v>
      </c>
      <c r="M19" s="104">
        <v>1.3975777194510666</v>
      </c>
      <c r="N19" s="103">
        <v>0</v>
      </c>
      <c r="O19" s="104">
        <v>0</v>
      </c>
      <c r="P19" s="103">
        <v>2.6085603808152049</v>
      </c>
      <c r="Q19" s="104">
        <v>1.8597998018980142</v>
      </c>
      <c r="R19" s="106"/>
      <c r="S19" s="106"/>
      <c r="T19" s="106"/>
      <c r="U19" s="106"/>
    </row>
    <row r="20" spans="1:31" ht="14.25" customHeight="1">
      <c r="A20" s="46" t="s">
        <v>105</v>
      </c>
      <c r="B20" s="91" t="s">
        <v>106</v>
      </c>
      <c r="C20" s="101">
        <v>29181.903039487261</v>
      </c>
      <c r="D20" s="102">
        <v>953.41699236820648</v>
      </c>
      <c r="E20" s="93">
        <v>0.83692010963831132</v>
      </c>
      <c r="F20" s="404">
        <v>0.27705269815073363</v>
      </c>
      <c r="G20" s="103">
        <v>0.68485172571703001</v>
      </c>
      <c r="H20" s="104">
        <v>0.22671222289674531</v>
      </c>
      <c r="I20" s="105">
        <v>0.57499999999999996</v>
      </c>
      <c r="J20" s="103">
        <v>0.23580224089059418</v>
      </c>
      <c r="K20" s="104">
        <v>7.8059597703969197E-2</v>
      </c>
      <c r="L20" s="103">
        <v>0.41029589914963388</v>
      </c>
      <c r="M20" s="104">
        <v>0.1358237000049064</v>
      </c>
      <c r="N20" s="103">
        <v>0</v>
      </c>
      <c r="O20" s="104">
        <v>0</v>
      </c>
      <c r="P20" s="103">
        <v>0.85934538397606963</v>
      </c>
      <c r="Q20" s="104">
        <v>0.28447632519768251</v>
      </c>
      <c r="R20" s="106"/>
      <c r="S20" s="106"/>
      <c r="T20" s="106"/>
      <c r="U20" s="106"/>
      <c r="AD20" s="407"/>
      <c r="AE20" s="356"/>
    </row>
    <row r="21" spans="1:31" ht="14.25" customHeight="1">
      <c r="A21" s="46" t="s">
        <v>107</v>
      </c>
      <c r="B21" s="91" t="s">
        <v>108</v>
      </c>
      <c r="C21" s="101">
        <v>13526.389407674669</v>
      </c>
      <c r="D21" s="102">
        <v>411.22695572865285</v>
      </c>
      <c r="E21" s="93">
        <v>0.3879290288492605</v>
      </c>
      <c r="F21" s="404">
        <v>0.11949811944712602</v>
      </c>
      <c r="G21" s="103">
        <v>0.31744232430734981</v>
      </c>
      <c r="H21" s="104">
        <v>9.7785311143583215E-2</v>
      </c>
      <c r="I21" s="105">
        <v>0.66</v>
      </c>
      <c r="J21" s="103">
        <v>0.12545624792985086</v>
      </c>
      <c r="K21" s="104">
        <v>3.8645691829200558E-2</v>
      </c>
      <c r="L21" s="103">
        <v>0.21829387139794049</v>
      </c>
      <c r="M21" s="104">
        <v>6.7243503782808967E-2</v>
      </c>
      <c r="N21" s="103">
        <v>0</v>
      </c>
      <c r="O21" s="104">
        <v>0</v>
      </c>
      <c r="P21" s="103">
        <v>0.41027994777543941</v>
      </c>
      <c r="Q21" s="104">
        <v>0.12638312309719163</v>
      </c>
      <c r="R21" s="106"/>
      <c r="S21" s="106"/>
      <c r="T21" s="106"/>
      <c r="U21" s="106"/>
    </row>
    <row r="22" spans="1:31" ht="14.25" customHeight="1">
      <c r="A22" s="46" t="s">
        <v>109</v>
      </c>
      <c r="B22" s="91" t="s">
        <v>110</v>
      </c>
      <c r="C22" s="101">
        <v>9560.8391412718411</v>
      </c>
      <c r="D22" s="102">
        <v>286.8971327833068</v>
      </c>
      <c r="E22" s="93">
        <v>0.27419933962223458</v>
      </c>
      <c r="F22" s="404">
        <v>8.3369213435024833E-2</v>
      </c>
      <c r="G22" s="103">
        <v>0.22437731961287455</v>
      </c>
      <c r="H22" s="104">
        <v>6.8221027353880817E-2</v>
      </c>
      <c r="I22" s="105">
        <v>0.76</v>
      </c>
      <c r="J22" s="103">
        <v>0.10211183407532015</v>
      </c>
      <c r="K22" s="104">
        <v>3.1046695083203246E-2</v>
      </c>
      <c r="L22" s="103">
        <v>0.17767459129105706</v>
      </c>
      <c r="M22" s="104">
        <v>5.4021249444773649E-2</v>
      </c>
      <c r="N22" s="103">
        <v>0</v>
      </c>
      <c r="O22" s="104">
        <v>0</v>
      </c>
      <c r="P22" s="103">
        <v>0.29994007682861146</v>
      </c>
      <c r="Q22" s="104">
        <v>9.1195581715451224E-2</v>
      </c>
      <c r="R22" s="106"/>
      <c r="S22" s="106"/>
      <c r="T22" s="106"/>
      <c r="U22" s="106"/>
    </row>
    <row r="23" spans="1:31" ht="14.25" customHeight="1">
      <c r="A23" s="46" t="s">
        <v>111</v>
      </c>
      <c r="B23" s="91" t="s">
        <v>112</v>
      </c>
      <c r="C23" s="101">
        <v>12015.119527823905</v>
      </c>
      <c r="D23" s="102">
        <v>501.97663725987968</v>
      </c>
      <c r="E23" s="93">
        <v>0.34458668233312312</v>
      </c>
      <c r="F23" s="404">
        <v>0.14586899842851955</v>
      </c>
      <c r="G23" s="103">
        <v>0.28197528215319462</v>
      </c>
      <c r="H23" s="104">
        <v>0.11936460141405754</v>
      </c>
      <c r="I23" s="105">
        <v>0.52</v>
      </c>
      <c r="J23" s="103">
        <v>8.780068665847976E-2</v>
      </c>
      <c r="K23" s="104">
        <v>3.7167420799586778E-2</v>
      </c>
      <c r="L23" s="103">
        <v>0.15277319478575477</v>
      </c>
      <c r="M23" s="104">
        <v>6.4671312191281E-2</v>
      </c>
      <c r="N23" s="103">
        <v>0</v>
      </c>
      <c r="O23" s="104">
        <v>0</v>
      </c>
      <c r="P23" s="103">
        <v>0.34694779028046963</v>
      </c>
      <c r="Q23" s="104">
        <v>0.14686849280575176</v>
      </c>
      <c r="R23" s="106"/>
      <c r="S23" s="106"/>
      <c r="T23" s="106"/>
      <c r="U23" s="106"/>
    </row>
    <row r="24" spans="1:31" ht="14.25" customHeight="1">
      <c r="A24" s="46" t="s">
        <v>113</v>
      </c>
      <c r="B24" s="91" t="s">
        <v>114</v>
      </c>
      <c r="C24" s="101">
        <v>17707.919327062486</v>
      </c>
      <c r="D24" s="102">
        <v>733.28676324543642</v>
      </c>
      <c r="E24" s="93">
        <v>0.50785288966993647</v>
      </c>
      <c r="F24" s="404">
        <v>0.21308522703244104</v>
      </c>
      <c r="G24" s="103">
        <v>0.41557601961690899</v>
      </c>
      <c r="H24" s="104">
        <v>0.1743676412806465</v>
      </c>
      <c r="I24" s="105">
        <v>0.63</v>
      </c>
      <c r="J24" s="103">
        <v>0.15677418704110938</v>
      </c>
      <c r="K24" s="104">
        <v>6.5779409584914544E-2</v>
      </c>
      <c r="L24" s="103">
        <v>0.2727870854515303</v>
      </c>
      <c r="M24" s="104">
        <v>0.11445617267775131</v>
      </c>
      <c r="N24" s="103">
        <v>0</v>
      </c>
      <c r="O24" s="104">
        <v>0</v>
      </c>
      <c r="P24" s="103">
        <v>0.53158891802732988</v>
      </c>
      <c r="Q24" s="104">
        <v>0.22304440437348327</v>
      </c>
      <c r="R24" s="106"/>
      <c r="S24" s="106"/>
      <c r="T24" s="106"/>
      <c r="U24" s="106"/>
    </row>
    <row r="25" spans="1:31" ht="14.25" customHeight="1">
      <c r="A25" s="46" t="s">
        <v>115</v>
      </c>
      <c r="B25" s="91" t="s">
        <v>116</v>
      </c>
      <c r="C25" s="101">
        <v>7848.1394866272349</v>
      </c>
      <c r="D25" s="102">
        <v>505.21392462436768</v>
      </c>
      <c r="E25" s="93">
        <v>0.22508010360794595</v>
      </c>
      <c r="F25" s="404">
        <v>0.14680971923190367</v>
      </c>
      <c r="G25" s="103">
        <v>0.18418304878238215</v>
      </c>
      <c r="H25" s="104">
        <v>0.12013439324746676</v>
      </c>
      <c r="I25" s="105">
        <v>0.63</v>
      </c>
      <c r="J25" s="103">
        <v>6.9482227983772904E-2</v>
      </c>
      <c r="K25" s="104">
        <v>4.5320160326888667E-2</v>
      </c>
      <c r="L25" s="103">
        <v>0.12089907669176485</v>
      </c>
      <c r="M25" s="104">
        <v>7.8857078968786284E-2</v>
      </c>
      <c r="N25" s="103">
        <v>0</v>
      </c>
      <c r="O25" s="104">
        <v>0</v>
      </c>
      <c r="P25" s="103">
        <v>0.23559989749037408</v>
      </c>
      <c r="Q25" s="104">
        <v>0.15367131188936439</v>
      </c>
      <c r="R25" s="106"/>
      <c r="S25" s="106"/>
      <c r="T25" s="106"/>
      <c r="U25" s="106"/>
    </row>
    <row r="26" spans="1:31" ht="14.25" customHeight="1">
      <c r="A26" s="46" t="s">
        <v>117</v>
      </c>
      <c r="B26" s="91" t="s">
        <v>118</v>
      </c>
      <c r="C26" s="101">
        <v>23251.044358333944</v>
      </c>
      <c r="D26" s="102">
        <v>1208.2923072471876</v>
      </c>
      <c r="E26" s="93">
        <v>0.66682651118574865</v>
      </c>
      <c r="F26" s="404">
        <v>0.35111671656500659</v>
      </c>
      <c r="G26" s="103">
        <v>0.54566413410329806</v>
      </c>
      <c r="H26" s="104">
        <v>0.28731880916514485</v>
      </c>
      <c r="I26" s="105">
        <v>0.7</v>
      </c>
      <c r="J26" s="103">
        <v>0.22872149333671177</v>
      </c>
      <c r="K26" s="104">
        <v>0.12043303378179726</v>
      </c>
      <c r="L26" s="103">
        <v>0.39797539840587848</v>
      </c>
      <c r="M26" s="104">
        <v>0.20955347878032723</v>
      </c>
      <c r="N26" s="103">
        <v>0</v>
      </c>
      <c r="O26" s="104">
        <v>0</v>
      </c>
      <c r="P26" s="103">
        <v>0.71491803917246477</v>
      </c>
      <c r="Q26" s="104">
        <v>0.37643925416367485</v>
      </c>
      <c r="R26" s="106"/>
      <c r="S26" s="106"/>
      <c r="T26" s="106"/>
      <c r="U26" s="106"/>
    </row>
    <row r="27" spans="1:31" ht="14.25" customHeight="1">
      <c r="A27" s="46" t="s">
        <v>119</v>
      </c>
      <c r="B27" s="91" t="s">
        <v>120</v>
      </c>
      <c r="C27" s="101">
        <v>43450.81403989016</v>
      </c>
      <c r="D27" s="102">
        <v>1520.3388010097524</v>
      </c>
      <c r="E27" s="93">
        <v>1.2461442285286166</v>
      </c>
      <c r="F27" s="404">
        <v>0.44179406313783404</v>
      </c>
      <c r="G27" s="103">
        <v>1.0197198222049668</v>
      </c>
      <c r="H27" s="104">
        <v>0.36152008186568957</v>
      </c>
      <c r="I27" s="105">
        <v>0.53</v>
      </c>
      <c r="J27" s="103">
        <v>0.32362365614888178</v>
      </c>
      <c r="K27" s="104">
        <v>0.1147339181968955</v>
      </c>
      <c r="L27" s="103">
        <v>0.56310516169905434</v>
      </c>
      <c r="M27" s="104">
        <v>0.19963701766259817</v>
      </c>
      <c r="N27" s="103">
        <v>0</v>
      </c>
      <c r="O27" s="104">
        <v>0</v>
      </c>
      <c r="P27" s="103">
        <v>1.2592013277551395</v>
      </c>
      <c r="Q27" s="104">
        <v>0.44642318133139225</v>
      </c>
      <c r="R27" s="106"/>
      <c r="S27" s="106"/>
      <c r="T27" s="106"/>
      <c r="U27" s="106"/>
    </row>
    <row r="28" spans="1:31" ht="14.25" customHeight="1">
      <c r="A28" s="46" t="s">
        <v>121</v>
      </c>
      <c r="B28" s="91" t="s">
        <v>122</v>
      </c>
      <c r="C28" s="101">
        <v>1042.8549252374301</v>
      </c>
      <c r="D28" s="102">
        <v>0</v>
      </c>
      <c r="E28" s="93">
        <v>2.9908476400101771E-2</v>
      </c>
      <c r="F28" s="404">
        <v>0</v>
      </c>
      <c r="G28" s="103">
        <v>2.4474106238203279E-2</v>
      </c>
      <c r="H28" s="104">
        <v>0</v>
      </c>
      <c r="I28" s="105">
        <v>0.8</v>
      </c>
      <c r="J28" s="103">
        <v>1.1724122748839895E-2</v>
      </c>
      <c r="K28" s="104">
        <v>0</v>
      </c>
      <c r="L28" s="103">
        <v>2.0399973582981415E-2</v>
      </c>
      <c r="M28" s="104">
        <v>0</v>
      </c>
      <c r="N28" s="103">
        <v>0</v>
      </c>
      <c r="O28" s="104">
        <v>0</v>
      </c>
      <c r="P28" s="103">
        <v>3.3149957072344798E-2</v>
      </c>
      <c r="Q28" s="104">
        <v>0</v>
      </c>
      <c r="R28" s="106"/>
      <c r="S28" s="106"/>
      <c r="T28" s="106"/>
      <c r="U28" s="106"/>
    </row>
    <row r="29" spans="1:31" ht="14.25" customHeight="1">
      <c r="A29" s="46" t="s">
        <v>123</v>
      </c>
      <c r="B29" s="91" t="s">
        <v>124</v>
      </c>
      <c r="C29" s="101">
        <v>15157.939528534142</v>
      </c>
      <c r="D29" s="102">
        <v>938.52632258870938</v>
      </c>
      <c r="E29" s="93">
        <v>0.43472094314567994</v>
      </c>
      <c r="F29" s="404">
        <v>0.27272563006541051</v>
      </c>
      <c r="G29" s="103">
        <v>0.3557321477761099</v>
      </c>
      <c r="H29" s="104">
        <v>0.2231713830825254</v>
      </c>
      <c r="I29" s="105">
        <v>0.8</v>
      </c>
      <c r="J29" s="103">
        <v>0.17041060971310656</v>
      </c>
      <c r="K29" s="104">
        <v>0.10690844698564092</v>
      </c>
      <c r="L29" s="103">
        <v>0.29651446090080541</v>
      </c>
      <c r="M29" s="104">
        <v>0.1860206977550152</v>
      </c>
      <c r="N29" s="103">
        <v>0</v>
      </c>
      <c r="O29" s="104">
        <v>0</v>
      </c>
      <c r="P29" s="103">
        <v>0.48183599896380874</v>
      </c>
      <c r="Q29" s="104">
        <v>0.30228363385189971</v>
      </c>
      <c r="R29" s="106"/>
      <c r="S29" s="106"/>
      <c r="T29" s="106"/>
      <c r="U29" s="106"/>
    </row>
    <row r="30" spans="1:31" ht="14.25" customHeight="1">
      <c r="A30" s="46" t="s">
        <v>125</v>
      </c>
      <c r="B30" s="91" t="s">
        <v>126</v>
      </c>
      <c r="C30" s="101">
        <v>858.33503946825158</v>
      </c>
      <c r="D30" s="102">
        <v>191.94613719524429</v>
      </c>
      <c r="E30" s="93">
        <v>2.4616552743874625E-2</v>
      </c>
      <c r="F30" s="404">
        <v>5.5777477887677188E-2</v>
      </c>
      <c r="G30" s="103">
        <v>2.0143725110312604E-2</v>
      </c>
      <c r="H30" s="104">
        <v>4.5642710155486238E-2</v>
      </c>
      <c r="I30" s="105">
        <v>0.62</v>
      </c>
      <c r="J30" s="103">
        <v>7.4785087235891105E-3</v>
      </c>
      <c r="K30" s="104">
        <v>1.6945197782276329E-2</v>
      </c>
      <c r="L30" s="103">
        <v>1.3012605179045053E-2</v>
      </c>
      <c r="M30" s="104">
        <v>2.9484644141160813E-2</v>
      </c>
      <c r="N30" s="103">
        <v>0</v>
      </c>
      <c r="O30" s="104">
        <v>0</v>
      </c>
      <c r="P30" s="103">
        <v>2.5677821565768547E-2</v>
      </c>
      <c r="Q30" s="104">
        <v>5.8182156514370725E-2</v>
      </c>
      <c r="R30" s="106"/>
      <c r="S30" s="106"/>
      <c r="T30" s="106"/>
      <c r="U30" s="106"/>
    </row>
    <row r="31" spans="1:31" ht="14.25" customHeight="1">
      <c r="A31" s="46" t="s">
        <v>127</v>
      </c>
      <c r="B31" s="91" t="s">
        <v>128</v>
      </c>
      <c r="C31" s="101">
        <v>70808.16065548503</v>
      </c>
      <c r="D31" s="102">
        <v>5529.6364053618045</v>
      </c>
      <c r="E31" s="93">
        <v>2.0307371146730029</v>
      </c>
      <c r="F31" s="404">
        <v>1.6068527183395933</v>
      </c>
      <c r="G31" s="103">
        <v>1.661752180936918</v>
      </c>
      <c r="H31" s="104">
        <v>1.3148875794172892</v>
      </c>
      <c r="I31" s="105">
        <v>0.36</v>
      </c>
      <c r="J31" s="103">
        <v>0.35822202702831774</v>
      </c>
      <c r="K31" s="104">
        <v>0.28344881951510426</v>
      </c>
      <c r="L31" s="103">
        <v>0.62330632702927291</v>
      </c>
      <c r="M31" s="104">
        <v>0.49320094595628139</v>
      </c>
      <c r="N31" s="103">
        <v>0</v>
      </c>
      <c r="O31" s="104">
        <v>0</v>
      </c>
      <c r="P31" s="103">
        <v>1.9268364809378733</v>
      </c>
      <c r="Q31" s="104">
        <v>1.5246397058584662</v>
      </c>
      <c r="R31" s="106"/>
      <c r="S31" s="106"/>
      <c r="T31" s="106"/>
      <c r="U31" s="106"/>
    </row>
    <row r="32" spans="1:31" ht="14.25" customHeight="1">
      <c r="A32" s="46" t="s">
        <v>129</v>
      </c>
      <c r="B32" s="91" t="s">
        <v>130</v>
      </c>
      <c r="C32" s="101">
        <v>32923.414103116927</v>
      </c>
      <c r="D32" s="102">
        <v>1604.6161547652728</v>
      </c>
      <c r="E32" s="93">
        <v>0.94422448404284343</v>
      </c>
      <c r="F32" s="404">
        <v>0.46628415345285262</v>
      </c>
      <c r="G32" s="103">
        <v>0.77265889529225873</v>
      </c>
      <c r="H32" s="104">
        <v>0.38156032277046925</v>
      </c>
      <c r="I32" s="105">
        <v>0.74</v>
      </c>
      <c r="J32" s="103">
        <v>0.34237579791393502</v>
      </c>
      <c r="K32" s="104">
        <v>0.16907463404200435</v>
      </c>
      <c r="L32" s="103">
        <v>0.59573388837024688</v>
      </c>
      <c r="M32" s="104">
        <v>0.29418986323308755</v>
      </c>
      <c r="N32" s="103">
        <v>0</v>
      </c>
      <c r="O32" s="104">
        <v>0</v>
      </c>
      <c r="P32" s="103">
        <v>1.0260169857485706</v>
      </c>
      <c r="Q32" s="104">
        <v>0.50667555196155245</v>
      </c>
      <c r="R32" s="106"/>
      <c r="S32" s="106"/>
      <c r="T32" s="106"/>
      <c r="U32" s="106"/>
    </row>
    <row r="33" spans="1:45" ht="14.25" customHeight="1">
      <c r="A33" s="46" t="s">
        <v>131</v>
      </c>
      <c r="B33" s="91" t="s">
        <v>132</v>
      </c>
      <c r="C33" s="101">
        <v>316200.29066996084</v>
      </c>
      <c r="D33" s="102">
        <v>20980.256786992362</v>
      </c>
      <c r="E33" s="93">
        <v>9.0684415467038466</v>
      </c>
      <c r="F33" s="404">
        <v>6.0966364112028062</v>
      </c>
      <c r="G33" s="103">
        <v>7.4207057176677571</v>
      </c>
      <c r="H33" s="104">
        <v>4.9888775752872565</v>
      </c>
      <c r="I33" s="105">
        <v>0.54</v>
      </c>
      <c r="J33" s="103">
        <v>2.3995096332578378</v>
      </c>
      <c r="K33" s="104">
        <v>1.6131699944042628</v>
      </c>
      <c r="L33" s="103">
        <v>4.1751467618686382</v>
      </c>
      <c r="M33" s="104">
        <v>2.8069157902634174</v>
      </c>
      <c r="N33" s="103">
        <v>0</v>
      </c>
      <c r="O33" s="104">
        <v>0</v>
      </c>
      <c r="P33" s="103">
        <v>9.1963428462785579</v>
      </c>
      <c r="Q33" s="104">
        <v>6.1826233711464109</v>
      </c>
      <c r="R33" s="106"/>
      <c r="S33" s="106"/>
      <c r="T33" s="106"/>
      <c r="U33" s="106"/>
    </row>
    <row r="34" spans="1:45" ht="15.75" customHeight="1">
      <c r="A34" s="46" t="s">
        <v>133</v>
      </c>
      <c r="B34" s="91" t="s">
        <v>134</v>
      </c>
      <c r="C34" s="101">
        <v>8481.8598607470431</v>
      </c>
      <c r="D34" s="102">
        <v>556.84633031732653</v>
      </c>
      <c r="E34" s="93">
        <v>0.24325483759533229</v>
      </c>
      <c r="F34" s="404">
        <v>0.16181353962083486</v>
      </c>
      <c r="G34" s="103">
        <v>0.1990554336042604</v>
      </c>
      <c r="H34" s="104">
        <v>0.13241201947172915</v>
      </c>
      <c r="I34" s="105">
        <v>0.32</v>
      </c>
      <c r="J34" s="103">
        <v>3.8142358534948101E-2</v>
      </c>
      <c r="K34" s="104">
        <v>2.5372363012546906E-2</v>
      </c>
      <c r="L34" s="103">
        <v>6.6367703850809701E-2</v>
      </c>
      <c r="M34" s="104">
        <v>4.4147911641831614E-2</v>
      </c>
      <c r="N34" s="103">
        <v>0</v>
      </c>
      <c r="O34" s="104">
        <v>0</v>
      </c>
      <c r="P34" s="103">
        <v>0.227280778920122</v>
      </c>
      <c r="Q34" s="104">
        <v>0.15118756810101386</v>
      </c>
      <c r="R34" s="106"/>
      <c r="S34" s="106"/>
      <c r="T34" s="106"/>
      <c r="U34" s="106"/>
      <c r="AM34" s="75"/>
      <c r="AN34" s="75"/>
      <c r="AO34" s="75"/>
      <c r="AP34" s="75"/>
      <c r="AQ34" s="75"/>
      <c r="AR34" s="46"/>
      <c r="AS34" s="46"/>
    </row>
    <row r="35" spans="1:45" ht="14.25" customHeight="1">
      <c r="A35" s="46" t="s">
        <v>135</v>
      </c>
      <c r="B35" s="91" t="s">
        <v>136</v>
      </c>
      <c r="C35" s="101">
        <v>50784.488677130452</v>
      </c>
      <c r="D35" s="102">
        <v>3258.4496197789676</v>
      </c>
      <c r="E35" s="93">
        <v>1.4564697776590374</v>
      </c>
      <c r="F35" s="404">
        <v>0.94687032659823978</v>
      </c>
      <c r="G35" s="103">
        <v>1.1918292190583903</v>
      </c>
      <c r="H35" s="104">
        <v>0.7748239882553396</v>
      </c>
      <c r="I35" s="105">
        <v>0.49</v>
      </c>
      <c r="J35" s="103">
        <v>0.34969839361593485</v>
      </c>
      <c r="K35" s="104">
        <v>0.22734356541623735</v>
      </c>
      <c r="L35" s="103">
        <v>0.60847520489172668</v>
      </c>
      <c r="M35" s="104">
        <v>0.395577803824253</v>
      </c>
      <c r="N35" s="103">
        <v>0</v>
      </c>
      <c r="O35" s="104">
        <v>0</v>
      </c>
      <c r="P35" s="103">
        <v>1.4506060303341823</v>
      </c>
      <c r="Q35" s="104">
        <v>0.94305822666335526</v>
      </c>
      <c r="R35" s="106"/>
      <c r="S35" s="106"/>
      <c r="T35" s="106"/>
      <c r="U35" s="106"/>
      <c r="AM35" s="108"/>
      <c r="AN35" s="108"/>
      <c r="AO35" s="108"/>
      <c r="AP35" s="46"/>
      <c r="AQ35" s="108"/>
      <c r="AR35" s="46"/>
      <c r="AS35" s="46"/>
    </row>
    <row r="36" spans="1:45" ht="14.25" customHeight="1">
      <c r="A36" s="46" t="s">
        <v>137</v>
      </c>
      <c r="B36" s="91" t="s">
        <v>138</v>
      </c>
      <c r="C36" s="101">
        <v>12381.991078706033</v>
      </c>
      <c r="D36" s="102">
        <v>229.43249001368869</v>
      </c>
      <c r="E36" s="93">
        <v>0.3551083463305662</v>
      </c>
      <c r="F36" s="404">
        <v>6.6670607835343842E-2</v>
      </c>
      <c r="G36" s="103">
        <v>0.29058515980230232</v>
      </c>
      <c r="H36" s="104">
        <v>5.4556558391661861E-2</v>
      </c>
      <c r="I36" s="105">
        <v>0.64</v>
      </c>
      <c r="J36" s="103">
        <v>0.11136197740926557</v>
      </c>
      <c r="K36" s="104">
        <v>2.090790261716383E-2</v>
      </c>
      <c r="L36" s="103">
        <v>0.19376984069212208</v>
      </c>
      <c r="M36" s="104">
        <v>3.637975055386506E-2</v>
      </c>
      <c r="N36" s="103">
        <v>0</v>
      </c>
      <c r="O36" s="104">
        <v>0</v>
      </c>
      <c r="P36" s="103">
        <v>0.3729930230851588</v>
      </c>
      <c r="Q36" s="104">
        <v>7.0028406328363102E-2</v>
      </c>
      <c r="R36" s="106"/>
      <c r="S36" s="106"/>
      <c r="T36" s="106"/>
      <c r="U36" s="106"/>
      <c r="AM36" s="78"/>
      <c r="AN36" s="78"/>
      <c r="AO36" s="78"/>
      <c r="AP36" s="78"/>
    </row>
    <row r="37" spans="1:45" ht="14.25" customHeight="1">
      <c r="A37" s="46" t="s">
        <v>139</v>
      </c>
      <c r="B37" s="91" t="s">
        <v>140</v>
      </c>
      <c r="C37" s="101">
        <v>45482.193352089191</v>
      </c>
      <c r="D37" s="102">
        <v>2870.6869210458262</v>
      </c>
      <c r="E37" s="93">
        <v>1.3044030128985782</v>
      </c>
      <c r="F37" s="404">
        <v>0.83419066724018887</v>
      </c>
      <c r="G37" s="103">
        <v>1.0673929854549065</v>
      </c>
      <c r="H37" s="104">
        <v>0.68261822300264652</v>
      </c>
      <c r="I37" s="105">
        <v>0.69</v>
      </c>
      <c r="J37" s="103">
        <v>0.44101865866100926</v>
      </c>
      <c r="K37" s="104">
        <v>0.28203986459390779</v>
      </c>
      <c r="L37" s="103">
        <v>0.76737246607015608</v>
      </c>
      <c r="M37" s="104">
        <v>0.49074936439339956</v>
      </c>
      <c r="N37" s="103">
        <v>0</v>
      </c>
      <c r="O37" s="104">
        <v>0</v>
      </c>
      <c r="P37" s="103">
        <v>1.3937467928640532</v>
      </c>
      <c r="Q37" s="104">
        <v>0.89132772280213834</v>
      </c>
      <c r="R37" s="106"/>
      <c r="S37" s="106"/>
      <c r="T37" s="106"/>
      <c r="U37" s="106"/>
    </row>
    <row r="38" spans="1:45" ht="14.25" customHeight="1">
      <c r="A38" s="46" t="s">
        <v>141</v>
      </c>
      <c r="B38" s="91" t="s">
        <v>142</v>
      </c>
      <c r="C38" s="101">
        <v>14945.708668959758</v>
      </c>
      <c r="D38" s="102">
        <v>520.57139751950024</v>
      </c>
      <c r="E38" s="93">
        <v>0.42863428477993593</v>
      </c>
      <c r="F38" s="404">
        <v>0.1512724352695155</v>
      </c>
      <c r="G38" s="103">
        <v>0.35075143523542152</v>
      </c>
      <c r="H38" s="104">
        <v>0.12378623378104454</v>
      </c>
      <c r="I38" s="105">
        <v>0.76</v>
      </c>
      <c r="J38" s="103">
        <v>0.15962340765204813</v>
      </c>
      <c r="K38" s="104">
        <v>5.6333854894367576E-2</v>
      </c>
      <c r="L38" s="103">
        <v>0.27774472931456373</v>
      </c>
      <c r="M38" s="104">
        <v>9.8020907516199587E-2</v>
      </c>
      <c r="N38" s="103">
        <v>0</v>
      </c>
      <c r="O38" s="104">
        <v>0</v>
      </c>
      <c r="P38" s="103">
        <v>0.46887275689793712</v>
      </c>
      <c r="Q38" s="104">
        <v>0.16547328640287656</v>
      </c>
      <c r="R38" s="106"/>
      <c r="S38" s="106"/>
      <c r="T38" s="106"/>
      <c r="U38" s="106"/>
    </row>
    <row r="39" spans="1:45" ht="14.25" customHeight="1">
      <c r="A39" s="46" t="s">
        <v>143</v>
      </c>
      <c r="B39" s="91" t="s">
        <v>144</v>
      </c>
      <c r="C39" s="101">
        <v>9697.3206825740745</v>
      </c>
      <c r="D39" s="102">
        <v>327.82313561633788</v>
      </c>
      <c r="E39" s="93">
        <v>0.27811355132925414</v>
      </c>
      <c r="F39" s="404">
        <v>9.5261868590301196E-2</v>
      </c>
      <c r="G39" s="103">
        <v>0.22758031905272866</v>
      </c>
      <c r="H39" s="104">
        <v>7.7952787067443463E-2</v>
      </c>
      <c r="I39" s="105">
        <v>0.59</v>
      </c>
      <c r="J39" s="103">
        <v>8.0402627689287368E-2</v>
      </c>
      <c r="K39" s="104">
        <v>2.7540206209456075E-2</v>
      </c>
      <c r="L39" s="103">
        <v>0.13990057217936003</v>
      </c>
      <c r="M39" s="104">
        <v>4.7919958804453572E-2</v>
      </c>
      <c r="N39" s="103">
        <v>0</v>
      </c>
      <c r="O39" s="104">
        <v>0</v>
      </c>
      <c r="P39" s="103">
        <v>0.2870782635428013</v>
      </c>
      <c r="Q39" s="104">
        <v>9.833253966244096E-2</v>
      </c>
      <c r="R39" s="106"/>
      <c r="S39" s="106"/>
      <c r="T39" s="106"/>
      <c r="U39" s="106"/>
    </row>
    <row r="40" spans="1:45" ht="14.25" customHeight="1">
      <c r="A40" s="46" t="s">
        <v>145</v>
      </c>
      <c r="B40" s="91" t="s">
        <v>146</v>
      </c>
      <c r="C40" s="101">
        <v>28129.066122617383</v>
      </c>
      <c r="D40" s="102">
        <v>2112.0866890840598</v>
      </c>
      <c r="E40" s="93">
        <v>0.80672535548860103</v>
      </c>
      <c r="F40" s="404">
        <v>0.61374961913097714</v>
      </c>
      <c r="G40" s="103">
        <v>0.66014335839632221</v>
      </c>
      <c r="H40" s="104">
        <v>0.50223131333487847</v>
      </c>
      <c r="I40" s="105">
        <v>0.75</v>
      </c>
      <c r="J40" s="103">
        <v>0.29647156814206088</v>
      </c>
      <c r="K40" s="104">
        <v>0.22555298503063412</v>
      </c>
      <c r="L40" s="103">
        <v>0.51586052856718589</v>
      </c>
      <c r="M40" s="104">
        <v>0.39246219395330334</v>
      </c>
      <c r="N40" s="103">
        <v>0</v>
      </c>
      <c r="O40" s="104">
        <v>0</v>
      </c>
      <c r="P40" s="103">
        <v>0.87953231882144722</v>
      </c>
      <c r="Q40" s="104">
        <v>0.66914052225754772</v>
      </c>
      <c r="R40" s="106"/>
      <c r="S40" s="106"/>
      <c r="T40" s="106"/>
      <c r="U40" s="106"/>
    </row>
    <row r="41" spans="1:45" ht="14.25" customHeight="1">
      <c r="A41" s="46" t="s">
        <v>147</v>
      </c>
      <c r="B41" s="91" t="s">
        <v>148</v>
      </c>
      <c r="C41" s="101">
        <v>4001.7873112836933</v>
      </c>
      <c r="D41" s="102">
        <v>97.234724909049021</v>
      </c>
      <c r="E41" s="93">
        <v>0.11476894672622413</v>
      </c>
      <c r="F41" s="404">
        <v>2.8255362664642517E-2</v>
      </c>
      <c r="G41" s="103">
        <v>9.3915429106069204E-2</v>
      </c>
      <c r="H41" s="104">
        <v>2.3121363268476972E-2</v>
      </c>
      <c r="I41" s="105">
        <v>0.66</v>
      </c>
      <c r="J41" s="103">
        <v>3.7116277371260886E-2</v>
      </c>
      <c r="K41" s="104">
        <v>9.1377842857453904E-3</v>
      </c>
      <c r="L41" s="103">
        <v>6.4582322625993935E-2</v>
      </c>
      <c r="M41" s="104">
        <v>1.5899744657196978E-2</v>
      </c>
      <c r="N41" s="103">
        <v>0</v>
      </c>
      <c r="O41" s="104">
        <v>0</v>
      </c>
      <c r="P41" s="103">
        <v>0.12138147436080225</v>
      </c>
      <c r="Q41" s="104">
        <v>2.9883323639928558E-2</v>
      </c>
      <c r="R41" s="106"/>
      <c r="S41" s="106"/>
    </row>
    <row r="42" spans="1:45" ht="14.25" customHeight="1">
      <c r="A42" s="46" t="s">
        <v>149</v>
      </c>
      <c r="B42" s="91" t="s">
        <v>150</v>
      </c>
      <c r="C42" s="101">
        <v>23529.063856606139</v>
      </c>
      <c r="D42" s="102">
        <v>1621.7074196017347</v>
      </c>
      <c r="E42" s="93">
        <v>0.67479994967811507</v>
      </c>
      <c r="F42" s="404">
        <v>0.47125069073470743</v>
      </c>
      <c r="G42" s="103">
        <v>0.55218879882160155</v>
      </c>
      <c r="H42" s="104">
        <v>0.38562444022821107</v>
      </c>
      <c r="I42" s="105">
        <v>0.88</v>
      </c>
      <c r="J42" s="103">
        <v>0.29097373830120321</v>
      </c>
      <c r="K42" s="104">
        <v>0.20320329784480584</v>
      </c>
      <c r="L42" s="103">
        <v>0.50629430464409353</v>
      </c>
      <c r="M42" s="104">
        <v>0.35357373824996219</v>
      </c>
      <c r="N42" s="103">
        <v>0</v>
      </c>
      <c r="O42" s="104">
        <v>0</v>
      </c>
      <c r="P42" s="103">
        <v>0.76750936516449186</v>
      </c>
      <c r="Q42" s="104">
        <v>0.53599488063336742</v>
      </c>
      <c r="R42" s="106"/>
      <c r="S42" s="106"/>
    </row>
    <row r="43" spans="1:45" ht="14.25" customHeight="1">
      <c r="A43" s="46" t="s">
        <v>151</v>
      </c>
      <c r="B43" s="91" t="s">
        <v>152</v>
      </c>
      <c r="C43" s="101">
        <v>6805.6595651660837</v>
      </c>
      <c r="D43" s="102">
        <v>401.4741116812466</v>
      </c>
      <c r="E43" s="93">
        <v>0.19518238209936489</v>
      </c>
      <c r="F43" s="404">
        <v>0.11666404812302934</v>
      </c>
      <c r="G43" s="103">
        <v>0.1597177432719103</v>
      </c>
      <c r="H43" s="104">
        <v>9.5466190579074905E-2</v>
      </c>
      <c r="I43" s="105">
        <v>0.91</v>
      </c>
      <c r="J43" s="103">
        <v>8.7031824178106815E-2</v>
      </c>
      <c r="K43" s="104">
        <v>5.2020499058058785E-2</v>
      </c>
      <c r="L43" s="103">
        <v>0.15143537406990587</v>
      </c>
      <c r="M43" s="104">
        <v>9.0515668361022289E-2</v>
      </c>
      <c r="N43" s="103">
        <v>0</v>
      </c>
      <c r="O43" s="104">
        <v>0</v>
      </c>
      <c r="P43" s="103">
        <v>0.22412129316370935</v>
      </c>
      <c r="Q43" s="104">
        <v>0.13396135988203842</v>
      </c>
      <c r="R43" s="106"/>
      <c r="S43" s="106"/>
    </row>
    <row r="44" spans="1:45" ht="14.25" customHeight="1">
      <c r="A44" s="46" t="s">
        <v>153</v>
      </c>
      <c r="B44" s="91" t="s">
        <v>154</v>
      </c>
      <c r="C44" s="101">
        <v>44346.256535441171</v>
      </c>
      <c r="D44" s="102">
        <v>3546.5506089847581</v>
      </c>
      <c r="E44" s="93">
        <v>1.2718250016617907</v>
      </c>
      <c r="F44" s="404">
        <v>1.0305893677295455</v>
      </c>
      <c r="G44" s="103">
        <v>1.0407343988598432</v>
      </c>
      <c r="H44" s="104">
        <v>0.84333127961308707</v>
      </c>
      <c r="I44" s="105">
        <v>0.79</v>
      </c>
      <c r="J44" s="103">
        <v>0.49232345814327921</v>
      </c>
      <c r="K44" s="104">
        <v>0.39894114424810706</v>
      </c>
      <c r="L44" s="103">
        <v>0.85664281716930579</v>
      </c>
      <c r="M44" s="104">
        <v>0.69415759099170626</v>
      </c>
      <c r="N44" s="103">
        <v>0</v>
      </c>
      <c r="O44" s="104">
        <v>0</v>
      </c>
      <c r="P44" s="103">
        <v>1.4050537578858697</v>
      </c>
      <c r="Q44" s="104">
        <v>1.1385477263566863</v>
      </c>
      <c r="R44" s="106"/>
      <c r="S44" s="106"/>
    </row>
    <row r="45" spans="1:45" ht="14.25" customHeight="1">
      <c r="A45" s="46" t="s">
        <v>155</v>
      </c>
      <c r="B45" s="91" t="s">
        <v>156</v>
      </c>
      <c r="C45" s="101">
        <v>227951.90563742723</v>
      </c>
      <c r="D45" s="102">
        <v>23194.602255108872</v>
      </c>
      <c r="E45" s="93">
        <v>6.5375288787776613</v>
      </c>
      <c r="F45" s="404">
        <v>6.7401013289568636</v>
      </c>
      <c r="G45" s="103">
        <v>5.3496598815037597</v>
      </c>
      <c r="H45" s="104">
        <v>5.5154249174854009</v>
      </c>
      <c r="I45" s="105">
        <v>0.69</v>
      </c>
      <c r="J45" s="103">
        <v>2.2103385139147269</v>
      </c>
      <c r="K45" s="104">
        <v>2.2788282593203153</v>
      </c>
      <c r="L45" s="103">
        <v>3.8459890142116246</v>
      </c>
      <c r="M45" s="104">
        <v>3.9651611712173485</v>
      </c>
      <c r="N45" s="103">
        <v>0</v>
      </c>
      <c r="O45" s="104">
        <v>0</v>
      </c>
      <c r="P45" s="103">
        <v>6.985310381800657</v>
      </c>
      <c r="Q45" s="104">
        <v>7.2017578293824336</v>
      </c>
      <c r="R45" s="106"/>
      <c r="S45" s="106"/>
    </row>
    <row r="46" spans="1:45" ht="14.25" customHeight="1">
      <c r="A46" s="46" t="s">
        <v>157</v>
      </c>
      <c r="B46" s="91" t="s">
        <v>158</v>
      </c>
      <c r="C46" s="101">
        <v>13280.276645579441</v>
      </c>
      <c r="D46" s="102">
        <v>368.89225114774842</v>
      </c>
      <c r="E46" s="93">
        <v>0.38087065710573814</v>
      </c>
      <c r="F46" s="404">
        <v>0.10719611075267207</v>
      </c>
      <c r="G46" s="103">
        <v>0.3116664587096255</v>
      </c>
      <c r="H46" s="104">
        <v>8.7718577428911551E-2</v>
      </c>
      <c r="I46" s="105">
        <v>0.62</v>
      </c>
      <c r="J46" s="103">
        <v>0.11570850562872324</v>
      </c>
      <c r="K46" s="104">
        <v>3.2566178446661778E-2</v>
      </c>
      <c r="L46" s="103">
        <v>0.20133279979397845</v>
      </c>
      <c r="M46" s="104">
        <v>5.6665150497191494E-2</v>
      </c>
      <c r="N46" s="103">
        <v>0</v>
      </c>
      <c r="O46" s="104">
        <v>0</v>
      </c>
      <c r="P46" s="103">
        <v>0.39729075287488069</v>
      </c>
      <c r="Q46" s="104">
        <v>0.11181754947944127</v>
      </c>
      <c r="R46" s="106"/>
      <c r="S46" s="106"/>
    </row>
    <row r="47" spans="1:45" ht="14.25" customHeight="1">
      <c r="A47" s="46" t="s">
        <v>159</v>
      </c>
      <c r="B47" s="91" t="s">
        <v>160</v>
      </c>
      <c r="C47" s="101">
        <v>32142.317542090284</v>
      </c>
      <c r="D47" s="102">
        <v>1994.1493423987972</v>
      </c>
      <c r="E47" s="93">
        <v>0.92182308621049658</v>
      </c>
      <c r="F47" s="404">
        <v>0.57947829779577742</v>
      </c>
      <c r="G47" s="103">
        <v>0.75432783144604931</v>
      </c>
      <c r="H47" s="104">
        <v>0.47418709108628465</v>
      </c>
      <c r="I47" s="105">
        <v>0.91</v>
      </c>
      <c r="J47" s="103">
        <v>0.41104091414126043</v>
      </c>
      <c r="K47" s="104">
        <v>0.25838937298713716</v>
      </c>
      <c r="L47" s="103">
        <v>0.71521119060579319</v>
      </c>
      <c r="M47" s="104">
        <v>0.44959750899761863</v>
      </c>
      <c r="N47" s="103">
        <v>0</v>
      </c>
      <c r="O47" s="104">
        <v>0</v>
      </c>
      <c r="P47" s="103">
        <v>1.058498107910582</v>
      </c>
      <c r="Q47" s="104">
        <v>0.66539522709676613</v>
      </c>
      <c r="R47" s="106"/>
      <c r="S47" s="106"/>
    </row>
    <row r="48" spans="1:45" ht="14.25" customHeight="1">
      <c r="A48" s="46" t="s">
        <v>161</v>
      </c>
      <c r="B48" s="91" t="s">
        <v>162</v>
      </c>
      <c r="C48" s="101">
        <v>12803.39989521492</v>
      </c>
      <c r="D48" s="109">
        <v>600.32852942214834</v>
      </c>
      <c r="E48" s="93">
        <v>0.3671941075791707</v>
      </c>
      <c r="F48" s="404">
        <v>0.17444899785154555</v>
      </c>
      <c r="G48" s="103">
        <v>0.30047493823203536</v>
      </c>
      <c r="H48" s="104">
        <v>0.14275161494191971</v>
      </c>
      <c r="I48" s="110">
        <v>0.55000000000000004</v>
      </c>
      <c r="J48" s="103">
        <v>9.8958811992586521E-2</v>
      </c>
      <c r="K48" s="104">
        <v>4.7014004920991531E-2</v>
      </c>
      <c r="L48" s="103">
        <v>0.17218833286710056</v>
      </c>
      <c r="M48" s="104">
        <v>8.1804368562525265E-2</v>
      </c>
      <c r="N48" s="103">
        <v>0</v>
      </c>
      <c r="O48" s="104">
        <v>0</v>
      </c>
      <c r="P48" s="103">
        <v>0.37370445910654937</v>
      </c>
      <c r="Q48" s="104">
        <v>0.17754197858345344</v>
      </c>
      <c r="R48" s="106"/>
      <c r="S48" s="106"/>
    </row>
    <row r="49" spans="2:41" ht="14.25" customHeight="1">
      <c r="B49" s="111" t="s">
        <v>7</v>
      </c>
      <c r="C49" s="112">
        <f t="shared" ref="C49:H49" si="0">SUM(C10:C48)</f>
        <v>1686104.4968106155</v>
      </c>
      <c r="D49" s="113">
        <f t="shared" si="0"/>
        <v>114024.17812853976</v>
      </c>
      <c r="E49" s="112">
        <f t="shared" si="0"/>
        <v>48.356502261793025</v>
      </c>
      <c r="F49" s="113">
        <f t="shared" si="0"/>
        <v>33.134196744766633</v>
      </c>
      <c r="G49" s="112">
        <f t="shared" si="0"/>
        <v>39.570125800825203</v>
      </c>
      <c r="H49" s="113">
        <f t="shared" si="0"/>
        <v>27.113713196242518</v>
      </c>
      <c r="I49" s="114"/>
      <c r="J49" s="115">
        <f t="shared" ref="J49:Q49" si="1">SUM(J10:J48)</f>
        <v>13.82702708404592</v>
      </c>
      <c r="K49" s="408">
        <f t="shared" si="1"/>
        <v>9.5129414144008333</v>
      </c>
      <c r="L49" s="115">
        <f t="shared" si="1"/>
        <v>24.059027126239901</v>
      </c>
      <c r="M49" s="408">
        <f t="shared" si="1"/>
        <v>16.552518061057448</v>
      </c>
      <c r="N49" s="115">
        <f t="shared" si="1"/>
        <v>0</v>
      </c>
      <c r="O49" s="408">
        <f t="shared" si="1"/>
        <v>0</v>
      </c>
      <c r="P49" s="115">
        <f t="shared" si="1"/>
        <v>49.802125843019198</v>
      </c>
      <c r="Q49" s="408">
        <f t="shared" si="1"/>
        <v>34.153289842899142</v>
      </c>
    </row>
    <row r="50" spans="2:41" ht="14.25" customHeight="1">
      <c r="C50" s="106"/>
      <c r="D50" s="106"/>
    </row>
    <row r="51" spans="2:41" ht="14.25" customHeight="1">
      <c r="AM51" s="106"/>
      <c r="AN51" s="106"/>
      <c r="AO51" s="106"/>
    </row>
    <row r="52" spans="2:41" ht="14.25" customHeight="1"/>
    <row r="53" spans="2:41" ht="58.5" customHeight="1">
      <c r="C53" s="323" t="s">
        <v>163</v>
      </c>
      <c r="D53" s="387"/>
      <c r="E53" s="387"/>
      <c r="F53" s="387"/>
      <c r="G53" s="387"/>
      <c r="H53" s="387"/>
      <c r="I53" s="387"/>
      <c r="J53" s="387"/>
      <c r="K53" s="387"/>
      <c r="L53" s="387"/>
      <c r="M53" s="387"/>
      <c r="N53" s="387"/>
      <c r="O53" s="387"/>
      <c r="P53" s="387"/>
      <c r="Q53" s="387"/>
      <c r="R53" s="387"/>
      <c r="S53" s="387"/>
      <c r="T53" s="387"/>
      <c r="U53" s="386"/>
    </row>
    <row r="54" spans="2:41" ht="14.25" customHeight="1"/>
    <row r="55" spans="2:41" ht="24.75" customHeight="1">
      <c r="F55" s="409" t="s">
        <v>164</v>
      </c>
      <c r="G55" s="391"/>
      <c r="H55" s="409" t="s">
        <v>165</v>
      </c>
      <c r="I55" s="397"/>
      <c r="N55" s="409" t="s">
        <v>166</v>
      </c>
      <c r="O55" s="397"/>
      <c r="V55" s="409" t="s">
        <v>167</v>
      </c>
      <c r="W55" s="391"/>
      <c r="X55" s="409" t="s">
        <v>168</v>
      </c>
      <c r="Y55" s="391"/>
      <c r="Z55" s="409" t="s">
        <v>169</v>
      </c>
      <c r="AA55" s="391"/>
      <c r="AB55" s="409" t="s">
        <v>170</v>
      </c>
      <c r="AC55" s="391"/>
      <c r="AD55" s="409" t="s">
        <v>171</v>
      </c>
      <c r="AE55" s="391"/>
      <c r="AF55" s="410" t="s">
        <v>172</v>
      </c>
      <c r="AG55" s="397"/>
    </row>
    <row r="56" spans="2:41" ht="14.25" customHeight="1">
      <c r="D56" s="325" t="s">
        <v>13</v>
      </c>
      <c r="E56" s="326" t="s">
        <v>173</v>
      </c>
      <c r="F56" s="327" t="s">
        <v>78</v>
      </c>
      <c r="G56" s="399"/>
      <c r="H56" s="324" t="s">
        <v>174</v>
      </c>
      <c r="I56" s="400"/>
      <c r="L56" s="325" t="s">
        <v>13</v>
      </c>
      <c r="M56" s="326" t="s">
        <v>173</v>
      </c>
      <c r="N56" s="324" t="s">
        <v>174</v>
      </c>
      <c r="O56" s="400"/>
      <c r="T56" s="325" t="s">
        <v>13</v>
      </c>
      <c r="U56" s="326" t="s">
        <v>173</v>
      </c>
      <c r="V56" s="324" t="s">
        <v>174</v>
      </c>
      <c r="W56" s="399"/>
      <c r="X56" s="324" t="s">
        <v>174</v>
      </c>
      <c r="Y56" s="399"/>
      <c r="Z56" s="324" t="s">
        <v>174</v>
      </c>
      <c r="AA56" s="399"/>
      <c r="AB56" s="324" t="s">
        <v>174</v>
      </c>
      <c r="AC56" s="399"/>
      <c r="AD56" s="324" t="s">
        <v>174</v>
      </c>
      <c r="AE56" s="399"/>
      <c r="AF56" s="324" t="s">
        <v>174</v>
      </c>
      <c r="AG56" s="400"/>
    </row>
    <row r="57" spans="2:41" ht="14.25" customHeight="1">
      <c r="D57" s="411"/>
      <c r="E57" s="360"/>
      <c r="F57" s="116" t="s">
        <v>5</v>
      </c>
      <c r="G57" s="117" t="s">
        <v>6</v>
      </c>
      <c r="H57" s="118" t="s">
        <v>5</v>
      </c>
      <c r="I57" s="119" t="s">
        <v>6</v>
      </c>
      <c r="L57" s="411"/>
      <c r="M57" s="360"/>
      <c r="N57" s="118" t="s">
        <v>5</v>
      </c>
      <c r="O57" s="119" t="s">
        <v>6</v>
      </c>
      <c r="T57" s="411"/>
      <c r="U57" s="360"/>
      <c r="V57" s="116" t="s">
        <v>5</v>
      </c>
      <c r="W57" s="120" t="s">
        <v>6</v>
      </c>
      <c r="X57" s="118" t="s">
        <v>5</v>
      </c>
      <c r="Y57" s="120" t="s">
        <v>6</v>
      </c>
      <c r="Z57" s="116" t="s">
        <v>5</v>
      </c>
      <c r="AA57" s="120" t="s">
        <v>6</v>
      </c>
      <c r="AB57" s="116" t="s">
        <v>5</v>
      </c>
      <c r="AC57" s="120" t="s">
        <v>6</v>
      </c>
      <c r="AD57" s="116" t="s">
        <v>5</v>
      </c>
      <c r="AE57" s="117" t="s">
        <v>6</v>
      </c>
      <c r="AF57" s="121" t="s">
        <v>5</v>
      </c>
      <c r="AG57" s="122" t="s">
        <v>6</v>
      </c>
    </row>
    <row r="58" spans="2:41" ht="14.25" customHeight="1">
      <c r="D58" s="123">
        <v>2022</v>
      </c>
      <c r="E58" s="124">
        <f>Areas_TimberHarvestSchedule!D16</f>
        <v>5.0999999999999996</v>
      </c>
      <c r="F58" s="125">
        <f>$E$49*Areas_TimberHarvestSchedule!E16</f>
        <v>106190.87896689748</v>
      </c>
      <c r="G58" s="126">
        <f>$F$49*Areas_TimberHarvestSchedule!F16</f>
        <v>8316.6833829364241</v>
      </c>
      <c r="H58" s="125">
        <f>$G$49*Areas_TimberHarvestSchedule!E16</f>
        <v>86895.99625861214</v>
      </c>
      <c r="I58" s="127">
        <f>$H$49*Areas_TimberHarvestSchedule!F16</f>
        <v>6805.5420122568721</v>
      </c>
      <c r="L58" s="412">
        <v>2022</v>
      </c>
      <c r="M58" s="413">
        <f>Areas_TimberHarvestSchedule!D16</f>
        <v>5.0999999999999996</v>
      </c>
      <c r="N58" s="125">
        <f>$L$49*Areas_TimberHarvestSchedule!E16</f>
        <v>52833.623569222822</v>
      </c>
      <c r="O58" s="127">
        <f>$M$49*Areas_TimberHarvestSchedule!F16</f>
        <v>4154.6820333254191</v>
      </c>
      <c r="T58" s="412">
        <v>2022</v>
      </c>
      <c r="U58" s="128">
        <f>Areas_TimberHarvestSchedule!D16</f>
        <v>5.0999999999999996</v>
      </c>
      <c r="V58" s="129">
        <f>$R$10*Areas_TimberHarvestSchedule!E16</f>
        <v>109365.46835127016</v>
      </c>
      <c r="W58" s="130">
        <f>$S$10*Areas_TimberHarvestSchedule!F16</f>
        <v>8572.4757505676844</v>
      </c>
      <c r="X58" s="125">
        <f>$T$10*Areas_TimberHarvestSchedule!E16</f>
        <v>30364.151476564839</v>
      </c>
      <c r="Y58" s="131">
        <f>$U$10*Areas_TimberHarvestSchedule!F16</f>
        <v>2387.7482950146091</v>
      </c>
      <c r="Z58" s="129">
        <f>$V$10*Areas_TimberHarvestSchedule!E16</f>
        <v>11022.186985993036</v>
      </c>
      <c r="AA58" s="130">
        <f>$W$10*Areas_TimberHarvestSchedule!F16</f>
        <v>866.75263109030311</v>
      </c>
      <c r="AB58" s="129">
        <f>Areas_TimberHarvestSchedule!E16*$X$10</f>
        <v>19341.964490571801</v>
      </c>
      <c r="AC58" s="130">
        <f>Areas_TimberHarvestSchedule!F16*$Y$10</f>
        <v>1520.995663924306</v>
      </c>
      <c r="AD58" s="129">
        <f>$Z$10*Areas_TimberHarvestSchedule!E16</f>
        <v>16759.812231080468</v>
      </c>
      <c r="AE58" s="132">
        <f>$AA$10*Areas_TimberHarvestSchedule!F16</f>
        <v>1317.9427427904111</v>
      </c>
      <c r="AF58" s="129">
        <f>$AB$10*Areas_TimberHarvestSchedule!E16</f>
        <v>1065.0819490700558</v>
      </c>
      <c r="AG58" s="133">
        <f>$AC$10*Areas_TimberHarvestSchedule!F16</f>
        <v>271.09988785089189</v>
      </c>
    </row>
    <row r="59" spans="2:41" ht="14.25" customHeight="1">
      <c r="D59" s="134">
        <v>2023</v>
      </c>
      <c r="E59" s="128">
        <f>Areas_TimberHarvestSchedule!D17</f>
        <v>5.2</v>
      </c>
      <c r="F59" s="135">
        <f>$E$49*Areas_TimberHarvestSchedule!E17</f>
        <v>101306.87223845639</v>
      </c>
      <c r="G59" s="136">
        <f>$F$49*Areas_TimberHarvestSchedule!F17</f>
        <v>28296.604020030703</v>
      </c>
      <c r="H59" s="135">
        <f>$G$49*Areas_TimberHarvestSchedule!E17</f>
        <v>82899.413552728802</v>
      </c>
      <c r="I59" s="137">
        <f>$H$49*Areas_TimberHarvestSchedule!F17</f>
        <v>23155.111069591112</v>
      </c>
      <c r="L59" s="134">
        <v>2023</v>
      </c>
      <c r="M59" s="138">
        <f>Areas_TimberHarvestSchedule!D17</f>
        <v>5.2</v>
      </c>
      <c r="N59" s="135">
        <f>$L$49*Areas_TimberHarvestSchedule!E17</f>
        <v>50403.661829472592</v>
      </c>
      <c r="O59" s="137">
        <f>$M$49*Areas_TimberHarvestSchedule!F17</f>
        <v>14135.85042414306</v>
      </c>
      <c r="T59" s="134">
        <v>2023</v>
      </c>
      <c r="U59" s="128">
        <f>Areas_TimberHarvestSchedule!D17</f>
        <v>5.2</v>
      </c>
      <c r="V59" s="139">
        <f>$R$10*Areas_TimberHarvestSchedule!E17</f>
        <v>104335.45364112522</v>
      </c>
      <c r="W59" s="140">
        <f>$S$10*Areas_TimberHarvestSchedule!F17</f>
        <v>29166.909525835868</v>
      </c>
      <c r="X59" s="135">
        <f>$T$10*Areas_TimberHarvestSchedule!E17</f>
        <v>28967.6217410762</v>
      </c>
      <c r="Y59" s="141">
        <f>$U$10*Areas_TimberHarvestSchedule!F17</f>
        <v>8124.0519678983119</v>
      </c>
      <c r="Z59" s="139">
        <f>$V$10*Areas_TimberHarvestSchedule!E17</f>
        <v>10515.24669201066</v>
      </c>
      <c r="AA59" s="140">
        <f>$W$10*Areas_TimberHarvestSchedule!F17</f>
        <v>2949.0308643470871</v>
      </c>
      <c r="AB59" s="139">
        <f>Areas_TimberHarvestSchedule!E17*$X$10</f>
        <v>18452.37504906554</v>
      </c>
      <c r="AC59" s="140">
        <f>Areas_TimberHarvestSchedule!F17*$Y$10</f>
        <v>5175.0211035512239</v>
      </c>
      <c r="AD59" s="139">
        <f>$Z$10*Areas_TimberHarvestSchedule!E17</f>
        <v>15988.982980015291</v>
      </c>
      <c r="AE59" s="142">
        <f>$AA$10*Areas_TimberHarvestSchedule!F17</f>
        <v>4484.1557862271356</v>
      </c>
      <c r="AF59" s="139">
        <f>$AB$10*Areas_TimberHarvestSchedule!E17</f>
        <v>1016.0959395727535</v>
      </c>
      <c r="AG59" s="143">
        <f>$AC$10*Areas_TimberHarvestSchedule!F17</f>
        <v>922.3876662337118</v>
      </c>
    </row>
    <row r="60" spans="2:41" ht="14.25" customHeight="1">
      <c r="E60" s="111"/>
      <c r="F60" s="144">
        <f t="shared" ref="F60:I60" si="2">AVERAGE(F58:F59)</f>
        <v>103748.87560267694</v>
      </c>
      <c r="G60" s="145">
        <f t="shared" si="2"/>
        <v>18306.643701483565</v>
      </c>
      <c r="H60" s="144">
        <f t="shared" si="2"/>
        <v>84897.704905670471</v>
      </c>
      <c r="I60" s="146">
        <f t="shared" si="2"/>
        <v>14980.326540923992</v>
      </c>
      <c r="J60" s="111" t="s">
        <v>175</v>
      </c>
      <c r="M60" s="111"/>
      <c r="N60" s="144">
        <f t="shared" ref="N60:O60" si="3">AVERAGE(N58:N59)</f>
        <v>51618.642699347707</v>
      </c>
      <c r="O60" s="146">
        <f t="shared" si="3"/>
        <v>9145.2662287342391</v>
      </c>
      <c r="P60" s="111" t="s">
        <v>175</v>
      </c>
      <c r="U60" s="111"/>
      <c r="V60" s="144">
        <f t="shared" ref="V60:AG60" si="4">AVERAGE(V58:V59)</f>
        <v>106850.46099619768</v>
      </c>
      <c r="W60" s="147">
        <f t="shared" si="4"/>
        <v>18869.692638201777</v>
      </c>
      <c r="X60" s="144">
        <f t="shared" si="4"/>
        <v>29665.886608820518</v>
      </c>
      <c r="Y60" s="147">
        <f t="shared" si="4"/>
        <v>5255.9001314564603</v>
      </c>
      <c r="Z60" s="144">
        <f t="shared" si="4"/>
        <v>10768.716839001849</v>
      </c>
      <c r="AA60" s="147">
        <f t="shared" si="4"/>
        <v>1907.8917477186951</v>
      </c>
      <c r="AB60" s="144">
        <f t="shared" si="4"/>
        <v>18897.169769818669</v>
      </c>
      <c r="AC60" s="147">
        <f t="shared" si="4"/>
        <v>3348.0083837377651</v>
      </c>
      <c r="AD60" s="144">
        <f t="shared" si="4"/>
        <v>16374.39760554788</v>
      </c>
      <c r="AE60" s="145">
        <f t="shared" si="4"/>
        <v>2901.0492645087734</v>
      </c>
      <c r="AF60" s="144">
        <f t="shared" si="4"/>
        <v>1040.5889443214046</v>
      </c>
      <c r="AG60" s="146">
        <f t="shared" si="4"/>
        <v>596.74377704230187</v>
      </c>
      <c r="AH60" s="111" t="s">
        <v>175</v>
      </c>
    </row>
    <row r="61" spans="2:41" ht="14.25" customHeight="1">
      <c r="E61" s="46"/>
      <c r="F61" s="148">
        <f t="shared" ref="F61:I61" si="5">SUM(F58:F59)</f>
        <v>207497.75120535388</v>
      </c>
      <c r="G61" s="414">
        <f t="shared" si="5"/>
        <v>36613.287402967129</v>
      </c>
      <c r="H61" s="148">
        <f t="shared" si="5"/>
        <v>169795.40981134094</v>
      </c>
      <c r="I61" s="149">
        <f t="shared" si="5"/>
        <v>29960.653081847984</v>
      </c>
      <c r="J61" s="46" t="s">
        <v>7</v>
      </c>
      <c r="M61" s="46"/>
      <c r="N61" s="148">
        <f t="shared" ref="N61:O61" si="6">SUM(N58:N59)</f>
        <v>103237.28539869541</v>
      </c>
      <c r="O61" s="149">
        <f t="shared" si="6"/>
        <v>18290.532457468478</v>
      </c>
      <c r="P61" s="46" t="s">
        <v>7</v>
      </c>
      <c r="U61" s="46"/>
      <c r="V61" s="148">
        <f t="shared" ref="V61:AG61" si="7">SUM(V58:V59)</f>
        <v>213700.92199239536</v>
      </c>
      <c r="W61" s="150">
        <f t="shared" si="7"/>
        <v>37739.385276403555</v>
      </c>
      <c r="X61" s="148">
        <f t="shared" si="7"/>
        <v>59331.773217641035</v>
      </c>
      <c r="Y61" s="150">
        <f t="shared" si="7"/>
        <v>10511.800262912921</v>
      </c>
      <c r="Z61" s="148">
        <f t="shared" si="7"/>
        <v>21537.433678003697</v>
      </c>
      <c r="AA61" s="150">
        <f t="shared" si="7"/>
        <v>3815.7834954373902</v>
      </c>
      <c r="AB61" s="148">
        <f t="shared" si="7"/>
        <v>37794.339539637338</v>
      </c>
      <c r="AC61" s="150">
        <f t="shared" si="7"/>
        <v>6696.0167674755303</v>
      </c>
      <c r="AD61" s="148">
        <f t="shared" si="7"/>
        <v>32748.795211095759</v>
      </c>
      <c r="AE61" s="414">
        <f t="shared" si="7"/>
        <v>5802.0985290175468</v>
      </c>
      <c r="AF61" s="148">
        <f t="shared" si="7"/>
        <v>2081.1778886428092</v>
      </c>
      <c r="AG61" s="149">
        <f t="shared" si="7"/>
        <v>1193.4875540846037</v>
      </c>
      <c r="AH61" s="46" t="s">
        <v>7</v>
      </c>
    </row>
    <row r="62" spans="2:41" ht="14.25" customHeight="1"/>
    <row r="63" spans="2:41" ht="14.25" customHeight="1"/>
    <row r="64" spans="2:4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72">
    <mergeCell ref="AB8:AC8"/>
    <mergeCell ref="AE8:AF8"/>
    <mergeCell ref="AG8:AH8"/>
    <mergeCell ref="C8:D8"/>
    <mergeCell ref="E8:F8"/>
    <mergeCell ref="G8:H8"/>
    <mergeCell ref="J8:K8"/>
    <mergeCell ref="L8:M8"/>
    <mergeCell ref="N8:O8"/>
    <mergeCell ref="P8:Q8"/>
    <mergeCell ref="R8:S8"/>
    <mergeCell ref="T8:U8"/>
    <mergeCell ref="V8:W8"/>
    <mergeCell ref="X8:Y8"/>
    <mergeCell ref="Z8:AA8"/>
    <mergeCell ref="AE7:AF7"/>
    <mergeCell ref="AG7:AH7"/>
    <mergeCell ref="C7:D7"/>
    <mergeCell ref="E7:F7"/>
    <mergeCell ref="G7:H7"/>
    <mergeCell ref="J7:K7"/>
    <mergeCell ref="L7:M7"/>
    <mergeCell ref="N7:O7"/>
    <mergeCell ref="P7:Q7"/>
    <mergeCell ref="C2:Q2"/>
    <mergeCell ref="C4:L4"/>
    <mergeCell ref="C6:D6"/>
    <mergeCell ref="E6:F6"/>
    <mergeCell ref="G6:H6"/>
    <mergeCell ref="J6:K6"/>
    <mergeCell ref="L6:M6"/>
    <mergeCell ref="AE6:AF6"/>
    <mergeCell ref="AG6:AH6"/>
    <mergeCell ref="AD20:AE20"/>
    <mergeCell ref="N6:O6"/>
    <mergeCell ref="P6:S6"/>
    <mergeCell ref="T6:U6"/>
    <mergeCell ref="V6:W6"/>
    <mergeCell ref="X6:Y6"/>
    <mergeCell ref="Z6:AA6"/>
    <mergeCell ref="AB6:AC6"/>
    <mergeCell ref="R7:S7"/>
    <mergeCell ref="T7:U7"/>
    <mergeCell ref="V7:W7"/>
    <mergeCell ref="X7:Y7"/>
    <mergeCell ref="Z7:AA7"/>
    <mergeCell ref="AB7:AC7"/>
    <mergeCell ref="AB56:AC56"/>
    <mergeCell ref="AD56:AE56"/>
    <mergeCell ref="AF56:AG56"/>
    <mergeCell ref="D56:D57"/>
    <mergeCell ref="E56:E57"/>
    <mergeCell ref="F56:G56"/>
    <mergeCell ref="H56:I56"/>
    <mergeCell ref="L56:L57"/>
    <mergeCell ref="M56:M57"/>
    <mergeCell ref="N56:O56"/>
    <mergeCell ref="T56:T57"/>
    <mergeCell ref="U56:U57"/>
    <mergeCell ref="V56:W56"/>
    <mergeCell ref="X56:Y56"/>
    <mergeCell ref="Z56:AA56"/>
    <mergeCell ref="AB55:AC55"/>
    <mergeCell ref="AD55:AE55"/>
    <mergeCell ref="AF55:AG55"/>
    <mergeCell ref="C53:U53"/>
    <mergeCell ref="F55:G55"/>
    <mergeCell ref="H55:I55"/>
    <mergeCell ref="N55:O55"/>
    <mergeCell ref="V55:W55"/>
    <mergeCell ref="X55:Y55"/>
    <mergeCell ref="Z55:AA55"/>
  </mergeCells>
  <pageMargins left="0.7" right="0.7" top="0.75" bottom="0.75" header="0" footer="0"/>
  <pageSetup paperSize="9"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996"/>
  <sheetViews>
    <sheetView workbookViewId="0"/>
  </sheetViews>
  <sheetFormatPr defaultColWidth="14.42578125" defaultRowHeight="15" customHeight="1"/>
  <cols>
    <col min="1" max="1" width="8.7109375" customWidth="1"/>
    <col min="2" max="2" width="29.7109375" customWidth="1"/>
    <col min="3" max="3" width="9.42578125" customWidth="1"/>
    <col min="4" max="4" width="8" customWidth="1"/>
    <col min="5" max="5" width="9.42578125" customWidth="1"/>
    <col min="6" max="6" width="6.28515625" customWidth="1"/>
    <col min="7" max="7" width="9.140625" customWidth="1"/>
    <col min="8" max="8" width="8" customWidth="1"/>
    <col min="9" max="9" width="9.140625" customWidth="1"/>
    <col min="10" max="10" width="8" customWidth="1"/>
    <col min="11" max="12" width="9.140625" customWidth="1"/>
    <col min="13" max="13" width="12.140625" customWidth="1"/>
    <col min="14" max="14" width="8" customWidth="1"/>
    <col min="15" max="16" width="8.7109375" customWidth="1"/>
    <col min="17" max="17" width="16.7109375" customWidth="1"/>
    <col min="18" max="18" width="8.7109375" customWidth="1"/>
  </cols>
  <sheetData>
    <row r="1" spans="2:14" ht="14.25" customHeight="1"/>
    <row r="2" spans="2:14" ht="36.6">
      <c r="B2" s="333" t="s">
        <v>176</v>
      </c>
      <c r="C2" s="387"/>
      <c r="D2" s="387"/>
      <c r="E2" s="387"/>
      <c r="F2" s="387"/>
      <c r="G2" s="387"/>
      <c r="H2" s="387"/>
      <c r="I2" s="387"/>
      <c r="J2" s="386"/>
      <c r="K2" s="151"/>
    </row>
    <row r="3" spans="2:14" ht="14.25" customHeight="1"/>
    <row r="4" spans="2:14" ht="35.25" customHeight="1">
      <c r="B4" s="152" t="s">
        <v>13</v>
      </c>
      <c r="C4" s="415" t="s">
        <v>177</v>
      </c>
      <c r="D4" s="369"/>
      <c r="E4" s="415" t="s">
        <v>178</v>
      </c>
      <c r="F4" s="369"/>
      <c r="G4" s="415" t="s">
        <v>179</v>
      </c>
      <c r="H4" s="369"/>
      <c r="I4" s="415" t="s">
        <v>180</v>
      </c>
      <c r="J4" s="369"/>
      <c r="K4" s="415" t="s">
        <v>181</v>
      </c>
      <c r="L4" s="369"/>
      <c r="M4" s="415" t="s">
        <v>182</v>
      </c>
      <c r="N4" s="369"/>
    </row>
    <row r="5" spans="2:14" ht="22.5" customHeight="1">
      <c r="B5" s="46"/>
      <c r="C5" s="416" t="s">
        <v>174</v>
      </c>
      <c r="D5" s="417"/>
      <c r="E5" s="416" t="s">
        <v>174</v>
      </c>
      <c r="F5" s="417"/>
      <c r="G5" s="416" t="s">
        <v>174</v>
      </c>
      <c r="H5" s="417"/>
      <c r="I5" s="416" t="s">
        <v>174</v>
      </c>
      <c r="J5" s="417"/>
      <c r="K5" s="416" t="s">
        <v>174</v>
      </c>
      <c r="L5" s="417"/>
      <c r="M5" s="416" t="s">
        <v>183</v>
      </c>
      <c r="N5" s="417"/>
    </row>
    <row r="6" spans="2:14" ht="14.25" customHeight="1">
      <c r="B6" s="46"/>
      <c r="C6" s="12" t="s">
        <v>5</v>
      </c>
      <c r="D6" s="13" t="s">
        <v>6</v>
      </c>
      <c r="E6" s="12" t="s">
        <v>5</v>
      </c>
      <c r="F6" s="13" t="s">
        <v>6</v>
      </c>
      <c r="G6" s="12" t="s">
        <v>5</v>
      </c>
      <c r="H6" s="13" t="s">
        <v>6</v>
      </c>
      <c r="I6" s="12" t="s">
        <v>5</v>
      </c>
      <c r="J6" s="13" t="s">
        <v>6</v>
      </c>
      <c r="K6" s="12" t="s">
        <v>5</v>
      </c>
      <c r="L6" s="13" t="s">
        <v>6</v>
      </c>
      <c r="M6" s="12" t="s">
        <v>5</v>
      </c>
      <c r="N6" s="13" t="s">
        <v>6</v>
      </c>
    </row>
    <row r="7" spans="2:14" ht="14.25" customHeight="1">
      <c r="B7" s="25">
        <v>2022</v>
      </c>
      <c r="C7" s="153">
        <f>Areas_TimberHarvestSchedule!G52*BSL_ExPost!$AE$10</f>
        <v>22794.520022640707</v>
      </c>
      <c r="D7" s="153">
        <f>Areas_TimberHarvestSchedule!O52*BSL_ExPost!$AF$10</f>
        <v>1791.1160423143519</v>
      </c>
      <c r="E7" s="153">
        <f>Areas_TimberHarvestSchedule!G62*BSL_ExPost!$AG$10</f>
        <v>53882.347331624784</v>
      </c>
      <c r="F7" s="153">
        <f>Areas_TimberHarvestSchedule!O62*BSL_ExPost!$AH$10</f>
        <v>2986.259975975735</v>
      </c>
      <c r="G7" s="153">
        <f>(BSL_ExPost!$Z$10/20)*Areas_TimberHarvestSchedule!G71</f>
        <v>0</v>
      </c>
      <c r="H7" s="153">
        <f>(BSL_ExPost!$Z$10/20)*Areas_TimberHarvestSchedule!O72</f>
        <v>0</v>
      </c>
      <c r="I7" s="153">
        <f>-Areas_TimberHarvestSchedule!J16*BSL_ExPost!$AB$10</f>
        <v>-5938.9806558896717</v>
      </c>
      <c r="J7" s="153">
        <f>-Areas_TimberHarvestSchedule!K16*BSL_ExPost!$AC$10</f>
        <v>-1148.2593765516528</v>
      </c>
      <c r="K7" s="153">
        <f t="shared" ref="K7:L7" si="0">C7+E7+G7+I7</f>
        <v>70737.88669837582</v>
      </c>
      <c r="L7" s="153">
        <f t="shared" si="0"/>
        <v>3629.1166417384338</v>
      </c>
      <c r="M7" s="153">
        <f t="shared" ref="M7:N7" si="1">K7*44/12</f>
        <v>259372.251227378</v>
      </c>
      <c r="N7" s="153">
        <f t="shared" si="1"/>
        <v>13306.76101970759</v>
      </c>
    </row>
    <row r="8" spans="2:14" ht="14.25" customHeight="1">
      <c r="B8" s="25">
        <v>2023</v>
      </c>
      <c r="C8" s="153">
        <f>Areas_TimberHarvestSchedule!G53*BSL_ExPost!$AE$10</f>
        <v>21744.708543318648</v>
      </c>
      <c r="D8" s="153">
        <f>Areas_TimberHarvestSchedule!O53*BSL_ExPost!$AF$10</f>
        <v>6092.3866860372609</v>
      </c>
      <c r="E8" s="153">
        <f>Areas_TimberHarvestSchedule!G63*BSL_ExPost!$AG$10</f>
        <v>65655.746197692526</v>
      </c>
      <c r="F8" s="153">
        <f>Areas_TimberHarvestSchedule!O63*BSL_ExPost!$AH$10</f>
        <v>3910.0332357071411</v>
      </c>
      <c r="G8" s="153">
        <f>(BSL_ExPost!$Z$10/20)*Areas_TimberHarvestSchedule!G72</f>
        <v>0</v>
      </c>
      <c r="H8" s="153">
        <f>(BSL_ExPost!$Z$10/20)*Areas_TimberHarvestSchedule!O73</f>
        <v>0</v>
      </c>
      <c r="I8" s="153">
        <f>-Areas_TimberHarvestSchedule!J17*BSL_ExPost!$AB$10</f>
        <v>-6954.9115465611185</v>
      </c>
      <c r="J8" s="153">
        <f>-Areas_TimberHarvestSchedule!K17*BSL_ExPost!$AC$10</f>
        <v>-2071.0191948863917</v>
      </c>
      <c r="K8" s="153">
        <f t="shared" ref="K8:L8" si="2">C8+E8+G8+I8</f>
        <v>80445.543194450045</v>
      </c>
      <c r="L8" s="153">
        <f t="shared" si="2"/>
        <v>7931.4007268580099</v>
      </c>
      <c r="M8" s="153">
        <f t="shared" ref="M8:N8" si="3">K8*44/12</f>
        <v>294966.99171298352</v>
      </c>
      <c r="N8" s="153">
        <f t="shared" si="3"/>
        <v>29081.802665146039</v>
      </c>
    </row>
    <row r="9" spans="2:14" ht="14.25" customHeight="1">
      <c r="C9" s="154">
        <f t="shared" ref="C9:N9" si="4">AVERAGE(C7:C8)</f>
        <v>22269.614282979677</v>
      </c>
      <c r="D9" s="155">
        <f t="shared" si="4"/>
        <v>3941.7513641758064</v>
      </c>
      <c r="E9" s="154">
        <f t="shared" si="4"/>
        <v>59769.046764658655</v>
      </c>
      <c r="F9" s="155">
        <f t="shared" si="4"/>
        <v>3448.146605841438</v>
      </c>
      <c r="G9" s="154">
        <f t="shared" si="4"/>
        <v>0</v>
      </c>
      <c r="H9" s="155">
        <f t="shared" si="4"/>
        <v>0</v>
      </c>
      <c r="I9" s="154">
        <f t="shared" si="4"/>
        <v>-6446.9461012253951</v>
      </c>
      <c r="J9" s="155">
        <f t="shared" si="4"/>
        <v>-1609.6392857190222</v>
      </c>
      <c r="K9" s="154">
        <f t="shared" si="4"/>
        <v>75591.714946412932</v>
      </c>
      <c r="L9" s="155">
        <f t="shared" si="4"/>
        <v>5780.2586842982219</v>
      </c>
      <c r="M9" s="154">
        <f t="shared" si="4"/>
        <v>277169.62147018075</v>
      </c>
      <c r="N9" s="155">
        <f t="shared" si="4"/>
        <v>21194.281842426815</v>
      </c>
    </row>
    <row r="10" spans="2:14" ht="14.25" customHeight="1">
      <c r="C10" s="154">
        <f t="shared" ref="C10:N10" si="5">SUM(C7:C8)</f>
        <v>44539.228565959354</v>
      </c>
      <c r="D10" s="155">
        <f t="shared" si="5"/>
        <v>7883.5027283516129</v>
      </c>
      <c r="E10" s="154">
        <f t="shared" si="5"/>
        <v>119538.09352931731</v>
      </c>
      <c r="F10" s="155">
        <f t="shared" si="5"/>
        <v>6896.2932116828761</v>
      </c>
      <c r="G10" s="154">
        <f t="shared" si="5"/>
        <v>0</v>
      </c>
      <c r="H10" s="155">
        <f t="shared" si="5"/>
        <v>0</v>
      </c>
      <c r="I10" s="154">
        <f t="shared" si="5"/>
        <v>-12893.89220245079</v>
      </c>
      <c r="J10" s="155">
        <f t="shared" si="5"/>
        <v>-3219.2785714380443</v>
      </c>
      <c r="K10" s="154">
        <f t="shared" si="5"/>
        <v>151183.42989282586</v>
      </c>
      <c r="L10" s="155">
        <f t="shared" si="5"/>
        <v>11560.517368596444</v>
      </c>
      <c r="M10" s="154">
        <f t="shared" si="5"/>
        <v>554339.2429403615</v>
      </c>
      <c r="N10" s="155">
        <f t="shared" si="5"/>
        <v>42388.563684853631</v>
      </c>
    </row>
    <row r="11" spans="2:14" ht="34.5" customHeight="1"/>
    <row r="12" spans="2:14" ht="29.25" customHeight="1">
      <c r="B12" s="152" t="s">
        <v>13</v>
      </c>
      <c r="C12" s="415" t="s">
        <v>177</v>
      </c>
      <c r="D12" s="369"/>
      <c r="E12" s="415" t="s">
        <v>178</v>
      </c>
      <c r="F12" s="369"/>
      <c r="G12" s="415" t="s">
        <v>179</v>
      </c>
      <c r="H12" s="369"/>
      <c r="I12" s="415" t="s">
        <v>180</v>
      </c>
      <c r="J12" s="369"/>
      <c r="K12" s="415" t="s">
        <v>181</v>
      </c>
      <c r="L12" s="369"/>
      <c r="M12" s="418" t="s">
        <v>182</v>
      </c>
      <c r="N12" s="369"/>
    </row>
    <row r="13" spans="2:14" ht="14.25" customHeight="1">
      <c r="B13" s="46"/>
      <c r="C13" s="419" t="s">
        <v>174</v>
      </c>
      <c r="D13" s="369"/>
      <c r="E13" s="419" t="s">
        <v>174</v>
      </c>
      <c r="F13" s="369"/>
      <c r="G13" s="419" t="s">
        <v>174</v>
      </c>
      <c r="H13" s="369"/>
      <c r="I13" s="419" t="s">
        <v>174</v>
      </c>
      <c r="J13" s="369"/>
      <c r="K13" s="419" t="s">
        <v>174</v>
      </c>
      <c r="L13" s="369"/>
      <c r="M13" s="419" t="s">
        <v>183</v>
      </c>
      <c r="N13" s="369"/>
    </row>
    <row r="14" spans="2:14" ht="14.45">
      <c r="B14" s="46"/>
      <c r="C14" s="420" t="s">
        <v>184</v>
      </c>
      <c r="D14" s="421"/>
      <c r="E14" s="420" t="s">
        <v>184</v>
      </c>
      <c r="F14" s="421"/>
      <c r="G14" s="420" t="s">
        <v>184</v>
      </c>
      <c r="H14" s="421"/>
      <c r="I14" s="420" t="s">
        <v>184</v>
      </c>
      <c r="J14" s="421"/>
      <c r="K14" s="420" t="s">
        <v>184</v>
      </c>
      <c r="L14" s="421"/>
      <c r="M14" s="422" t="s">
        <v>184</v>
      </c>
      <c r="N14" s="369"/>
    </row>
    <row r="15" spans="2:14" ht="14.25" customHeight="1">
      <c r="B15" s="25">
        <v>2022</v>
      </c>
      <c r="C15" s="423">
        <f t="shared" ref="C15:C16" si="6">SUM(C7:D7)</f>
        <v>24585.636064955059</v>
      </c>
      <c r="D15" s="369"/>
      <c r="E15" s="423">
        <f t="shared" ref="E15:E16" si="7">SUM(E7:F7)</f>
        <v>56868.60730760052</v>
      </c>
      <c r="F15" s="369"/>
      <c r="G15" s="423">
        <f t="shared" ref="G15:G16" si="8">SUM(G7:H7)</f>
        <v>0</v>
      </c>
      <c r="H15" s="369"/>
      <c r="I15" s="423">
        <f t="shared" ref="I15:I16" si="9">SUM(I7:J7)</f>
        <v>-7087.2400324413247</v>
      </c>
      <c r="J15" s="369"/>
      <c r="K15" s="423">
        <f t="shared" ref="K15:K16" si="10">SUM(K7:L7)</f>
        <v>74367.003340114257</v>
      </c>
      <c r="L15" s="369"/>
      <c r="M15" s="424">
        <f t="shared" ref="M15:M16" si="11">SUM(M7:N7)</f>
        <v>272679.01224708557</v>
      </c>
      <c r="N15" s="369"/>
    </row>
    <row r="16" spans="2:14" ht="14.25" customHeight="1">
      <c r="B16" s="25">
        <v>2023</v>
      </c>
      <c r="C16" s="423">
        <f t="shared" si="6"/>
        <v>27837.095229355909</v>
      </c>
      <c r="D16" s="369"/>
      <c r="E16" s="423">
        <f t="shared" si="7"/>
        <v>69565.779433399672</v>
      </c>
      <c r="F16" s="369"/>
      <c r="G16" s="423">
        <f t="shared" si="8"/>
        <v>0</v>
      </c>
      <c r="H16" s="369"/>
      <c r="I16" s="423">
        <f t="shared" si="9"/>
        <v>-9025.9307414475097</v>
      </c>
      <c r="J16" s="369"/>
      <c r="K16" s="423">
        <f t="shared" si="10"/>
        <v>88376.943921308062</v>
      </c>
      <c r="L16" s="369"/>
      <c r="M16" s="424">
        <f t="shared" si="11"/>
        <v>324048.79437812953</v>
      </c>
      <c r="N16" s="369"/>
    </row>
    <row r="17" spans="12:15" ht="14.25" customHeight="1">
      <c r="L17" s="46"/>
      <c r="M17" s="425">
        <f>SUM(M15:N16)</f>
        <v>596727.8066252151</v>
      </c>
      <c r="N17" s="369"/>
      <c r="O17" s="111" t="s">
        <v>7</v>
      </c>
    </row>
    <row r="18" spans="12:15" ht="14.25" customHeight="1">
      <c r="L18" s="46"/>
      <c r="M18" s="425">
        <f>AVERAGE(M15:N16)</f>
        <v>298363.90331260755</v>
      </c>
      <c r="N18" s="369"/>
      <c r="O18" s="111" t="s">
        <v>175</v>
      </c>
    </row>
    <row r="19" spans="12:15" ht="14.25" customHeight="1"/>
    <row r="20" spans="12:15" ht="14.25" customHeight="1">
      <c r="M20" s="156"/>
    </row>
    <row r="21" spans="12:15" ht="14.25" customHeight="1">
      <c r="M21" s="157"/>
    </row>
    <row r="22" spans="12:15" ht="14.25" customHeight="1"/>
    <row r="23" spans="12:15" ht="14.25" customHeight="1"/>
    <row r="24" spans="12:15" ht="14.25" customHeight="1"/>
    <row r="25" spans="12:15" ht="14.25" customHeight="1"/>
    <row r="26" spans="12:15" ht="14.25" customHeight="1"/>
    <row r="27" spans="12:15" ht="14.25" customHeight="1"/>
    <row r="28" spans="12:15" ht="14.25" customHeight="1"/>
    <row r="29" spans="12:15" ht="14.25" customHeight="1"/>
    <row r="30" spans="12:15" ht="14.25" customHeight="1"/>
    <row r="31" spans="12:15" ht="14.25" customHeight="1"/>
    <row r="32" spans="12: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sheetData>
  <mergeCells count="45">
    <mergeCell ref="M17:N17"/>
    <mergeCell ref="M18:N18"/>
    <mergeCell ref="E12:F12"/>
    <mergeCell ref="G12:H12"/>
    <mergeCell ref="C13:D13"/>
    <mergeCell ref="E13:F13"/>
    <mergeCell ref="G13:H13"/>
    <mergeCell ref="E14:F14"/>
    <mergeCell ref="G14:H14"/>
    <mergeCell ref="M15:N15"/>
    <mergeCell ref="C16:D16"/>
    <mergeCell ref="E16:F16"/>
    <mergeCell ref="G16:H16"/>
    <mergeCell ref="I16:J16"/>
    <mergeCell ref="K16:L16"/>
    <mergeCell ref="M16:N16"/>
    <mergeCell ref="C15:D15"/>
    <mergeCell ref="E15:F15"/>
    <mergeCell ref="G15:H15"/>
    <mergeCell ref="I15:J15"/>
    <mergeCell ref="K15:L15"/>
    <mergeCell ref="I14:J14"/>
    <mergeCell ref="K14:L14"/>
    <mergeCell ref="M14:N14"/>
    <mergeCell ref="C5:D5"/>
    <mergeCell ref="E5:F5"/>
    <mergeCell ref="G5:H5"/>
    <mergeCell ref="I5:J5"/>
    <mergeCell ref="K5:L5"/>
    <mergeCell ref="M5:N5"/>
    <mergeCell ref="C12:D12"/>
    <mergeCell ref="M12:N12"/>
    <mergeCell ref="C14:D14"/>
    <mergeCell ref="K4:L4"/>
    <mergeCell ref="M4:N4"/>
    <mergeCell ref="I12:J12"/>
    <mergeCell ref="K12:L12"/>
    <mergeCell ref="I13:J13"/>
    <mergeCell ref="K13:L13"/>
    <mergeCell ref="M13:N13"/>
    <mergeCell ref="B2:J2"/>
    <mergeCell ref="C4:D4"/>
    <mergeCell ref="E4:F4"/>
    <mergeCell ref="G4:H4"/>
    <mergeCell ref="I4:J4"/>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J972"/>
  <sheetViews>
    <sheetView topLeftCell="L13" zoomScale="55" zoomScaleNormal="55" workbookViewId="0">
      <selection activeCell="R54" sqref="R54"/>
    </sheetView>
  </sheetViews>
  <sheetFormatPr defaultColWidth="14.42578125" defaultRowHeight="15" customHeight="1"/>
  <cols>
    <col min="1" max="1" width="8.7109375" customWidth="1"/>
    <col min="2" max="2" width="23.7109375" customWidth="1"/>
    <col min="3" max="3" width="17.140625" customWidth="1"/>
    <col min="4" max="4" width="15.7109375" customWidth="1"/>
    <col min="5" max="5" width="19.85546875" customWidth="1"/>
    <col min="6" max="6" width="11.140625" customWidth="1"/>
    <col min="7" max="7" width="10.7109375" customWidth="1"/>
    <col min="8" max="8" width="26.7109375" customWidth="1"/>
    <col min="9" max="11" width="10.7109375" customWidth="1"/>
    <col min="12" max="12" width="10.42578125" customWidth="1"/>
    <col min="13" max="13" width="10" customWidth="1"/>
    <col min="21" max="21" width="17.5703125" customWidth="1"/>
    <col min="22" max="22" width="16.7109375" customWidth="1"/>
    <col min="24" max="24" width="17.140625" customWidth="1"/>
  </cols>
  <sheetData>
    <row r="1" spans="1:36" ht="14.25" customHeight="1">
      <c r="A1" s="158"/>
      <c r="B1" s="158"/>
      <c r="C1" s="158"/>
      <c r="D1" s="158"/>
      <c r="E1" s="158"/>
      <c r="F1" s="158"/>
      <c r="G1" s="158"/>
      <c r="H1" s="158"/>
      <c r="I1" s="158"/>
      <c r="J1" s="158"/>
      <c r="K1" s="158"/>
      <c r="L1" s="158"/>
      <c r="M1" s="158"/>
    </row>
    <row r="2" spans="1:36" ht="28.9">
      <c r="A2" s="158"/>
      <c r="B2" s="426" t="s">
        <v>185</v>
      </c>
      <c r="C2" s="427"/>
      <c r="D2" s="427"/>
      <c r="E2" s="427"/>
      <c r="F2" s="427"/>
      <c r="G2" s="427"/>
      <c r="H2" s="427"/>
      <c r="I2" s="427"/>
      <c r="J2" s="427"/>
      <c r="K2" s="427"/>
      <c r="L2" s="427"/>
      <c r="M2" s="427"/>
      <c r="N2" s="427"/>
      <c r="O2" s="427"/>
      <c r="P2" s="427"/>
      <c r="Q2" s="428"/>
      <c r="U2" s="429" t="s">
        <v>186</v>
      </c>
      <c r="V2" s="430"/>
      <c r="W2" s="430"/>
      <c r="X2" s="430"/>
      <c r="Y2" s="430"/>
      <c r="Z2" s="430"/>
      <c r="AA2" s="430"/>
      <c r="AB2" s="430"/>
      <c r="AC2" s="430"/>
      <c r="AD2" s="430"/>
      <c r="AE2" s="430"/>
      <c r="AF2" s="430"/>
      <c r="AG2" s="430"/>
      <c r="AH2" s="430"/>
      <c r="AI2" s="430"/>
      <c r="AJ2" s="431"/>
    </row>
    <row r="3" spans="1:36" ht="14.25" customHeight="1">
      <c r="A3" s="158"/>
      <c r="B3" s="158"/>
      <c r="C3" s="158"/>
      <c r="D3" s="158"/>
      <c r="E3" s="158"/>
      <c r="F3" s="158"/>
      <c r="G3" s="158"/>
      <c r="H3" s="158"/>
      <c r="I3" s="158"/>
      <c r="J3" s="158"/>
      <c r="K3" s="158"/>
      <c r="L3" s="158"/>
      <c r="M3" s="158"/>
      <c r="V3" s="158"/>
      <c r="W3" s="158"/>
      <c r="X3" s="158"/>
      <c r="Y3" s="158"/>
      <c r="Z3" s="158"/>
      <c r="AA3" s="158"/>
      <c r="AB3" s="158"/>
      <c r="AC3" s="158"/>
      <c r="AD3" s="158"/>
      <c r="AE3" s="158"/>
      <c r="AF3" s="158"/>
    </row>
    <row r="4" spans="1:36" ht="14.25" customHeight="1">
      <c r="A4" s="158"/>
      <c r="B4" s="158"/>
      <c r="C4" s="158"/>
      <c r="D4" s="158"/>
      <c r="E4" s="158"/>
      <c r="F4" s="158"/>
      <c r="G4" s="158"/>
      <c r="H4" s="158"/>
      <c r="I4" s="158"/>
      <c r="J4" s="158"/>
      <c r="K4" s="158"/>
      <c r="L4" s="158"/>
      <c r="M4" s="158"/>
      <c r="P4" s="46"/>
      <c r="U4" s="158"/>
      <c r="V4" s="158"/>
      <c r="W4" s="158"/>
      <c r="X4" s="158"/>
      <c r="Y4" s="158"/>
      <c r="Z4" s="158"/>
      <c r="AA4" s="158"/>
      <c r="AB4" s="158"/>
      <c r="AC4" s="158"/>
      <c r="AD4" s="158"/>
      <c r="AE4" s="158"/>
      <c r="AF4" s="158"/>
    </row>
    <row r="5" spans="1:36" ht="14.25" customHeight="1">
      <c r="A5" s="158"/>
      <c r="B5" s="432" t="s">
        <v>187</v>
      </c>
      <c r="C5" s="369"/>
      <c r="D5" s="158"/>
      <c r="E5" s="158"/>
      <c r="F5" s="158"/>
      <c r="G5" s="158"/>
      <c r="H5" s="158"/>
      <c r="I5" s="158"/>
      <c r="J5" s="158"/>
      <c r="K5" s="158"/>
      <c r="L5" s="158"/>
      <c r="M5" s="158"/>
      <c r="U5" s="432" t="s">
        <v>187</v>
      </c>
      <c r="V5" s="369"/>
      <c r="W5" s="158"/>
      <c r="X5" s="158"/>
      <c r="Y5" s="158"/>
      <c r="Z5" s="158"/>
      <c r="AA5" s="158"/>
      <c r="AB5" s="158"/>
      <c r="AC5" s="158"/>
      <c r="AD5" s="158"/>
      <c r="AE5" s="158"/>
      <c r="AF5" s="158"/>
    </row>
    <row r="6" spans="1:36" ht="14.25" customHeight="1">
      <c r="A6" s="158"/>
      <c r="B6" s="159" t="s">
        <v>12</v>
      </c>
      <c r="C6" s="159" t="s">
        <v>188</v>
      </c>
      <c r="D6" s="158"/>
      <c r="E6" s="158"/>
      <c r="F6" s="158"/>
      <c r="G6" s="158"/>
      <c r="H6" s="158"/>
      <c r="I6" s="158"/>
      <c r="J6" s="158"/>
      <c r="K6" s="158"/>
      <c r="L6" s="158"/>
      <c r="M6" s="158"/>
      <c r="U6" s="159" t="s">
        <v>12</v>
      </c>
      <c r="V6" s="159" t="s">
        <v>188</v>
      </c>
      <c r="W6" s="158"/>
      <c r="X6" s="158"/>
      <c r="Y6" s="158"/>
      <c r="Z6" s="158"/>
      <c r="AA6" s="158"/>
      <c r="AB6" s="158"/>
      <c r="AC6" s="158"/>
      <c r="AD6" s="158"/>
      <c r="AE6" s="158"/>
      <c r="AF6" s="158"/>
    </row>
    <row r="7" spans="1:36" ht="14.25" customHeight="1">
      <c r="A7" s="158"/>
      <c r="B7" s="160">
        <v>4.2</v>
      </c>
      <c r="C7" s="161">
        <v>2.5258840386300001</v>
      </c>
      <c r="D7" s="158"/>
      <c r="E7" s="158"/>
      <c r="F7" s="158"/>
      <c r="G7" s="158"/>
      <c r="H7" s="158"/>
      <c r="I7" s="158"/>
      <c r="J7" s="158"/>
      <c r="K7" s="158"/>
      <c r="L7" s="158"/>
      <c r="M7" s="158"/>
      <c r="U7" s="160" t="s">
        <v>189</v>
      </c>
      <c r="V7" s="161">
        <v>33</v>
      </c>
      <c r="W7" s="158"/>
      <c r="X7" s="158"/>
      <c r="Y7" s="158"/>
      <c r="Z7" s="158"/>
      <c r="AA7" s="158"/>
      <c r="AB7" s="158"/>
      <c r="AC7" s="158"/>
      <c r="AD7" s="158"/>
      <c r="AE7" s="158"/>
      <c r="AF7" s="158"/>
    </row>
    <row r="8" spans="1:36" ht="14.25" customHeight="1" thickBot="1">
      <c r="A8" s="158"/>
      <c r="B8" s="162">
        <v>4.3</v>
      </c>
      <c r="C8" s="163">
        <v>6.8555677419999999</v>
      </c>
      <c r="D8" s="158"/>
      <c r="E8" s="158"/>
      <c r="F8" s="158"/>
      <c r="G8" s="158"/>
      <c r="H8" s="158"/>
      <c r="I8" s="158"/>
      <c r="J8" s="158"/>
      <c r="K8" s="158"/>
      <c r="L8" s="158"/>
      <c r="M8" s="158"/>
      <c r="U8" s="164" t="s">
        <v>7</v>
      </c>
      <c r="V8" s="433">
        <f>SUM(V7)</f>
        <v>33</v>
      </c>
      <c r="W8" s="158"/>
      <c r="X8" s="158"/>
      <c r="Y8" s="158"/>
      <c r="Z8" s="158"/>
      <c r="AA8" s="158"/>
      <c r="AB8" s="158"/>
      <c r="AC8" s="158"/>
      <c r="AD8" s="158"/>
      <c r="AE8" s="158"/>
      <c r="AF8" s="158"/>
    </row>
    <row r="9" spans="1:36" ht="14.25" customHeight="1" thickBot="1">
      <c r="A9" s="158"/>
      <c r="B9" s="162">
        <v>4.4000000000000004</v>
      </c>
      <c r="C9" s="163">
        <v>0</v>
      </c>
      <c r="D9" s="158"/>
      <c r="E9" s="158"/>
      <c r="F9" s="158"/>
      <c r="G9" s="158"/>
      <c r="H9" s="158"/>
      <c r="I9" s="158"/>
      <c r="J9" s="158"/>
      <c r="K9" s="158"/>
      <c r="L9" s="158"/>
      <c r="M9" s="158"/>
      <c r="U9" s="158"/>
      <c r="V9" s="165">
        <f>V8/ 38309</f>
        <v>8.6141637735258033E-4</v>
      </c>
      <c r="W9" s="166" t="s">
        <v>190</v>
      </c>
      <c r="X9" s="166"/>
      <c r="Y9" s="158"/>
      <c r="Z9" s="158"/>
      <c r="AA9" s="158"/>
      <c r="AB9" s="158"/>
      <c r="AC9" s="158"/>
      <c r="AD9" s="158"/>
      <c r="AE9" s="158"/>
      <c r="AF9" s="158"/>
    </row>
    <row r="10" spans="1:36" ht="14.25" customHeight="1">
      <c r="A10" s="158"/>
      <c r="B10" s="162">
        <v>4.5</v>
      </c>
      <c r="C10" s="163">
        <v>0</v>
      </c>
      <c r="D10" s="158"/>
      <c r="E10" s="158"/>
      <c r="F10" s="158"/>
      <c r="G10" s="158"/>
      <c r="H10" s="158"/>
      <c r="I10" s="158"/>
      <c r="J10" s="158"/>
      <c r="K10" s="158"/>
      <c r="L10" s="158"/>
      <c r="M10" s="158"/>
      <c r="U10" s="158"/>
      <c r="V10" s="158"/>
      <c r="W10" s="158"/>
      <c r="X10" s="158"/>
      <c r="Y10" s="158"/>
      <c r="Z10" s="158"/>
      <c r="AA10" s="158"/>
      <c r="AB10" s="158"/>
      <c r="AC10" s="158"/>
      <c r="AD10" s="158"/>
      <c r="AE10" s="158"/>
      <c r="AF10" s="158"/>
    </row>
    <row r="11" spans="1:36" ht="14.25" customHeight="1">
      <c r="A11" s="158"/>
      <c r="B11" s="162">
        <v>5.0999999999999996</v>
      </c>
      <c r="C11" s="163">
        <v>0</v>
      </c>
      <c r="D11" s="158"/>
      <c r="E11" s="158"/>
      <c r="F11" s="158"/>
      <c r="G11" s="158"/>
      <c r="H11" s="158"/>
      <c r="I11" s="158"/>
      <c r="J11" s="158"/>
      <c r="K11" s="158"/>
      <c r="L11" s="158"/>
      <c r="M11" s="158"/>
      <c r="U11" s="432" t="s">
        <v>191</v>
      </c>
      <c r="V11" s="389"/>
      <c r="W11" s="389"/>
      <c r="X11" s="389"/>
      <c r="Y11" s="369"/>
      <c r="Z11" s="158"/>
      <c r="AA11" s="158"/>
      <c r="AB11" s="158"/>
      <c r="AC11" s="158"/>
      <c r="AD11" s="158"/>
      <c r="AE11" s="158"/>
      <c r="AF11" s="158"/>
    </row>
    <row r="12" spans="1:36" ht="14.25" customHeight="1">
      <c r="A12" s="158"/>
      <c r="B12" s="162">
        <v>5.2</v>
      </c>
      <c r="C12" s="163">
        <v>0</v>
      </c>
      <c r="D12" s="158"/>
      <c r="E12" s="158"/>
      <c r="F12" s="158"/>
      <c r="G12" s="158"/>
      <c r="H12" s="158"/>
      <c r="I12" s="158"/>
      <c r="J12" s="158"/>
      <c r="K12" s="158"/>
      <c r="L12" s="158"/>
      <c r="M12" s="158"/>
      <c r="U12" s="167" t="s">
        <v>192</v>
      </c>
      <c r="V12" s="167" t="s">
        <v>188</v>
      </c>
      <c r="W12" s="167" t="s">
        <v>193</v>
      </c>
      <c r="X12" s="167" t="s">
        <v>194</v>
      </c>
      <c r="Y12" s="167" t="s">
        <v>195</v>
      </c>
      <c r="Z12" s="158"/>
      <c r="AA12" s="158"/>
      <c r="AB12" s="158"/>
      <c r="AC12" s="158"/>
      <c r="AD12" s="158"/>
      <c r="AE12" s="158"/>
      <c r="AF12" s="158"/>
    </row>
    <row r="13" spans="1:36" ht="14.25" customHeight="1">
      <c r="A13" s="158"/>
      <c r="B13" s="162">
        <v>5.3</v>
      </c>
      <c r="C13" s="163">
        <v>0.30755344919799998</v>
      </c>
      <c r="D13" s="158"/>
      <c r="E13" s="158"/>
      <c r="F13" s="158"/>
      <c r="G13" s="158"/>
      <c r="H13" s="158"/>
      <c r="I13" s="158"/>
      <c r="J13" s="158"/>
      <c r="K13" s="158"/>
      <c r="L13" s="158"/>
      <c r="M13" s="158"/>
      <c r="U13" s="168">
        <v>43</v>
      </c>
      <c r="V13" s="169">
        <v>2</v>
      </c>
      <c r="W13" s="162" t="s">
        <v>196</v>
      </c>
      <c r="X13" s="162" t="s">
        <v>197</v>
      </c>
      <c r="Y13" s="169">
        <v>2023</v>
      </c>
      <c r="Z13" s="158"/>
      <c r="AA13" s="158"/>
      <c r="AB13" s="158"/>
      <c r="AC13" s="158"/>
      <c r="AD13" s="158"/>
      <c r="AE13" s="158"/>
      <c r="AF13" s="158"/>
    </row>
    <row r="14" spans="1:36" ht="14.25" customHeight="1">
      <c r="A14" s="158"/>
      <c r="B14" s="162">
        <v>5.4</v>
      </c>
      <c r="C14" s="163">
        <v>0</v>
      </c>
      <c r="D14" s="158"/>
      <c r="E14" s="158"/>
      <c r="F14" s="158"/>
      <c r="G14" s="158"/>
      <c r="H14" s="158"/>
      <c r="I14" s="158"/>
      <c r="J14" s="158"/>
      <c r="K14" s="158"/>
      <c r="L14" s="158"/>
      <c r="M14" s="158"/>
      <c r="U14" s="168">
        <v>42</v>
      </c>
      <c r="V14" s="169">
        <v>1</v>
      </c>
      <c r="W14" s="162" t="s">
        <v>198</v>
      </c>
      <c r="X14" s="162" t="s">
        <v>199</v>
      </c>
      <c r="Y14" s="169">
        <v>2023</v>
      </c>
      <c r="Z14" s="158"/>
      <c r="AA14" s="158"/>
      <c r="AB14" s="158"/>
      <c r="AC14" s="158"/>
      <c r="AD14" s="158"/>
      <c r="AE14" s="158"/>
      <c r="AF14" s="158"/>
    </row>
    <row r="15" spans="1:36" ht="14.25" customHeight="1">
      <c r="A15" s="158"/>
      <c r="B15" s="162">
        <v>5.5</v>
      </c>
      <c r="C15" s="163">
        <v>0</v>
      </c>
      <c r="D15" s="158"/>
      <c r="E15" s="158"/>
      <c r="F15" s="158"/>
      <c r="G15" s="158"/>
      <c r="H15" s="158"/>
      <c r="I15" s="158"/>
      <c r="J15" s="158"/>
      <c r="K15" s="158"/>
      <c r="L15" s="158"/>
      <c r="M15" s="158"/>
      <c r="U15" s="168">
        <v>36</v>
      </c>
      <c r="V15" s="169">
        <v>0.5</v>
      </c>
      <c r="W15" s="162" t="s">
        <v>198</v>
      </c>
      <c r="X15" s="162" t="s">
        <v>200</v>
      </c>
      <c r="Y15" s="169">
        <v>2023</v>
      </c>
      <c r="Z15" s="158"/>
      <c r="AA15" s="158"/>
      <c r="AB15" s="158"/>
      <c r="AC15" s="158"/>
      <c r="AD15" s="158"/>
      <c r="AE15" s="158"/>
      <c r="AF15" s="158"/>
    </row>
    <row r="16" spans="1:36" ht="14.25" customHeight="1">
      <c r="A16" s="158"/>
      <c r="B16" s="162">
        <v>6.1</v>
      </c>
      <c r="C16" s="163">
        <v>7.7001838939900003</v>
      </c>
      <c r="D16" s="158"/>
      <c r="E16" s="158"/>
      <c r="F16" s="158"/>
      <c r="G16" s="158"/>
      <c r="H16" s="158"/>
      <c r="I16" s="158"/>
      <c r="J16" s="158"/>
      <c r="K16" s="158"/>
      <c r="L16" s="158"/>
      <c r="M16" s="158"/>
      <c r="U16" s="168" t="s">
        <v>201</v>
      </c>
      <c r="V16" s="169">
        <f>0.1*9</f>
        <v>0.9</v>
      </c>
      <c r="W16" s="162" t="s">
        <v>202</v>
      </c>
      <c r="X16" s="162" t="s">
        <v>203</v>
      </c>
      <c r="Y16" s="169">
        <v>2023</v>
      </c>
      <c r="Z16" s="158"/>
      <c r="AA16" s="158"/>
      <c r="AB16" s="158"/>
      <c r="AC16" s="158"/>
      <c r="AD16" s="158"/>
      <c r="AE16" s="158"/>
      <c r="AF16" s="158"/>
    </row>
    <row r="17" spans="1:32" ht="14.25" customHeight="1" thickBot="1">
      <c r="A17" s="158"/>
      <c r="B17" s="162">
        <v>6.2</v>
      </c>
      <c r="C17" s="163">
        <v>0</v>
      </c>
      <c r="D17" s="158"/>
      <c r="E17" s="158"/>
      <c r="F17" s="158"/>
      <c r="G17" s="158"/>
      <c r="H17" s="158"/>
      <c r="I17" s="158"/>
      <c r="J17" s="158"/>
      <c r="K17" s="158"/>
      <c r="L17" s="158"/>
      <c r="M17" s="158"/>
      <c r="U17" s="434" t="s">
        <v>7</v>
      </c>
      <c r="V17" s="435">
        <f>SUM(V13:V16)</f>
        <v>4.4000000000000004</v>
      </c>
      <c r="W17" s="158"/>
      <c r="X17" s="158"/>
      <c r="Y17" s="158"/>
      <c r="Z17" s="158"/>
      <c r="AA17" s="158"/>
      <c r="AB17" s="158"/>
      <c r="AC17" s="158"/>
      <c r="AD17" s="158"/>
      <c r="AE17" s="158"/>
      <c r="AF17" s="158"/>
    </row>
    <row r="18" spans="1:32" ht="14.25" customHeight="1" thickBot="1">
      <c r="A18" s="158"/>
      <c r="B18" s="162">
        <v>6.3</v>
      </c>
      <c r="C18" s="163">
        <v>1.7127042968899999</v>
      </c>
      <c r="D18" s="158"/>
      <c r="E18" s="158"/>
      <c r="F18" s="158"/>
      <c r="G18" s="158"/>
      <c r="H18" s="158"/>
      <c r="I18" s="158"/>
      <c r="J18" s="158"/>
      <c r="K18" s="158"/>
      <c r="L18" s="158"/>
      <c r="M18" s="158"/>
      <c r="U18" s="158"/>
      <c r="V18" s="165">
        <f>V17/ 38309</f>
        <v>1.1485551698034406E-4</v>
      </c>
      <c r="W18" s="166" t="s">
        <v>190</v>
      </c>
      <c r="X18" s="166"/>
      <c r="Y18" s="158"/>
      <c r="Z18" s="158"/>
      <c r="AA18" s="158"/>
      <c r="AB18" s="158"/>
      <c r="AC18" s="158"/>
      <c r="AD18" s="158"/>
      <c r="AE18" s="158"/>
      <c r="AF18" s="158"/>
    </row>
    <row r="19" spans="1:32" ht="14.25" customHeight="1">
      <c r="A19" s="158"/>
      <c r="B19" s="162">
        <v>6.4</v>
      </c>
      <c r="C19" s="163">
        <v>0</v>
      </c>
      <c r="D19" s="158"/>
      <c r="E19" s="158"/>
      <c r="F19" s="158"/>
      <c r="G19" s="158"/>
      <c r="H19" s="158"/>
      <c r="I19" s="158"/>
      <c r="J19" s="158"/>
      <c r="K19" s="158"/>
      <c r="L19" s="158"/>
      <c r="M19" s="158"/>
      <c r="U19" s="158"/>
      <c r="V19" s="158"/>
      <c r="W19" s="158"/>
      <c r="X19" s="158"/>
      <c r="Y19" s="158"/>
      <c r="Z19" s="158"/>
      <c r="AA19" s="158"/>
      <c r="AB19" s="158"/>
      <c r="AC19" s="158"/>
      <c r="AD19" s="158"/>
      <c r="AE19" s="158"/>
      <c r="AF19" s="158"/>
    </row>
    <row r="20" spans="1:32" ht="14.25" customHeight="1">
      <c r="A20" s="158"/>
      <c r="B20" s="162">
        <v>6.5</v>
      </c>
      <c r="C20" s="163">
        <v>0</v>
      </c>
      <c r="D20" s="158"/>
      <c r="E20" s="158"/>
      <c r="F20" s="158"/>
      <c r="G20" s="158"/>
      <c r="H20" s="158"/>
      <c r="I20" s="158"/>
      <c r="J20" s="158"/>
      <c r="K20" s="158"/>
      <c r="L20" s="158"/>
      <c r="M20" s="158"/>
      <c r="U20" s="432" t="s">
        <v>7</v>
      </c>
      <c r="V20" s="369"/>
      <c r="W20" s="166"/>
      <c r="X20" s="166"/>
      <c r="Y20" s="158"/>
      <c r="Z20" s="158"/>
      <c r="AA20" s="158"/>
      <c r="AB20" s="158"/>
      <c r="AC20" s="158"/>
      <c r="AD20" s="158"/>
      <c r="AE20" s="158"/>
      <c r="AF20" s="158"/>
    </row>
    <row r="21" spans="1:32" ht="14.25" customHeight="1" thickBot="1">
      <c r="A21" s="158"/>
      <c r="B21" s="164" t="s">
        <v>7</v>
      </c>
      <c r="C21" s="433">
        <f>SUM(C7:C20)</f>
        <v>19.101893420707999</v>
      </c>
      <c r="D21" s="158"/>
      <c r="E21" s="158"/>
      <c r="F21" s="158"/>
      <c r="G21" s="158"/>
      <c r="H21" s="158"/>
      <c r="I21" s="158"/>
      <c r="J21" s="158"/>
      <c r="K21" s="158"/>
      <c r="L21" s="158"/>
      <c r="M21" s="158"/>
      <c r="U21" s="167" t="s">
        <v>204</v>
      </c>
      <c r="V21" s="167" t="s">
        <v>188</v>
      </c>
      <c r="W21" s="166"/>
      <c r="X21" s="166"/>
      <c r="Y21" s="158"/>
      <c r="Z21" s="158"/>
      <c r="AA21" s="158"/>
      <c r="AB21" s="158"/>
      <c r="AC21" s="158"/>
      <c r="AD21" s="158"/>
      <c r="AE21" s="158"/>
      <c r="AF21" s="158"/>
    </row>
    <row r="22" spans="1:32" ht="14.25" customHeight="1" thickBot="1">
      <c r="A22" s="158"/>
      <c r="B22" s="158"/>
      <c r="C22" s="170">
        <f>C21/ 38309</f>
        <v>4.9862678275882949E-4</v>
      </c>
      <c r="D22" s="166" t="s">
        <v>190</v>
      </c>
      <c r="E22" s="166"/>
      <c r="F22" s="158"/>
      <c r="G22" s="158"/>
      <c r="H22" s="158"/>
      <c r="I22" s="158"/>
      <c r="J22" s="158"/>
      <c r="K22" s="158"/>
      <c r="L22" s="158"/>
      <c r="M22" s="158"/>
      <c r="U22" s="160" t="s">
        <v>205</v>
      </c>
      <c r="V22" s="171">
        <f>V8</f>
        <v>33</v>
      </c>
      <c r="W22" s="166"/>
      <c r="X22" s="166"/>
      <c r="Y22" s="158"/>
      <c r="Z22" s="158"/>
      <c r="AA22" s="158"/>
      <c r="AB22" s="158"/>
      <c r="AC22" s="158"/>
      <c r="AD22" s="158"/>
      <c r="AE22" s="158"/>
      <c r="AF22" s="158"/>
    </row>
    <row r="23" spans="1:32" ht="14.25" customHeight="1">
      <c r="A23" s="158"/>
      <c r="B23" s="158"/>
      <c r="C23" s="158"/>
      <c r="D23" s="158"/>
      <c r="E23" s="158"/>
      <c r="F23" s="158"/>
      <c r="G23" s="158"/>
      <c r="H23" s="158"/>
      <c r="I23" s="158"/>
      <c r="J23" s="158"/>
      <c r="K23" s="158"/>
      <c r="L23" s="158"/>
      <c r="M23" s="158"/>
      <c r="U23" s="162" t="s">
        <v>206</v>
      </c>
      <c r="V23" s="172">
        <f>V17</f>
        <v>4.4000000000000004</v>
      </c>
      <c r="W23" s="166"/>
      <c r="X23" s="166"/>
      <c r="Y23" s="158"/>
      <c r="Z23" s="158"/>
      <c r="AA23" s="158"/>
      <c r="AB23" s="158"/>
      <c r="AC23" s="158"/>
      <c r="AD23" s="158"/>
      <c r="AE23" s="158"/>
      <c r="AF23" s="158"/>
    </row>
    <row r="24" spans="1:32" ht="14.25" customHeight="1" thickBot="1">
      <c r="A24" s="158"/>
      <c r="B24" s="432" t="s">
        <v>207</v>
      </c>
      <c r="C24" s="389"/>
      <c r="D24" s="389"/>
      <c r="E24" s="389"/>
      <c r="F24" s="369"/>
      <c r="G24" s="158"/>
      <c r="H24" s="158"/>
      <c r="I24" s="158"/>
      <c r="J24" s="158"/>
      <c r="K24" s="158"/>
      <c r="L24" s="158"/>
      <c r="M24" s="158"/>
      <c r="U24" s="173" t="s">
        <v>208</v>
      </c>
      <c r="V24" s="436">
        <f>SUM(V22:V23)</f>
        <v>37.4</v>
      </c>
      <c r="W24" s="174" t="s">
        <v>209</v>
      </c>
      <c r="X24" s="175"/>
      <c r="Y24" s="158"/>
      <c r="Z24" s="158"/>
      <c r="AA24" s="158"/>
      <c r="AB24" s="158"/>
      <c r="AC24" s="158"/>
      <c r="AD24" s="158"/>
      <c r="AE24" s="158"/>
      <c r="AF24" s="158"/>
    </row>
    <row r="25" spans="1:32" ht="14.25" customHeight="1" thickBot="1">
      <c r="A25" s="158"/>
      <c r="B25" s="167" t="s">
        <v>192</v>
      </c>
      <c r="C25" s="167" t="s">
        <v>188</v>
      </c>
      <c r="D25" s="167" t="s">
        <v>193</v>
      </c>
      <c r="E25" s="167" t="s">
        <v>194</v>
      </c>
      <c r="F25" s="167" t="s">
        <v>195</v>
      </c>
      <c r="G25" s="158"/>
      <c r="H25" s="158"/>
      <c r="I25" s="158"/>
      <c r="J25" s="158"/>
      <c r="K25" s="158"/>
      <c r="L25" s="158"/>
      <c r="M25" s="158"/>
      <c r="U25" s="166" t="s">
        <v>190</v>
      </c>
      <c r="V25" s="176">
        <f>V24/ 38309</f>
        <v>9.7627189433292436E-4</v>
      </c>
      <c r="X25" s="177"/>
      <c r="Y25" s="158"/>
      <c r="Z25" s="158"/>
      <c r="AA25" s="158"/>
      <c r="AB25" s="158"/>
      <c r="AC25" s="158"/>
      <c r="AD25" s="158"/>
      <c r="AE25" s="158"/>
      <c r="AF25" s="158"/>
    </row>
    <row r="26" spans="1:32" ht="14.25" customHeight="1">
      <c r="A26" s="158"/>
      <c r="B26" s="168">
        <v>43</v>
      </c>
      <c r="C26" s="169">
        <v>2</v>
      </c>
      <c r="D26" s="162" t="s">
        <v>196</v>
      </c>
      <c r="E26" s="162" t="s">
        <v>197</v>
      </c>
      <c r="F26" s="169" t="s">
        <v>210</v>
      </c>
      <c r="G26" s="158"/>
      <c r="H26" s="158"/>
      <c r="I26" s="158"/>
      <c r="J26" s="158"/>
      <c r="K26" s="158"/>
      <c r="L26" s="158"/>
      <c r="M26" s="158"/>
      <c r="U26" s="158"/>
      <c r="V26" s="158"/>
      <c r="W26" s="158"/>
      <c r="X26" s="178"/>
      <c r="Y26" s="158"/>
      <c r="Z26" s="158"/>
      <c r="AA26" s="158"/>
      <c r="AB26" s="158"/>
      <c r="AC26" s="158"/>
      <c r="AD26" s="158"/>
      <c r="AE26" s="158"/>
      <c r="AF26" s="158"/>
    </row>
    <row r="27" spans="1:32" ht="14.25" customHeight="1">
      <c r="A27" s="158"/>
      <c r="B27" s="168">
        <v>42</v>
      </c>
      <c r="C27" s="169">
        <v>1</v>
      </c>
      <c r="D27" s="162" t="s">
        <v>198</v>
      </c>
      <c r="E27" s="162" t="s">
        <v>199</v>
      </c>
      <c r="F27" s="169" t="s">
        <v>210</v>
      </c>
      <c r="G27" s="158"/>
      <c r="H27" s="158"/>
      <c r="I27" s="158"/>
      <c r="J27" s="158"/>
      <c r="K27" s="158"/>
      <c r="L27" s="158"/>
      <c r="M27" s="158"/>
      <c r="U27" s="158"/>
      <c r="V27" s="158"/>
      <c r="W27" s="158"/>
      <c r="X27" s="158"/>
      <c r="Y27" s="158"/>
      <c r="Z27" s="158"/>
      <c r="AA27" s="158"/>
      <c r="AB27" s="158"/>
      <c r="AC27" s="158"/>
      <c r="AD27" s="158"/>
      <c r="AE27" s="158"/>
      <c r="AF27" s="158"/>
    </row>
    <row r="28" spans="1:32" ht="14.25" customHeight="1">
      <c r="A28" s="158"/>
      <c r="B28" s="168">
        <v>36</v>
      </c>
      <c r="C28" s="169">
        <v>0.5</v>
      </c>
      <c r="D28" s="162" t="s">
        <v>198</v>
      </c>
      <c r="E28" s="162" t="s">
        <v>200</v>
      </c>
      <c r="F28" s="169" t="s">
        <v>210</v>
      </c>
      <c r="G28" s="158"/>
      <c r="H28" s="158"/>
      <c r="I28" s="158"/>
      <c r="J28" s="158"/>
      <c r="K28" s="158"/>
      <c r="L28" s="158"/>
      <c r="M28" s="158"/>
      <c r="U28" s="158"/>
      <c r="V28" s="158"/>
      <c r="W28" s="158"/>
      <c r="X28" s="158"/>
      <c r="Y28" s="158"/>
      <c r="Z28" s="158"/>
      <c r="AA28" s="158"/>
      <c r="AB28" s="158"/>
      <c r="AC28" s="158"/>
      <c r="AD28" s="158"/>
      <c r="AE28" s="158"/>
      <c r="AF28" s="158"/>
    </row>
    <row r="29" spans="1:32" ht="14.25" customHeight="1">
      <c r="A29" s="158"/>
      <c r="B29" s="162">
        <v>5</v>
      </c>
      <c r="C29" s="169">
        <f>0.1*9</f>
        <v>0.9</v>
      </c>
      <c r="D29" s="162" t="s">
        <v>202</v>
      </c>
      <c r="E29" s="162" t="s">
        <v>203</v>
      </c>
      <c r="F29" s="169" t="s">
        <v>210</v>
      </c>
      <c r="G29" s="158"/>
      <c r="H29" s="158"/>
      <c r="I29" s="158"/>
      <c r="J29" s="158"/>
      <c r="K29" s="158"/>
      <c r="L29" s="158"/>
      <c r="M29" s="158"/>
      <c r="U29" s="158"/>
      <c r="V29" s="158"/>
      <c r="W29" s="158"/>
      <c r="X29" s="158"/>
      <c r="Y29" s="158"/>
      <c r="Z29" s="158"/>
      <c r="AA29" s="158"/>
      <c r="AB29" s="158"/>
      <c r="AC29" s="158"/>
      <c r="AD29" s="158"/>
      <c r="AE29" s="158"/>
      <c r="AF29" s="158"/>
    </row>
    <row r="30" spans="1:32" ht="14.25" customHeight="1" thickBot="1">
      <c r="A30" s="158"/>
      <c r="B30" s="434" t="s">
        <v>7</v>
      </c>
      <c r="C30" s="437">
        <f>SUM(C26:C29)</f>
        <v>4.4000000000000004</v>
      </c>
      <c r="D30" s="158"/>
      <c r="E30" s="158"/>
      <c r="F30" s="158"/>
      <c r="G30" s="158"/>
      <c r="H30" s="158"/>
      <c r="I30" s="158"/>
      <c r="J30" s="158"/>
      <c r="K30" s="158"/>
      <c r="L30" s="158"/>
      <c r="M30" s="158"/>
      <c r="U30" s="158"/>
      <c r="V30" s="158"/>
      <c r="W30" s="158"/>
      <c r="X30" s="158"/>
      <c r="Y30" s="158"/>
      <c r="Z30" s="158"/>
      <c r="AA30" s="158"/>
      <c r="AB30" s="158"/>
      <c r="AC30" s="158"/>
      <c r="AD30" s="158"/>
      <c r="AE30" s="158"/>
      <c r="AF30" s="158"/>
    </row>
    <row r="31" spans="1:32" ht="14.25" customHeight="1" thickBot="1">
      <c r="A31" s="158"/>
      <c r="B31" s="158"/>
      <c r="C31" s="170">
        <f>C30/ 38309</f>
        <v>1.1485551698034406E-4</v>
      </c>
      <c r="D31" s="166" t="s">
        <v>190</v>
      </c>
      <c r="E31" s="166"/>
      <c r="F31" s="158"/>
      <c r="G31" s="158"/>
      <c r="H31" s="158"/>
      <c r="I31" s="158"/>
      <c r="J31" s="158"/>
      <c r="K31" s="158"/>
      <c r="L31" s="158"/>
      <c r="M31" s="158"/>
      <c r="U31" s="158"/>
      <c r="V31" s="158"/>
      <c r="W31" s="158"/>
      <c r="X31" s="158"/>
      <c r="Y31" s="158"/>
      <c r="Z31" s="158"/>
      <c r="AA31" s="158"/>
      <c r="AB31" s="158"/>
      <c r="AC31" s="158"/>
      <c r="AD31" s="158"/>
      <c r="AE31" s="158"/>
      <c r="AF31" s="158"/>
    </row>
    <row r="32" spans="1:32" ht="14.25" customHeight="1">
      <c r="A32" s="158"/>
      <c r="B32" s="158"/>
      <c r="C32" s="158"/>
      <c r="D32" s="158"/>
      <c r="E32" s="158"/>
      <c r="F32" s="158"/>
      <c r="G32" s="158"/>
      <c r="H32" s="158"/>
      <c r="I32" s="158"/>
      <c r="J32" s="158"/>
      <c r="K32" s="158"/>
      <c r="L32" s="158"/>
      <c r="M32" s="158"/>
      <c r="U32" s="158"/>
      <c r="V32" s="158"/>
      <c r="W32" s="158"/>
      <c r="X32" s="158"/>
      <c r="Y32" s="158"/>
      <c r="Z32" s="158"/>
      <c r="AA32" s="158"/>
      <c r="AB32" s="158"/>
      <c r="AC32" s="158"/>
      <c r="AD32" s="158"/>
      <c r="AE32" s="158"/>
      <c r="AF32" s="158"/>
    </row>
    <row r="33" spans="1:36" ht="33" customHeight="1">
      <c r="A33" s="158"/>
      <c r="B33" s="438" t="s">
        <v>211</v>
      </c>
      <c r="C33" s="369"/>
      <c r="D33" s="166"/>
      <c r="E33" s="166"/>
      <c r="F33" s="158"/>
      <c r="G33" s="158"/>
      <c r="H33" s="158"/>
      <c r="I33" s="158"/>
      <c r="J33" s="158"/>
      <c r="K33" s="158"/>
      <c r="L33" s="158"/>
      <c r="M33" s="158"/>
      <c r="U33" s="158"/>
      <c r="V33" s="158"/>
      <c r="W33" s="158"/>
      <c r="X33" s="158"/>
      <c r="Y33" s="158"/>
      <c r="Z33" s="158"/>
      <c r="AA33" s="158"/>
      <c r="AB33" s="158"/>
      <c r="AC33" s="158"/>
      <c r="AD33" s="158"/>
      <c r="AE33" s="158"/>
      <c r="AF33" s="158"/>
    </row>
    <row r="34" spans="1:36" ht="14.25" customHeight="1">
      <c r="A34" s="158"/>
      <c r="B34" s="167" t="s">
        <v>204</v>
      </c>
      <c r="C34" s="167" t="s">
        <v>188</v>
      </c>
      <c r="D34" s="166"/>
      <c r="E34" s="166"/>
      <c r="F34" s="158"/>
      <c r="G34" s="158"/>
      <c r="H34" s="158"/>
      <c r="I34" s="158"/>
      <c r="J34" s="158"/>
      <c r="K34" s="158"/>
      <c r="L34" s="158"/>
      <c r="M34" s="158"/>
      <c r="U34" s="158"/>
      <c r="V34" s="158"/>
      <c r="W34" s="158"/>
      <c r="X34" s="158"/>
      <c r="Y34" s="158"/>
      <c r="Z34" s="158"/>
      <c r="AA34" s="158"/>
      <c r="AB34" s="158"/>
      <c r="AC34" s="158"/>
      <c r="AD34" s="158"/>
      <c r="AE34" s="158"/>
      <c r="AF34" s="158"/>
    </row>
    <row r="35" spans="1:36" ht="14.25" customHeight="1">
      <c r="A35" s="158"/>
      <c r="B35" s="160" t="s">
        <v>205</v>
      </c>
      <c r="C35" s="171">
        <f>C21</f>
        <v>19.101893420707999</v>
      </c>
      <c r="D35" s="166"/>
      <c r="E35" s="166"/>
      <c r="F35" s="158"/>
      <c r="G35" s="158"/>
      <c r="H35" s="158"/>
      <c r="I35" s="158"/>
      <c r="J35" s="158"/>
      <c r="K35" s="158"/>
      <c r="L35" s="158"/>
      <c r="M35" s="158"/>
      <c r="U35" s="158"/>
      <c r="V35" s="158"/>
      <c r="W35" s="158"/>
      <c r="X35" s="158"/>
      <c r="Y35" s="158"/>
      <c r="Z35" s="158"/>
      <c r="AA35" s="158"/>
      <c r="AB35" s="158"/>
      <c r="AC35" s="158"/>
      <c r="AD35" s="158"/>
      <c r="AE35" s="158"/>
      <c r="AF35" s="158"/>
    </row>
    <row r="36" spans="1:36" ht="14.25" customHeight="1">
      <c r="A36" s="158"/>
      <c r="B36" s="162" t="s">
        <v>206</v>
      </c>
      <c r="C36" s="172">
        <f>C30</f>
        <v>4.4000000000000004</v>
      </c>
      <c r="D36" s="166"/>
      <c r="E36" s="166"/>
      <c r="F36" s="158"/>
      <c r="G36" s="158"/>
      <c r="H36" s="158"/>
      <c r="I36" s="158"/>
      <c r="J36" s="158"/>
      <c r="K36" s="158"/>
      <c r="L36" s="158"/>
      <c r="M36" s="158"/>
      <c r="U36" s="158"/>
      <c r="V36" s="158"/>
      <c r="W36" s="158"/>
      <c r="X36" s="158"/>
      <c r="Y36" s="158"/>
      <c r="Z36" s="158"/>
      <c r="AA36" s="158"/>
      <c r="AB36" s="158"/>
      <c r="AC36" s="158"/>
      <c r="AD36" s="158"/>
      <c r="AE36" s="158"/>
      <c r="AF36" s="158"/>
    </row>
    <row r="37" spans="1:36" ht="14.25" customHeight="1" thickBot="1">
      <c r="A37" s="158"/>
      <c r="B37" s="173" t="s">
        <v>212</v>
      </c>
      <c r="C37" s="436">
        <f>SUM(C35:C36)</f>
        <v>23.501893420708001</v>
      </c>
      <c r="D37" s="174" t="s">
        <v>209</v>
      </c>
      <c r="E37" s="166"/>
      <c r="F37" s="158"/>
      <c r="G37" s="158"/>
      <c r="H37" s="158"/>
      <c r="I37" s="158"/>
      <c r="J37" s="158"/>
      <c r="K37" s="158"/>
      <c r="L37" s="158"/>
      <c r="M37" s="158"/>
      <c r="U37" s="158"/>
      <c r="V37" s="158"/>
      <c r="W37" s="158"/>
      <c r="X37" s="158"/>
      <c r="Y37" s="158"/>
      <c r="Z37" s="158"/>
      <c r="AA37" s="158"/>
      <c r="AB37" s="158"/>
      <c r="AC37" s="158"/>
      <c r="AD37" s="158"/>
      <c r="AE37" s="158"/>
      <c r="AF37" s="158"/>
    </row>
    <row r="38" spans="1:36" ht="14.25" customHeight="1" thickBot="1">
      <c r="A38" s="158"/>
      <c r="B38" s="166" t="s">
        <v>190</v>
      </c>
      <c r="C38" s="176">
        <f>C37/ 38309</f>
        <v>6.1348229973917363E-4</v>
      </c>
      <c r="E38" s="166"/>
      <c r="F38" s="158"/>
      <c r="G38" s="158"/>
      <c r="H38" s="158"/>
      <c r="I38" s="158"/>
      <c r="J38" s="158"/>
      <c r="K38" s="158"/>
      <c r="L38" s="158"/>
      <c r="M38" s="158"/>
    </row>
    <row r="39" spans="1:36" ht="14.25" customHeight="1">
      <c r="A39" s="158"/>
      <c r="B39" s="158"/>
      <c r="C39" s="158"/>
      <c r="D39" s="158"/>
      <c r="E39" s="158"/>
      <c r="F39" s="158"/>
      <c r="G39" s="158"/>
      <c r="H39" s="158"/>
      <c r="I39" s="158"/>
      <c r="J39" s="158"/>
      <c r="K39" s="158"/>
      <c r="L39" s="158"/>
      <c r="M39" s="158"/>
    </row>
    <row r="40" spans="1:36" ht="14.25" customHeight="1">
      <c r="A40" s="158"/>
      <c r="B40" s="158"/>
      <c r="C40" s="158"/>
      <c r="D40" s="158"/>
      <c r="E40" s="158"/>
      <c r="F40" s="158"/>
      <c r="G40" s="158"/>
      <c r="H40" s="158"/>
      <c r="I40" s="158"/>
      <c r="J40" s="158"/>
      <c r="K40" s="158"/>
      <c r="L40" s="158"/>
      <c r="M40" s="158"/>
    </row>
    <row r="41" spans="1:36" ht="14.25" customHeight="1">
      <c r="A41" s="158"/>
      <c r="B41" s="158"/>
      <c r="C41" s="158"/>
      <c r="D41" s="158"/>
      <c r="E41" s="158"/>
      <c r="F41" s="158"/>
      <c r="G41" s="158"/>
      <c r="H41" s="158"/>
      <c r="I41" s="158"/>
      <c r="J41" s="158"/>
      <c r="K41" s="158"/>
      <c r="L41" s="158"/>
      <c r="M41" s="158"/>
    </row>
    <row r="42" spans="1:36" ht="14.25" customHeight="1">
      <c r="A42" s="158"/>
      <c r="M42" s="158"/>
    </row>
    <row r="43" spans="1:36" ht="28.9">
      <c r="A43" s="158"/>
      <c r="B43" s="158"/>
      <c r="C43" s="158"/>
      <c r="D43" s="158"/>
      <c r="E43" s="158"/>
      <c r="F43" s="158"/>
      <c r="G43" s="158"/>
      <c r="H43" s="158"/>
      <c r="I43" s="158"/>
      <c r="J43" s="158"/>
      <c r="K43" s="158"/>
      <c r="L43" s="158"/>
      <c r="M43" s="158"/>
      <c r="N43" s="158"/>
      <c r="O43" s="158"/>
      <c r="P43" s="158"/>
      <c r="Q43" s="158"/>
      <c r="U43" s="429" t="s">
        <v>213</v>
      </c>
      <c r="V43" s="430"/>
      <c r="W43" s="430"/>
      <c r="X43" s="430"/>
      <c r="Y43" s="430"/>
      <c r="Z43" s="430"/>
      <c r="AA43" s="430"/>
      <c r="AB43" s="430"/>
      <c r="AC43" s="430"/>
      <c r="AD43" s="430"/>
      <c r="AE43" s="430"/>
      <c r="AF43" s="430"/>
      <c r="AG43" s="430"/>
      <c r="AH43" s="430"/>
      <c r="AI43" s="430"/>
      <c r="AJ43" s="431"/>
    </row>
    <row r="44" spans="1:36" ht="14.25" customHeight="1">
      <c r="A44" s="158"/>
      <c r="B44" s="158"/>
      <c r="C44" s="158"/>
      <c r="D44" s="158"/>
      <c r="E44" s="158"/>
      <c r="F44" s="158"/>
      <c r="G44" s="158"/>
      <c r="H44" s="158"/>
      <c r="I44" s="158"/>
      <c r="J44" s="158"/>
      <c r="K44" s="158"/>
      <c r="L44" s="158"/>
      <c r="M44" s="158"/>
      <c r="N44" s="158"/>
      <c r="O44" s="158"/>
      <c r="P44" s="158"/>
      <c r="Q44" s="158"/>
    </row>
    <row r="45" spans="1:36" ht="14.25" customHeight="1">
      <c r="A45" s="158"/>
      <c r="B45" s="158"/>
      <c r="C45" s="158"/>
      <c r="D45" s="158"/>
      <c r="E45" s="158"/>
      <c r="F45" s="158"/>
      <c r="G45" s="158"/>
      <c r="H45" s="158"/>
      <c r="I45" s="158"/>
      <c r="J45" s="158"/>
      <c r="K45" s="158"/>
      <c r="L45" s="158"/>
      <c r="M45" s="158"/>
      <c r="N45" s="158"/>
      <c r="O45" s="158"/>
      <c r="P45" s="158"/>
      <c r="Q45" s="158"/>
    </row>
    <row r="46" spans="1:36" ht="15" customHeight="1">
      <c r="B46" s="158"/>
      <c r="C46" s="158"/>
      <c r="D46" s="158"/>
      <c r="E46" s="158"/>
      <c r="F46" s="158"/>
      <c r="G46" s="158"/>
      <c r="H46" s="158"/>
      <c r="I46" s="158"/>
      <c r="J46" s="158"/>
      <c r="K46" s="158"/>
      <c r="L46" s="158"/>
      <c r="M46" s="158"/>
      <c r="N46" s="158"/>
      <c r="O46" s="158"/>
      <c r="P46" s="158"/>
      <c r="Q46" s="158"/>
    </row>
    <row r="47" spans="1:36" ht="15" customHeight="1">
      <c r="B47" s="158"/>
      <c r="C47" s="158"/>
      <c r="D47" s="158"/>
      <c r="E47" s="158"/>
      <c r="F47" s="158"/>
      <c r="G47" s="158"/>
      <c r="H47" s="158"/>
      <c r="I47" s="158"/>
      <c r="J47" s="158"/>
      <c r="K47" s="158"/>
      <c r="L47" s="158"/>
      <c r="M47" s="158"/>
      <c r="N47" s="158"/>
      <c r="O47" s="158"/>
      <c r="P47" s="158"/>
      <c r="Q47" s="158"/>
    </row>
    <row r="48" spans="1:36" ht="15" customHeight="1">
      <c r="B48" s="158"/>
      <c r="C48" s="158"/>
      <c r="D48" s="158"/>
      <c r="E48" s="158"/>
      <c r="F48" s="158"/>
      <c r="G48" s="158"/>
      <c r="H48" s="158"/>
      <c r="I48" s="158"/>
      <c r="J48" s="158"/>
      <c r="K48" s="158"/>
      <c r="L48" s="158"/>
      <c r="M48" s="158"/>
      <c r="N48" s="158"/>
      <c r="O48" s="158"/>
      <c r="P48" s="158"/>
      <c r="Q48" s="158"/>
    </row>
    <row r="49" spans="2:25" ht="15" customHeight="1">
      <c r="B49" s="158"/>
      <c r="C49" s="158"/>
      <c r="D49" s="158"/>
      <c r="E49" s="158"/>
      <c r="F49" s="158"/>
      <c r="G49" s="158"/>
      <c r="H49" s="158"/>
      <c r="I49" s="158"/>
      <c r="J49" s="158"/>
      <c r="K49" s="158"/>
      <c r="L49" s="158"/>
      <c r="M49" s="158"/>
      <c r="N49" s="158"/>
      <c r="O49" s="158"/>
      <c r="P49" s="158"/>
      <c r="Q49" s="158"/>
    </row>
    <row r="50" spans="2:25" ht="15" customHeight="1">
      <c r="B50" s="158"/>
      <c r="C50" s="158"/>
      <c r="D50" s="158"/>
      <c r="E50" s="158"/>
      <c r="F50" s="158"/>
      <c r="G50" s="158"/>
      <c r="H50" s="158"/>
      <c r="I50" s="158"/>
      <c r="J50" s="158"/>
      <c r="K50" s="158"/>
      <c r="L50" s="158"/>
      <c r="M50" s="158"/>
      <c r="N50" s="158"/>
      <c r="O50" s="158"/>
      <c r="P50" s="158"/>
      <c r="Q50" s="158"/>
    </row>
    <row r="51" spans="2:25" ht="15" customHeight="1">
      <c r="B51" s="158"/>
      <c r="C51" s="158"/>
      <c r="D51" s="158"/>
      <c r="E51" s="158"/>
      <c r="F51" s="158"/>
      <c r="G51" s="158"/>
      <c r="H51" s="158"/>
      <c r="I51" s="158"/>
      <c r="J51" s="158"/>
      <c r="K51" s="158"/>
      <c r="L51" s="158"/>
      <c r="M51" s="158"/>
      <c r="N51" s="158"/>
      <c r="O51" s="158"/>
      <c r="P51" s="158"/>
      <c r="Q51" s="158"/>
    </row>
    <row r="52" spans="2:25" ht="15" customHeight="1">
      <c r="B52" s="158"/>
      <c r="C52" s="158"/>
      <c r="D52" s="158"/>
      <c r="E52" s="158"/>
      <c r="F52" s="158"/>
      <c r="G52" s="158"/>
      <c r="H52" s="158"/>
      <c r="I52" s="158"/>
      <c r="J52" s="158"/>
      <c r="K52" s="158"/>
      <c r="L52" s="158"/>
      <c r="M52" s="158"/>
      <c r="N52" s="158"/>
      <c r="O52" s="158"/>
      <c r="P52" s="158"/>
      <c r="Q52" s="158"/>
    </row>
    <row r="53" spans="2:25" ht="14.45">
      <c r="B53" s="158"/>
      <c r="C53" s="158"/>
      <c r="D53" s="158"/>
      <c r="E53" s="158"/>
      <c r="F53" s="158"/>
      <c r="G53" s="158"/>
      <c r="H53" s="158"/>
      <c r="I53" s="158"/>
      <c r="J53" s="158"/>
      <c r="K53" s="158"/>
      <c r="L53" s="158"/>
      <c r="M53" s="158"/>
      <c r="N53" s="158"/>
      <c r="O53" s="158"/>
      <c r="P53" s="158"/>
      <c r="Q53" s="158"/>
    </row>
    <row r="54" spans="2:25" ht="43.15">
      <c r="B54" s="158"/>
      <c r="C54" s="158"/>
      <c r="D54" s="158"/>
      <c r="E54" s="158"/>
      <c r="F54" s="158"/>
      <c r="G54" s="158"/>
      <c r="H54" s="158"/>
      <c r="I54" s="158"/>
      <c r="J54" s="158"/>
      <c r="K54" s="158"/>
      <c r="L54" s="158"/>
      <c r="M54" s="158"/>
      <c r="N54" s="158"/>
      <c r="O54" s="158"/>
      <c r="P54" s="158"/>
      <c r="Q54" s="158"/>
      <c r="U54" s="285" t="s">
        <v>214</v>
      </c>
      <c r="V54" s="286">
        <f>Y54*Bibliography!$D$6</f>
        <v>143.423</v>
      </c>
      <c r="X54" s="287" t="s">
        <v>215</v>
      </c>
      <c r="Y54" s="288">
        <v>292.7</v>
      </c>
    </row>
    <row r="55" spans="2:25" ht="28.9">
      <c r="B55" s="158"/>
      <c r="C55" s="158"/>
      <c r="D55" s="158"/>
      <c r="E55" s="158"/>
      <c r="F55" s="158"/>
      <c r="G55" s="158"/>
      <c r="H55" s="158"/>
      <c r="I55" s="158"/>
      <c r="J55" s="158"/>
      <c r="K55" s="158"/>
      <c r="L55" s="158"/>
      <c r="M55" s="158"/>
      <c r="N55" s="158"/>
      <c r="O55" s="158"/>
      <c r="P55" s="158"/>
      <c r="Q55" s="158"/>
      <c r="U55" s="285" t="s">
        <v>216</v>
      </c>
      <c r="V55" s="286">
        <f>V24*V54</f>
        <v>5364.0201999999999</v>
      </c>
    </row>
    <row r="56" spans="2:25" ht="15" customHeight="1">
      <c r="B56" s="158"/>
      <c r="C56" s="158"/>
      <c r="D56" s="158"/>
      <c r="E56" s="158"/>
      <c r="F56" s="158"/>
      <c r="G56" s="158"/>
      <c r="H56" s="158"/>
      <c r="I56" s="158"/>
      <c r="J56" s="158"/>
      <c r="K56" s="158"/>
      <c r="L56" s="158"/>
      <c r="M56" s="158"/>
      <c r="N56" s="158"/>
      <c r="O56" s="158"/>
      <c r="P56" s="158"/>
      <c r="Q56" s="158"/>
    </row>
    <row r="57" spans="2:25" thickBot="1">
      <c r="B57" s="158"/>
      <c r="C57" s="158"/>
      <c r="D57" s="158"/>
      <c r="E57" s="158"/>
      <c r="F57" s="158"/>
      <c r="G57" s="158"/>
      <c r="H57" s="158"/>
      <c r="I57" s="158"/>
      <c r="J57" s="158"/>
      <c r="K57" s="158"/>
      <c r="L57" s="158"/>
      <c r="M57" s="158"/>
      <c r="N57" s="158"/>
      <c r="O57" s="158"/>
      <c r="P57" s="158"/>
      <c r="Q57" s="158"/>
    </row>
    <row r="58" spans="2:25" ht="27" customHeight="1" thickBot="1">
      <c r="B58" s="158"/>
      <c r="C58" s="158"/>
      <c r="D58" s="158"/>
      <c r="E58" s="158"/>
      <c r="F58" s="158"/>
      <c r="G58" s="158"/>
      <c r="H58" s="158"/>
      <c r="I58" s="158"/>
      <c r="J58" s="158"/>
      <c r="K58" s="158"/>
      <c r="L58" s="158"/>
      <c r="M58" s="158"/>
      <c r="N58" s="158"/>
      <c r="O58" s="158"/>
      <c r="P58" s="158"/>
      <c r="Q58" s="158"/>
      <c r="V58" s="289" t="s">
        <v>217</v>
      </c>
    </row>
    <row r="59" spans="2:25" ht="15" customHeight="1">
      <c r="B59" s="158"/>
      <c r="C59" s="158"/>
      <c r="D59" s="158"/>
      <c r="E59" s="158"/>
      <c r="F59" s="158"/>
      <c r="G59" s="158"/>
      <c r="H59" s="158"/>
      <c r="I59" s="158"/>
      <c r="J59" s="158"/>
      <c r="K59" s="158"/>
      <c r="L59" s="158"/>
      <c r="M59" s="158"/>
      <c r="N59" s="158"/>
      <c r="O59" s="158"/>
      <c r="P59" s="158"/>
      <c r="Q59" s="158"/>
      <c r="V59" s="290" t="s">
        <v>218</v>
      </c>
    </row>
    <row r="60" spans="2:25" ht="15.6">
      <c r="B60" s="158"/>
      <c r="C60" s="158"/>
      <c r="D60" s="158"/>
      <c r="E60" s="158"/>
      <c r="F60" s="158"/>
      <c r="G60" s="158"/>
      <c r="H60" s="158"/>
      <c r="I60" s="158"/>
      <c r="J60" s="158"/>
      <c r="K60" s="158"/>
      <c r="L60" s="158"/>
      <c r="M60" s="158"/>
      <c r="N60" s="158"/>
      <c r="O60" s="158"/>
      <c r="P60" s="158"/>
      <c r="Q60" s="158"/>
      <c r="U60" s="294" t="s">
        <v>13</v>
      </c>
      <c r="V60" s="291" t="s">
        <v>184</v>
      </c>
    </row>
    <row r="61" spans="2:25" ht="15" customHeight="1">
      <c r="B61" s="158"/>
      <c r="C61" s="158"/>
      <c r="D61" s="158"/>
      <c r="E61" s="158"/>
      <c r="F61" s="158"/>
      <c r="G61" s="158"/>
      <c r="H61" s="158"/>
      <c r="I61" s="158"/>
      <c r="J61" s="158"/>
      <c r="K61" s="158"/>
      <c r="L61" s="158"/>
      <c r="M61" s="158"/>
      <c r="N61" s="158"/>
      <c r="O61" s="158"/>
      <c r="P61" s="158"/>
      <c r="Q61" s="158"/>
      <c r="U61" s="295">
        <v>2022</v>
      </c>
      <c r="V61" s="292">
        <f>$V$55*Bibliography!$D$6*44/12</f>
        <v>9637.3562926666655</v>
      </c>
    </row>
    <row r="62" spans="2:25" ht="15" customHeight="1">
      <c r="B62" s="158"/>
      <c r="C62" s="158"/>
      <c r="D62" s="158"/>
      <c r="E62" s="158"/>
      <c r="F62" s="158"/>
      <c r="G62" s="158"/>
      <c r="H62" s="158"/>
      <c r="I62" s="158"/>
      <c r="J62" s="158"/>
      <c r="K62" s="158"/>
      <c r="L62" s="158"/>
      <c r="M62" s="158"/>
      <c r="N62" s="158"/>
      <c r="O62" s="158"/>
      <c r="P62" s="158"/>
      <c r="Q62" s="158"/>
      <c r="U62" s="295">
        <v>2023</v>
      </c>
      <c r="V62" s="292">
        <f>$V$55*Bibliography!$D$6*44/12</f>
        <v>9637.3562926666655</v>
      </c>
    </row>
    <row r="63" spans="2:25" ht="15" customHeight="1">
      <c r="B63" s="158"/>
      <c r="C63" s="158"/>
      <c r="D63" s="158"/>
      <c r="E63" s="158"/>
      <c r="F63" s="158"/>
      <c r="G63" s="158"/>
      <c r="H63" s="158"/>
      <c r="I63" s="158"/>
      <c r="J63" s="158"/>
      <c r="K63" s="158"/>
      <c r="L63" s="158"/>
      <c r="M63" s="158"/>
      <c r="N63" s="158"/>
      <c r="O63" s="158"/>
      <c r="P63" s="158"/>
      <c r="Q63" s="158"/>
      <c r="V63" s="293">
        <f>SUM(V61:V62)</f>
        <v>19274.712585333331</v>
      </c>
    </row>
    <row r="72" spans="1:2" ht="15" customHeight="1">
      <c r="B72" s="106"/>
    </row>
    <row r="73" spans="1:2" ht="15" customHeight="1">
      <c r="B73" s="182"/>
    </row>
    <row r="80" spans="1:2" ht="14.45">
      <c r="A80" s="158"/>
    </row>
    <row r="81" spans="1:1" ht="14.25" customHeight="1">
      <c r="A81" s="158"/>
    </row>
    <row r="82" spans="1:1" ht="14.25" customHeight="1">
      <c r="A82" s="158"/>
    </row>
    <row r="83" spans="1:1" ht="14.25" customHeight="1">
      <c r="A83" s="158"/>
    </row>
    <row r="84" spans="1:1" ht="14.25" customHeight="1">
      <c r="A84" s="158"/>
    </row>
    <row r="85" spans="1:1" ht="14.25" customHeight="1">
      <c r="A85" s="158"/>
    </row>
    <row r="86" spans="1:1" ht="14.25" customHeight="1">
      <c r="A86" s="158"/>
    </row>
    <row r="87" spans="1:1" ht="14.25" customHeight="1">
      <c r="A87" s="158"/>
    </row>
    <row r="88" spans="1:1" ht="14.25" customHeight="1">
      <c r="A88" s="158"/>
    </row>
    <row r="89" spans="1:1" ht="14.25" customHeight="1">
      <c r="A89" s="158"/>
    </row>
    <row r="90" spans="1:1" ht="14.25" customHeight="1">
      <c r="A90" s="158"/>
    </row>
    <row r="91" spans="1:1" ht="14.25" customHeight="1">
      <c r="A91" s="158"/>
    </row>
    <row r="92" spans="1:1" ht="14.25" customHeight="1">
      <c r="A92" s="158"/>
    </row>
    <row r="93" spans="1:1" ht="14.25" customHeight="1">
      <c r="A93" s="158"/>
    </row>
    <row r="94" spans="1:1" ht="14.25" customHeight="1">
      <c r="A94" s="158"/>
    </row>
    <row r="95" spans="1:1" ht="14.25" customHeight="1">
      <c r="A95" s="158"/>
    </row>
    <row r="96" spans="1:1" ht="14.25" customHeight="1">
      <c r="A96" s="158"/>
    </row>
    <row r="97" spans="1:1" ht="14.25" customHeight="1">
      <c r="A97" s="158"/>
    </row>
    <row r="98" spans="1:1" ht="14.25" customHeight="1">
      <c r="A98" s="158"/>
    </row>
    <row r="99" spans="1:1" ht="14.25" customHeight="1">
      <c r="A99" s="158"/>
    </row>
    <row r="100" spans="1:1" ht="14.25" customHeight="1">
      <c r="A100" s="158"/>
    </row>
    <row r="101" spans="1:1" ht="14.25" customHeight="1">
      <c r="A101" s="158"/>
    </row>
    <row r="102" spans="1:1" ht="14.25" customHeight="1">
      <c r="A102" s="158"/>
    </row>
    <row r="103" spans="1:1" ht="14.25" customHeight="1">
      <c r="A103" s="158"/>
    </row>
    <row r="104" spans="1:1" ht="14.25" customHeight="1">
      <c r="A104" s="158"/>
    </row>
    <row r="105" spans="1:1" ht="14.25" customHeight="1">
      <c r="A105" s="158"/>
    </row>
    <row r="106" spans="1:1" ht="14.25" customHeight="1">
      <c r="A106" s="158"/>
    </row>
    <row r="107" spans="1:1" ht="14.25" customHeight="1">
      <c r="A107" s="158"/>
    </row>
    <row r="108" spans="1:1" ht="14.25" customHeight="1">
      <c r="A108" s="158"/>
    </row>
    <row r="109" spans="1:1" ht="14.25" customHeight="1">
      <c r="A109" s="158"/>
    </row>
    <row r="110" spans="1:1" ht="14.25" customHeight="1">
      <c r="A110" s="158"/>
    </row>
    <row r="111" spans="1:1" ht="14.25" customHeight="1">
      <c r="A111" s="158"/>
    </row>
    <row r="112" spans="1:1" ht="14.25" customHeight="1">
      <c r="A112" s="158"/>
    </row>
    <row r="113" spans="1:13" ht="14.25" customHeight="1">
      <c r="A113" s="158"/>
    </row>
    <row r="114" spans="1:13" ht="14.25" customHeight="1">
      <c r="A114" s="158"/>
    </row>
    <row r="115" spans="1:13" ht="14.25" customHeight="1">
      <c r="A115" s="158"/>
    </row>
    <row r="116" spans="1:13" ht="14.25" customHeight="1">
      <c r="A116" s="158"/>
      <c r="B116" s="158"/>
      <c r="C116" s="158"/>
      <c r="D116" s="158"/>
      <c r="E116" s="158"/>
      <c r="F116" s="158"/>
      <c r="G116" s="158"/>
      <c r="H116" s="158"/>
      <c r="I116" s="158"/>
      <c r="J116" s="158"/>
      <c r="K116" s="158"/>
      <c r="L116" s="158"/>
      <c r="M116" s="158"/>
    </row>
    <row r="117" spans="1:13" ht="14.25" customHeight="1">
      <c r="A117" s="158"/>
      <c r="B117" s="158"/>
      <c r="C117" s="158"/>
      <c r="D117" s="158"/>
      <c r="E117" s="158"/>
      <c r="F117" s="158"/>
      <c r="G117" s="158"/>
      <c r="H117" s="158"/>
      <c r="I117" s="158"/>
      <c r="J117" s="158"/>
      <c r="K117" s="158"/>
      <c r="L117" s="158"/>
      <c r="M117" s="158"/>
    </row>
    <row r="118" spans="1:13" ht="14.25" customHeight="1">
      <c r="A118" s="158"/>
      <c r="B118" s="158"/>
      <c r="C118" s="158"/>
      <c r="D118" s="158"/>
      <c r="E118" s="158"/>
      <c r="F118" s="158"/>
      <c r="G118" s="158"/>
      <c r="H118" s="158"/>
      <c r="I118" s="158"/>
      <c r="J118" s="158"/>
      <c r="K118" s="158"/>
      <c r="L118" s="158"/>
      <c r="M118" s="158"/>
    </row>
    <row r="119" spans="1:13" ht="14.25" customHeight="1">
      <c r="A119" s="158"/>
      <c r="B119" s="158"/>
      <c r="C119" s="158"/>
      <c r="D119" s="158"/>
      <c r="E119" s="158"/>
      <c r="F119" s="158"/>
      <c r="G119" s="158"/>
      <c r="H119" s="158"/>
      <c r="I119" s="158"/>
      <c r="J119" s="158"/>
      <c r="K119" s="158"/>
      <c r="L119" s="158"/>
      <c r="M119" s="158"/>
    </row>
    <row r="120" spans="1:13" ht="14.25" customHeight="1">
      <c r="A120" s="158"/>
      <c r="B120" s="158"/>
      <c r="C120" s="158"/>
      <c r="D120" s="158"/>
      <c r="E120" s="158"/>
      <c r="F120" s="158"/>
      <c r="G120" s="158"/>
      <c r="H120" s="158"/>
      <c r="I120" s="158"/>
      <c r="J120" s="158"/>
      <c r="K120" s="158"/>
      <c r="L120" s="158"/>
      <c r="M120" s="158"/>
    </row>
    <row r="121" spans="1:13" ht="14.25" customHeight="1">
      <c r="A121" s="158"/>
      <c r="B121" s="158"/>
      <c r="C121" s="158"/>
      <c r="D121" s="158"/>
      <c r="E121" s="158"/>
      <c r="F121" s="158"/>
      <c r="G121" s="158"/>
      <c r="H121" s="158"/>
      <c r="I121" s="158"/>
      <c r="J121" s="158"/>
      <c r="K121" s="158"/>
      <c r="L121" s="158"/>
      <c r="M121" s="158"/>
    </row>
    <row r="122" spans="1:13" ht="14.25" customHeight="1">
      <c r="A122" s="158"/>
      <c r="B122" s="158"/>
      <c r="C122" s="158"/>
      <c r="D122" s="158"/>
      <c r="E122" s="158"/>
      <c r="F122" s="158"/>
      <c r="G122" s="158"/>
      <c r="H122" s="158"/>
      <c r="I122" s="158"/>
      <c r="J122" s="158"/>
      <c r="K122" s="158"/>
      <c r="L122" s="158"/>
      <c r="M122" s="158"/>
    </row>
    <row r="123" spans="1:13" ht="14.25" customHeight="1">
      <c r="A123" s="158"/>
      <c r="B123" s="158"/>
      <c r="C123" s="158"/>
      <c r="D123" s="158"/>
      <c r="E123" s="158"/>
      <c r="F123" s="158"/>
      <c r="G123" s="158"/>
      <c r="H123" s="158"/>
      <c r="I123" s="158"/>
      <c r="J123" s="158"/>
      <c r="K123" s="158"/>
      <c r="L123" s="158"/>
      <c r="M123" s="158"/>
    </row>
    <row r="124" spans="1:13" ht="14.25" customHeight="1">
      <c r="A124" s="158"/>
      <c r="B124" s="158"/>
      <c r="C124" s="158"/>
      <c r="D124" s="158"/>
      <c r="E124" s="158"/>
      <c r="F124" s="158"/>
      <c r="G124" s="158"/>
      <c r="H124" s="158"/>
      <c r="I124" s="158"/>
      <c r="J124" s="158"/>
      <c r="K124" s="158"/>
      <c r="L124" s="158"/>
      <c r="M124" s="158"/>
    </row>
    <row r="125" spans="1:13" ht="14.25" customHeight="1">
      <c r="A125" s="158"/>
      <c r="B125" s="158"/>
      <c r="C125" s="158"/>
      <c r="D125" s="158"/>
      <c r="E125" s="158"/>
      <c r="F125" s="158"/>
      <c r="G125" s="158"/>
      <c r="H125" s="158"/>
      <c r="I125" s="158"/>
      <c r="J125" s="158"/>
      <c r="K125" s="158"/>
      <c r="L125" s="158"/>
      <c r="M125" s="158"/>
    </row>
    <row r="126" spans="1:13" ht="14.25" customHeight="1">
      <c r="A126" s="158"/>
      <c r="B126" s="158"/>
      <c r="C126" s="158"/>
      <c r="D126" s="158"/>
      <c r="E126" s="158"/>
      <c r="F126" s="158"/>
      <c r="G126" s="158"/>
      <c r="H126" s="158"/>
      <c r="I126" s="158"/>
      <c r="J126" s="158"/>
      <c r="K126" s="158"/>
      <c r="L126" s="158"/>
      <c r="M126" s="158"/>
    </row>
    <row r="127" spans="1:13" ht="14.25" customHeight="1">
      <c r="A127" s="158"/>
      <c r="B127" s="158"/>
      <c r="C127" s="158"/>
      <c r="D127" s="158"/>
      <c r="E127" s="158"/>
      <c r="F127" s="158"/>
      <c r="G127" s="158"/>
      <c r="H127" s="158"/>
      <c r="I127" s="158"/>
      <c r="J127" s="158"/>
      <c r="K127" s="158"/>
      <c r="L127" s="158"/>
      <c r="M127" s="158"/>
    </row>
    <row r="128" spans="1:13" ht="14.25" customHeight="1">
      <c r="A128" s="158"/>
      <c r="B128" s="158"/>
      <c r="C128" s="158"/>
      <c r="D128" s="158"/>
      <c r="E128" s="158"/>
      <c r="F128" s="158"/>
      <c r="G128" s="158"/>
      <c r="H128" s="158"/>
      <c r="I128" s="158"/>
      <c r="J128" s="158"/>
      <c r="K128" s="158"/>
      <c r="L128" s="158"/>
      <c r="M128" s="158"/>
    </row>
    <row r="129" spans="1:13" ht="14.25" customHeight="1">
      <c r="A129" s="158"/>
      <c r="B129" s="158"/>
      <c r="C129" s="158"/>
      <c r="D129" s="158"/>
      <c r="E129" s="158"/>
      <c r="F129" s="158"/>
      <c r="G129" s="158"/>
      <c r="H129" s="158"/>
      <c r="I129" s="158"/>
      <c r="J129" s="158"/>
      <c r="K129" s="158"/>
      <c r="L129" s="158"/>
      <c r="M129" s="158"/>
    </row>
    <row r="130" spans="1:13" ht="14.25" customHeight="1">
      <c r="A130" s="158"/>
      <c r="B130" s="158"/>
      <c r="C130" s="158"/>
      <c r="D130" s="158"/>
      <c r="E130" s="158"/>
      <c r="F130" s="158"/>
      <c r="G130" s="158"/>
      <c r="H130" s="158"/>
      <c r="I130" s="158"/>
      <c r="J130" s="158"/>
      <c r="K130" s="158"/>
      <c r="L130" s="158"/>
      <c r="M130" s="158"/>
    </row>
    <row r="131" spans="1:13" ht="14.25" customHeight="1">
      <c r="A131" s="158"/>
      <c r="B131" s="158"/>
      <c r="C131" s="158"/>
      <c r="D131" s="158"/>
      <c r="E131" s="158"/>
      <c r="F131" s="158"/>
      <c r="G131" s="158"/>
      <c r="H131" s="158"/>
      <c r="I131" s="158"/>
      <c r="J131" s="158"/>
      <c r="K131" s="158"/>
      <c r="L131" s="158"/>
      <c r="M131" s="158"/>
    </row>
    <row r="132" spans="1:13" ht="14.25" customHeight="1">
      <c r="A132" s="158"/>
      <c r="B132" s="158"/>
      <c r="C132" s="158"/>
      <c r="D132" s="158"/>
      <c r="E132" s="158"/>
      <c r="F132" s="158"/>
      <c r="G132" s="158"/>
      <c r="H132" s="158"/>
      <c r="I132" s="158"/>
      <c r="J132" s="158"/>
      <c r="K132" s="158"/>
      <c r="L132" s="158"/>
      <c r="M132" s="158"/>
    </row>
    <row r="133" spans="1:13" ht="14.25" customHeight="1">
      <c r="A133" s="158"/>
      <c r="B133" s="158"/>
      <c r="C133" s="158"/>
      <c r="D133" s="158"/>
      <c r="E133" s="158"/>
      <c r="F133" s="158"/>
      <c r="G133" s="158"/>
      <c r="H133" s="158"/>
      <c r="I133" s="158"/>
      <c r="J133" s="158"/>
      <c r="K133" s="158"/>
      <c r="L133" s="158"/>
      <c r="M133" s="158"/>
    </row>
    <row r="134" spans="1:13" ht="14.25" customHeight="1">
      <c r="A134" s="158"/>
      <c r="B134" s="158"/>
      <c r="C134" s="158"/>
      <c r="D134" s="158"/>
      <c r="E134" s="158"/>
      <c r="F134" s="158"/>
      <c r="G134" s="158"/>
      <c r="H134" s="158"/>
      <c r="I134" s="158"/>
      <c r="J134" s="158"/>
      <c r="K134" s="158"/>
      <c r="L134" s="158"/>
      <c r="M134" s="158"/>
    </row>
    <row r="135" spans="1:13" ht="14.25" customHeight="1">
      <c r="A135" s="158"/>
      <c r="B135" s="158"/>
      <c r="C135" s="158"/>
      <c r="D135" s="158"/>
      <c r="E135" s="158"/>
      <c r="F135" s="158"/>
      <c r="G135" s="158"/>
      <c r="H135" s="158"/>
      <c r="I135" s="158"/>
      <c r="J135" s="158"/>
      <c r="K135" s="158"/>
      <c r="L135" s="158"/>
      <c r="M135" s="158"/>
    </row>
    <row r="136" spans="1:13" ht="14.25" customHeight="1">
      <c r="A136" s="158"/>
      <c r="B136" s="158"/>
      <c r="C136" s="158"/>
      <c r="D136" s="158"/>
      <c r="E136" s="158"/>
      <c r="F136" s="158"/>
      <c r="G136" s="158"/>
      <c r="H136" s="158"/>
      <c r="I136" s="158"/>
      <c r="J136" s="158"/>
      <c r="K136" s="158"/>
      <c r="L136" s="158"/>
      <c r="M136" s="158"/>
    </row>
    <row r="137" spans="1:13" ht="14.25" customHeight="1">
      <c r="A137" s="158"/>
      <c r="B137" s="158"/>
      <c r="C137" s="158"/>
      <c r="D137" s="158"/>
      <c r="E137" s="158"/>
      <c r="F137" s="158"/>
      <c r="G137" s="158"/>
      <c r="H137" s="158"/>
      <c r="I137" s="158"/>
      <c r="J137" s="158"/>
      <c r="K137" s="158"/>
      <c r="L137" s="158"/>
      <c r="M137" s="158"/>
    </row>
    <row r="138" spans="1:13" ht="14.25" customHeight="1">
      <c r="A138" s="158"/>
      <c r="B138" s="158"/>
      <c r="C138" s="158"/>
      <c r="D138" s="158"/>
      <c r="E138" s="158"/>
      <c r="F138" s="158"/>
      <c r="G138" s="158"/>
      <c r="H138" s="158"/>
      <c r="I138" s="158"/>
      <c r="J138" s="158"/>
      <c r="K138" s="158"/>
      <c r="L138" s="158"/>
      <c r="M138" s="158"/>
    </row>
    <row r="139" spans="1:13" ht="14.25" customHeight="1">
      <c r="A139" s="158"/>
      <c r="B139" s="158"/>
      <c r="C139" s="158"/>
      <c r="D139" s="158"/>
      <c r="E139" s="158"/>
      <c r="F139" s="158"/>
      <c r="G139" s="158"/>
      <c r="H139" s="158"/>
      <c r="I139" s="158"/>
      <c r="J139" s="158"/>
      <c r="K139" s="158"/>
      <c r="L139" s="158"/>
      <c r="M139" s="158"/>
    </row>
    <row r="140" spans="1:13" ht="14.25" customHeight="1">
      <c r="A140" s="158"/>
      <c r="B140" s="158"/>
      <c r="C140" s="158"/>
      <c r="D140" s="158"/>
      <c r="E140" s="158"/>
      <c r="F140" s="158"/>
      <c r="G140" s="158"/>
      <c r="H140" s="158"/>
      <c r="I140" s="158"/>
      <c r="J140" s="158"/>
      <c r="K140" s="158"/>
      <c r="L140" s="158"/>
      <c r="M140" s="158"/>
    </row>
    <row r="141" spans="1:13" ht="14.25" customHeight="1">
      <c r="A141" s="158"/>
      <c r="B141" s="158"/>
      <c r="C141" s="158"/>
      <c r="D141" s="158"/>
      <c r="E141" s="158"/>
      <c r="F141" s="158"/>
      <c r="G141" s="158"/>
      <c r="H141" s="158"/>
      <c r="I141" s="158"/>
      <c r="J141" s="158"/>
      <c r="K141" s="158"/>
      <c r="L141" s="158"/>
      <c r="M141" s="158"/>
    </row>
    <row r="142" spans="1:13" ht="14.25" customHeight="1">
      <c r="A142" s="158"/>
      <c r="B142" s="158"/>
      <c r="C142" s="158"/>
      <c r="D142" s="158"/>
      <c r="E142" s="158"/>
      <c r="F142" s="158"/>
      <c r="G142" s="158"/>
      <c r="H142" s="158"/>
      <c r="I142" s="158"/>
      <c r="J142" s="158"/>
      <c r="K142" s="158"/>
      <c r="L142" s="158"/>
      <c r="M142" s="158"/>
    </row>
    <row r="143" spans="1:13" ht="14.25" customHeight="1">
      <c r="A143" s="158"/>
      <c r="B143" s="158"/>
      <c r="C143" s="158"/>
      <c r="D143" s="158"/>
      <c r="E143" s="158"/>
      <c r="F143" s="158"/>
      <c r="G143" s="158"/>
      <c r="H143" s="158"/>
      <c r="I143" s="158"/>
      <c r="J143" s="158"/>
      <c r="K143" s="158"/>
      <c r="L143" s="158"/>
      <c r="M143" s="158"/>
    </row>
    <row r="144" spans="1:13" ht="14.25" customHeight="1">
      <c r="A144" s="158"/>
      <c r="B144" s="158"/>
      <c r="C144" s="158"/>
      <c r="D144" s="158"/>
      <c r="E144" s="158"/>
      <c r="F144" s="158"/>
      <c r="G144" s="158"/>
      <c r="H144" s="158"/>
      <c r="I144" s="158"/>
      <c r="J144" s="158"/>
      <c r="K144" s="158"/>
      <c r="L144" s="158"/>
      <c r="M144" s="158"/>
    </row>
    <row r="145" spans="1:13" ht="14.25" customHeight="1">
      <c r="A145" s="158"/>
      <c r="B145" s="158"/>
      <c r="C145" s="158"/>
      <c r="D145" s="158"/>
      <c r="E145" s="158"/>
      <c r="F145" s="158"/>
      <c r="G145" s="158"/>
      <c r="H145" s="158"/>
      <c r="I145" s="158"/>
      <c r="J145" s="158"/>
      <c r="K145" s="158"/>
      <c r="L145" s="158"/>
      <c r="M145" s="158"/>
    </row>
    <row r="146" spans="1:13" ht="14.25" customHeight="1">
      <c r="A146" s="158"/>
      <c r="B146" s="158"/>
      <c r="C146" s="158"/>
      <c r="D146" s="158"/>
      <c r="E146" s="158"/>
      <c r="F146" s="158"/>
      <c r="G146" s="158"/>
      <c r="H146" s="158"/>
      <c r="I146" s="158"/>
      <c r="J146" s="158"/>
      <c r="K146" s="158"/>
      <c r="L146" s="158"/>
      <c r="M146" s="158"/>
    </row>
    <row r="147" spans="1:13" ht="14.25" customHeight="1">
      <c r="A147" s="158"/>
      <c r="B147" s="158"/>
      <c r="C147" s="158"/>
      <c r="D147" s="158"/>
      <c r="E147" s="158"/>
      <c r="F147" s="158"/>
      <c r="G147" s="158"/>
      <c r="H147" s="158"/>
      <c r="I147" s="158"/>
      <c r="J147" s="158"/>
      <c r="K147" s="158"/>
      <c r="L147" s="158"/>
      <c r="M147" s="158"/>
    </row>
    <row r="148" spans="1:13" ht="14.25" customHeight="1">
      <c r="A148" s="158"/>
      <c r="B148" s="158"/>
      <c r="C148" s="158"/>
      <c r="D148" s="158"/>
      <c r="E148" s="158"/>
      <c r="F148" s="158"/>
      <c r="G148" s="158"/>
      <c r="H148" s="158"/>
      <c r="I148" s="158"/>
      <c r="J148" s="158"/>
      <c r="K148" s="158"/>
      <c r="L148" s="158"/>
      <c r="M148" s="158"/>
    </row>
    <row r="149" spans="1:13" ht="14.25" customHeight="1">
      <c r="A149" s="158"/>
      <c r="B149" s="158"/>
      <c r="C149" s="158"/>
      <c r="D149" s="158"/>
      <c r="E149" s="158"/>
      <c r="F149" s="158"/>
      <c r="G149" s="158"/>
      <c r="H149" s="158"/>
      <c r="I149" s="158"/>
      <c r="J149" s="158"/>
      <c r="K149" s="158"/>
      <c r="L149" s="158"/>
      <c r="M149" s="158"/>
    </row>
    <row r="150" spans="1:13" ht="14.25" customHeight="1">
      <c r="A150" s="158"/>
      <c r="B150" s="158"/>
      <c r="C150" s="158"/>
      <c r="D150" s="158"/>
      <c r="E150" s="158"/>
      <c r="F150" s="158"/>
      <c r="G150" s="158"/>
      <c r="H150" s="158"/>
      <c r="I150" s="158"/>
      <c r="J150" s="158"/>
      <c r="K150" s="158"/>
      <c r="L150" s="158"/>
      <c r="M150" s="158"/>
    </row>
    <row r="151" spans="1:13" ht="14.25" customHeight="1">
      <c r="A151" s="158"/>
      <c r="B151" s="158"/>
      <c r="C151" s="158"/>
      <c r="D151" s="158"/>
      <c r="E151" s="158"/>
      <c r="F151" s="158"/>
      <c r="G151" s="158"/>
      <c r="H151" s="158"/>
      <c r="I151" s="158"/>
      <c r="J151" s="158"/>
      <c r="K151" s="158"/>
      <c r="L151" s="158"/>
      <c r="M151" s="158"/>
    </row>
    <row r="152" spans="1:13" ht="14.25" customHeight="1">
      <c r="A152" s="158"/>
      <c r="B152" s="158"/>
      <c r="C152" s="158"/>
      <c r="D152" s="158"/>
      <c r="E152" s="158"/>
      <c r="F152" s="158"/>
      <c r="G152" s="158"/>
      <c r="H152" s="158"/>
      <c r="I152" s="158"/>
      <c r="J152" s="158"/>
      <c r="K152" s="158"/>
      <c r="L152" s="158"/>
      <c r="M152" s="158"/>
    </row>
    <row r="153" spans="1:13" ht="14.25" customHeight="1">
      <c r="A153" s="158"/>
      <c r="B153" s="158"/>
      <c r="C153" s="158"/>
      <c r="D153" s="158"/>
      <c r="E153" s="158"/>
      <c r="F153" s="158"/>
      <c r="G153" s="158"/>
      <c r="H153" s="158"/>
      <c r="I153" s="158"/>
      <c r="J153" s="158"/>
      <c r="K153" s="158"/>
      <c r="L153" s="158"/>
      <c r="M153" s="158"/>
    </row>
    <row r="154" spans="1:13" ht="14.25" customHeight="1">
      <c r="A154" s="158"/>
      <c r="B154" s="158"/>
      <c r="C154" s="158"/>
      <c r="D154" s="158"/>
      <c r="E154" s="158"/>
      <c r="F154" s="158"/>
      <c r="G154" s="158"/>
      <c r="H154" s="158"/>
      <c r="I154" s="158"/>
      <c r="J154" s="158"/>
      <c r="K154" s="158"/>
      <c r="L154" s="158"/>
      <c r="M154" s="158"/>
    </row>
    <row r="155" spans="1:13" ht="14.25" customHeight="1">
      <c r="A155" s="158"/>
      <c r="B155" s="158"/>
      <c r="C155" s="158"/>
      <c r="D155" s="158"/>
      <c r="E155" s="158"/>
      <c r="F155" s="158"/>
      <c r="G155" s="158"/>
      <c r="H155" s="158"/>
      <c r="I155" s="158"/>
      <c r="J155" s="158"/>
      <c r="K155" s="158"/>
      <c r="L155" s="158"/>
      <c r="M155" s="158"/>
    </row>
    <row r="156" spans="1:13" ht="14.25" customHeight="1">
      <c r="A156" s="158"/>
      <c r="B156" s="158"/>
      <c r="C156" s="158"/>
      <c r="D156" s="158"/>
      <c r="E156" s="158"/>
      <c r="F156" s="158"/>
      <c r="G156" s="158"/>
      <c r="H156" s="158"/>
      <c r="I156" s="158"/>
      <c r="J156" s="158"/>
      <c r="K156" s="158"/>
      <c r="L156" s="158"/>
      <c r="M156" s="158"/>
    </row>
    <row r="157" spans="1:13" ht="14.25" customHeight="1">
      <c r="A157" s="158"/>
      <c r="B157" s="158"/>
      <c r="C157" s="158"/>
      <c r="D157" s="158"/>
      <c r="E157" s="158"/>
      <c r="F157" s="158"/>
      <c r="G157" s="158"/>
      <c r="H157" s="158"/>
      <c r="I157" s="158"/>
      <c r="J157" s="158"/>
      <c r="K157" s="158"/>
      <c r="L157" s="158"/>
      <c r="M157" s="158"/>
    </row>
    <row r="158" spans="1:13" ht="14.25" customHeight="1">
      <c r="A158" s="158"/>
      <c r="B158" s="158"/>
      <c r="C158" s="158"/>
      <c r="D158" s="158"/>
      <c r="E158" s="158"/>
      <c r="F158" s="158"/>
      <c r="G158" s="158"/>
      <c r="H158" s="158"/>
      <c r="I158" s="158"/>
      <c r="J158" s="158"/>
      <c r="K158" s="158"/>
      <c r="L158" s="158"/>
      <c r="M158" s="158"/>
    </row>
    <row r="159" spans="1:13" ht="14.25" customHeight="1">
      <c r="A159" s="158"/>
      <c r="B159" s="158"/>
      <c r="C159" s="158"/>
      <c r="D159" s="158"/>
      <c r="E159" s="158"/>
      <c r="F159" s="158"/>
      <c r="G159" s="158"/>
      <c r="H159" s="158"/>
      <c r="I159" s="158"/>
      <c r="J159" s="158"/>
      <c r="K159" s="158"/>
      <c r="L159" s="158"/>
      <c r="M159" s="158"/>
    </row>
    <row r="160" spans="1:13" ht="14.25" customHeight="1">
      <c r="A160" s="158"/>
      <c r="B160" s="158"/>
      <c r="C160" s="158"/>
      <c r="D160" s="158"/>
      <c r="E160" s="158"/>
      <c r="F160" s="158"/>
      <c r="G160" s="158"/>
      <c r="H160" s="158"/>
      <c r="I160" s="158"/>
      <c r="J160" s="158"/>
      <c r="K160" s="158"/>
      <c r="L160" s="158"/>
      <c r="M160" s="158"/>
    </row>
    <row r="161" spans="1:13" ht="14.25" customHeight="1">
      <c r="A161" s="158"/>
      <c r="B161" s="158"/>
      <c r="C161" s="158"/>
      <c r="D161" s="158"/>
      <c r="E161" s="158"/>
      <c r="F161" s="158"/>
      <c r="G161" s="158"/>
      <c r="H161" s="158"/>
      <c r="I161" s="158"/>
      <c r="J161" s="158"/>
      <c r="K161" s="158"/>
      <c r="L161" s="158"/>
      <c r="M161" s="158"/>
    </row>
    <row r="162" spans="1:13" ht="14.25" customHeight="1">
      <c r="A162" s="158"/>
      <c r="B162" s="158"/>
      <c r="C162" s="158"/>
      <c r="D162" s="158"/>
      <c r="E162" s="158"/>
      <c r="F162" s="158"/>
      <c r="G162" s="158"/>
      <c r="H162" s="158"/>
      <c r="I162" s="158"/>
      <c r="J162" s="158"/>
      <c r="K162" s="158"/>
      <c r="L162" s="158"/>
      <c r="M162" s="158"/>
    </row>
    <row r="163" spans="1:13" ht="14.25" customHeight="1">
      <c r="A163" s="158"/>
      <c r="B163" s="158"/>
      <c r="C163" s="158"/>
      <c r="D163" s="158"/>
      <c r="E163" s="158"/>
      <c r="F163" s="158"/>
      <c r="G163" s="158"/>
      <c r="H163" s="158"/>
      <c r="I163" s="158"/>
      <c r="J163" s="158"/>
      <c r="K163" s="158"/>
      <c r="L163" s="158"/>
      <c r="M163" s="158"/>
    </row>
    <row r="164" spans="1:13" ht="14.25" customHeight="1">
      <c r="A164" s="158"/>
      <c r="B164" s="158"/>
      <c r="C164" s="158"/>
      <c r="D164" s="158"/>
      <c r="E164" s="158"/>
      <c r="F164" s="158"/>
      <c r="G164" s="158"/>
      <c r="H164" s="158"/>
      <c r="I164" s="158"/>
      <c r="J164" s="158"/>
      <c r="K164" s="158"/>
      <c r="L164" s="158"/>
      <c r="M164" s="158"/>
    </row>
    <row r="165" spans="1:13" ht="14.25" customHeight="1">
      <c r="A165" s="158"/>
      <c r="B165" s="158"/>
      <c r="C165" s="158"/>
      <c r="D165" s="158"/>
      <c r="E165" s="158"/>
      <c r="F165" s="158"/>
      <c r="G165" s="158"/>
      <c r="H165" s="158"/>
      <c r="I165" s="158"/>
      <c r="J165" s="158"/>
      <c r="K165" s="158"/>
      <c r="L165" s="158"/>
      <c r="M165" s="158"/>
    </row>
    <row r="166" spans="1:13" ht="14.25" customHeight="1">
      <c r="A166" s="158"/>
      <c r="B166" s="158"/>
      <c r="C166" s="158"/>
      <c r="D166" s="158"/>
      <c r="E166" s="158"/>
      <c r="F166" s="158"/>
      <c r="G166" s="158"/>
      <c r="H166" s="158"/>
      <c r="I166" s="158"/>
      <c r="J166" s="158"/>
      <c r="K166" s="158"/>
      <c r="L166" s="158"/>
      <c r="M166" s="158"/>
    </row>
    <row r="167" spans="1:13" ht="14.25" customHeight="1">
      <c r="A167" s="158"/>
      <c r="B167" s="158"/>
      <c r="C167" s="158"/>
      <c r="D167" s="158"/>
      <c r="E167" s="158"/>
      <c r="F167" s="158"/>
      <c r="G167" s="158"/>
      <c r="H167" s="158"/>
      <c r="I167" s="158"/>
      <c r="J167" s="158"/>
      <c r="K167" s="158"/>
      <c r="L167" s="158"/>
      <c r="M167" s="158"/>
    </row>
    <row r="168" spans="1:13" ht="14.25" customHeight="1">
      <c r="A168" s="158"/>
      <c r="B168" s="158"/>
      <c r="C168" s="158"/>
      <c r="D168" s="158"/>
      <c r="E168" s="158"/>
      <c r="F168" s="158"/>
      <c r="G168" s="158"/>
      <c r="H168" s="158"/>
      <c r="I168" s="158"/>
      <c r="J168" s="158"/>
      <c r="K168" s="158"/>
      <c r="L168" s="158"/>
      <c r="M168" s="158"/>
    </row>
    <row r="169" spans="1:13" ht="14.25" customHeight="1">
      <c r="A169" s="158"/>
      <c r="B169" s="158"/>
      <c r="C169" s="158"/>
      <c r="D169" s="158"/>
      <c r="E169" s="158"/>
      <c r="F169" s="158"/>
      <c r="G169" s="158"/>
      <c r="H169" s="158"/>
      <c r="I169" s="158"/>
      <c r="J169" s="158"/>
      <c r="K169" s="158"/>
      <c r="L169" s="158"/>
      <c r="M169" s="158"/>
    </row>
    <row r="170" spans="1:13" ht="14.25" customHeight="1">
      <c r="A170" s="158"/>
      <c r="B170" s="158"/>
      <c r="C170" s="158"/>
      <c r="D170" s="158"/>
      <c r="E170" s="158"/>
      <c r="F170" s="158"/>
      <c r="G170" s="158"/>
      <c r="H170" s="158"/>
      <c r="I170" s="158"/>
      <c r="J170" s="158"/>
      <c r="K170" s="158"/>
      <c r="L170" s="158"/>
      <c r="M170" s="158"/>
    </row>
    <row r="171" spans="1:13" ht="14.25" customHeight="1">
      <c r="A171" s="158"/>
      <c r="B171" s="158"/>
      <c r="C171" s="158"/>
      <c r="D171" s="158"/>
      <c r="E171" s="158"/>
      <c r="F171" s="158"/>
      <c r="G171" s="158"/>
      <c r="H171" s="158"/>
      <c r="I171" s="158"/>
      <c r="J171" s="158"/>
      <c r="K171" s="158"/>
      <c r="L171" s="158"/>
      <c r="M171" s="158"/>
    </row>
    <row r="172" spans="1:13" ht="14.25" customHeight="1">
      <c r="A172" s="158"/>
      <c r="B172" s="158"/>
      <c r="C172" s="158"/>
      <c r="D172" s="158"/>
      <c r="E172" s="158"/>
      <c r="F172" s="158"/>
      <c r="G172" s="158"/>
      <c r="H172" s="158"/>
      <c r="I172" s="158"/>
      <c r="J172" s="158"/>
      <c r="K172" s="158"/>
      <c r="L172" s="158"/>
      <c r="M172" s="158"/>
    </row>
    <row r="173" spans="1:13" ht="14.25" customHeight="1">
      <c r="A173" s="158"/>
      <c r="B173" s="158"/>
      <c r="C173" s="158"/>
      <c r="D173" s="158"/>
      <c r="E173" s="158"/>
      <c r="F173" s="158"/>
      <c r="G173" s="158"/>
      <c r="H173" s="158"/>
      <c r="I173" s="158"/>
      <c r="J173" s="158"/>
      <c r="K173" s="158"/>
      <c r="L173" s="158"/>
      <c r="M173" s="158"/>
    </row>
    <row r="174" spans="1:13" ht="14.25" customHeight="1">
      <c r="A174" s="158"/>
      <c r="B174" s="158"/>
      <c r="C174" s="158"/>
      <c r="D174" s="158"/>
      <c r="E174" s="158"/>
      <c r="F174" s="158"/>
      <c r="G174" s="158"/>
      <c r="H174" s="158"/>
      <c r="I174" s="158"/>
      <c r="J174" s="158"/>
      <c r="K174" s="158"/>
      <c r="L174" s="158"/>
      <c r="M174" s="158"/>
    </row>
    <row r="175" spans="1:13" ht="14.25" customHeight="1">
      <c r="A175" s="158"/>
      <c r="B175" s="158"/>
      <c r="C175" s="158"/>
      <c r="D175" s="158"/>
      <c r="E175" s="158"/>
      <c r="F175" s="158"/>
      <c r="G175" s="158"/>
      <c r="H175" s="158"/>
      <c r="I175" s="158"/>
      <c r="J175" s="158"/>
      <c r="K175" s="158"/>
      <c r="L175" s="158"/>
      <c r="M175" s="158"/>
    </row>
    <row r="176" spans="1:13" ht="14.25" customHeight="1">
      <c r="A176" s="158"/>
      <c r="B176" s="158"/>
      <c r="C176" s="158"/>
      <c r="D176" s="158"/>
      <c r="E176" s="158"/>
      <c r="F176" s="158"/>
      <c r="G176" s="158"/>
      <c r="H176" s="158"/>
      <c r="I176" s="158"/>
      <c r="J176" s="158"/>
      <c r="K176" s="158"/>
      <c r="L176" s="158"/>
      <c r="M176" s="158"/>
    </row>
    <row r="177" spans="1:13" ht="14.25" customHeight="1">
      <c r="A177" s="158"/>
      <c r="B177" s="158"/>
      <c r="C177" s="158"/>
      <c r="D177" s="158"/>
      <c r="E177" s="158"/>
      <c r="F177" s="158"/>
      <c r="G177" s="158"/>
      <c r="H177" s="158"/>
      <c r="I177" s="158"/>
      <c r="J177" s="158"/>
      <c r="K177" s="158"/>
      <c r="L177" s="158"/>
      <c r="M177" s="158"/>
    </row>
    <row r="178" spans="1:13" ht="14.25" customHeight="1">
      <c r="A178" s="158"/>
      <c r="B178" s="158"/>
      <c r="C178" s="158"/>
      <c r="D178" s="158"/>
      <c r="E178" s="158"/>
      <c r="F178" s="158"/>
      <c r="G178" s="158"/>
      <c r="H178" s="158"/>
      <c r="I178" s="158"/>
      <c r="J178" s="158"/>
      <c r="K178" s="158"/>
      <c r="L178" s="158"/>
      <c r="M178" s="158"/>
    </row>
    <row r="179" spans="1:13" ht="14.25" customHeight="1">
      <c r="A179" s="158"/>
      <c r="B179" s="158"/>
      <c r="C179" s="158"/>
      <c r="D179" s="158"/>
      <c r="E179" s="158"/>
      <c r="F179" s="158"/>
      <c r="G179" s="158"/>
      <c r="H179" s="158"/>
      <c r="I179" s="158"/>
      <c r="J179" s="158"/>
      <c r="K179" s="158"/>
      <c r="L179" s="158"/>
      <c r="M179" s="158"/>
    </row>
    <row r="180" spans="1:13" ht="14.25" customHeight="1">
      <c r="A180" s="158"/>
      <c r="B180" s="158"/>
      <c r="C180" s="158"/>
      <c r="D180" s="158"/>
      <c r="E180" s="158"/>
      <c r="F180" s="158"/>
      <c r="G180" s="158"/>
      <c r="H180" s="158"/>
      <c r="I180" s="158"/>
      <c r="J180" s="158"/>
      <c r="K180" s="158"/>
      <c r="L180" s="158"/>
      <c r="M180" s="158"/>
    </row>
    <row r="181" spans="1:13" ht="14.25" customHeight="1">
      <c r="A181" s="158"/>
      <c r="B181" s="158"/>
      <c r="C181" s="158"/>
      <c r="D181" s="158"/>
      <c r="E181" s="158"/>
      <c r="F181" s="158"/>
      <c r="G181" s="158"/>
      <c r="H181" s="158"/>
      <c r="I181" s="158"/>
      <c r="J181" s="158"/>
      <c r="K181" s="158"/>
      <c r="L181" s="158"/>
      <c r="M181" s="158"/>
    </row>
    <row r="182" spans="1:13" ht="14.25" customHeight="1">
      <c r="A182" s="158"/>
      <c r="B182" s="158"/>
      <c r="C182" s="158"/>
      <c r="D182" s="158"/>
      <c r="E182" s="158"/>
      <c r="F182" s="158"/>
      <c r="G182" s="158"/>
      <c r="H182" s="158"/>
      <c r="I182" s="158"/>
      <c r="J182" s="158"/>
      <c r="K182" s="158"/>
      <c r="L182" s="158"/>
      <c r="M182" s="158"/>
    </row>
    <row r="183" spans="1:13" ht="14.25" customHeight="1">
      <c r="A183" s="158"/>
      <c r="B183" s="158"/>
      <c r="C183" s="158"/>
      <c r="D183" s="158"/>
      <c r="E183" s="158"/>
      <c r="F183" s="158"/>
      <c r="G183" s="158"/>
      <c r="H183" s="158"/>
      <c r="I183" s="158"/>
      <c r="J183" s="158"/>
      <c r="K183" s="158"/>
      <c r="L183" s="158"/>
      <c r="M183" s="158"/>
    </row>
    <row r="184" spans="1:13" ht="14.25" customHeight="1">
      <c r="A184" s="158"/>
      <c r="B184" s="158"/>
      <c r="C184" s="158"/>
      <c r="D184" s="158"/>
      <c r="E184" s="158"/>
      <c r="F184" s="158"/>
      <c r="G184" s="158"/>
      <c r="H184" s="158"/>
      <c r="I184" s="158"/>
      <c r="J184" s="158"/>
      <c r="K184" s="158"/>
      <c r="L184" s="158"/>
      <c r="M184" s="158"/>
    </row>
    <row r="185" spans="1:13" ht="14.25" customHeight="1">
      <c r="A185" s="158"/>
      <c r="B185" s="158"/>
      <c r="C185" s="158"/>
      <c r="D185" s="158"/>
      <c r="E185" s="158"/>
      <c r="F185" s="158"/>
      <c r="G185" s="158"/>
      <c r="H185" s="158"/>
      <c r="I185" s="158"/>
      <c r="J185" s="158"/>
      <c r="K185" s="158"/>
      <c r="L185" s="158"/>
      <c r="M185" s="158"/>
    </row>
    <row r="186" spans="1:13" ht="14.25" customHeight="1">
      <c r="A186" s="158"/>
      <c r="B186" s="158"/>
      <c r="C186" s="158"/>
      <c r="D186" s="158"/>
      <c r="E186" s="158"/>
      <c r="F186" s="158"/>
      <c r="G186" s="158"/>
      <c r="H186" s="158"/>
      <c r="I186" s="158"/>
      <c r="J186" s="158"/>
      <c r="K186" s="158"/>
      <c r="L186" s="158"/>
      <c r="M186" s="158"/>
    </row>
    <row r="187" spans="1:13" ht="14.25" customHeight="1">
      <c r="A187" s="158"/>
      <c r="B187" s="158"/>
      <c r="C187" s="158"/>
      <c r="D187" s="158"/>
      <c r="E187" s="158"/>
      <c r="F187" s="158"/>
      <c r="G187" s="158"/>
      <c r="H187" s="158"/>
      <c r="I187" s="158"/>
      <c r="J187" s="158"/>
      <c r="K187" s="158"/>
      <c r="L187" s="158"/>
      <c r="M187" s="158"/>
    </row>
    <row r="188" spans="1:13" ht="14.25" customHeight="1">
      <c r="A188" s="158"/>
      <c r="B188" s="158"/>
      <c r="C188" s="158"/>
      <c r="D188" s="158"/>
      <c r="E188" s="158"/>
      <c r="F188" s="158"/>
      <c r="G188" s="158"/>
      <c r="H188" s="158"/>
      <c r="I188" s="158"/>
      <c r="J188" s="158"/>
      <c r="K188" s="158"/>
      <c r="L188" s="158"/>
      <c r="M188" s="158"/>
    </row>
    <row r="189" spans="1:13" ht="14.25" customHeight="1">
      <c r="A189" s="158"/>
      <c r="B189" s="158"/>
      <c r="C189" s="158"/>
      <c r="D189" s="158"/>
      <c r="E189" s="158"/>
      <c r="F189" s="158"/>
      <c r="G189" s="158"/>
      <c r="H189" s="158"/>
      <c r="I189" s="158"/>
      <c r="J189" s="158"/>
      <c r="K189" s="158"/>
      <c r="L189" s="158"/>
      <c r="M189" s="158"/>
    </row>
    <row r="190" spans="1:13" ht="14.25" customHeight="1">
      <c r="A190" s="158"/>
      <c r="B190" s="158"/>
      <c r="C190" s="158"/>
      <c r="D190" s="158"/>
      <c r="E190" s="158"/>
      <c r="F190" s="158"/>
      <c r="G190" s="158"/>
      <c r="H190" s="158"/>
      <c r="I190" s="158"/>
      <c r="J190" s="158"/>
      <c r="K190" s="158"/>
      <c r="L190" s="158"/>
      <c r="M190" s="158"/>
    </row>
    <row r="191" spans="1:13" ht="14.25" customHeight="1">
      <c r="A191" s="158"/>
      <c r="B191" s="158"/>
      <c r="C191" s="158"/>
      <c r="D191" s="158"/>
      <c r="E191" s="158"/>
      <c r="F191" s="158"/>
      <c r="G191" s="158"/>
      <c r="H191" s="158"/>
      <c r="I191" s="158"/>
      <c r="J191" s="158"/>
      <c r="K191" s="158"/>
      <c r="L191" s="158"/>
      <c r="M191" s="158"/>
    </row>
    <row r="192" spans="1:13" ht="14.25" customHeight="1">
      <c r="A192" s="158"/>
      <c r="B192" s="158"/>
      <c r="C192" s="158"/>
      <c r="D192" s="158"/>
      <c r="E192" s="158"/>
      <c r="F192" s="158"/>
      <c r="G192" s="158"/>
      <c r="H192" s="158"/>
      <c r="I192" s="158"/>
      <c r="J192" s="158"/>
      <c r="K192" s="158"/>
      <c r="L192" s="158"/>
      <c r="M192" s="158"/>
    </row>
    <row r="193" spans="1:13" ht="14.25" customHeight="1">
      <c r="A193" s="158"/>
      <c r="B193" s="158"/>
      <c r="C193" s="158"/>
      <c r="D193" s="158"/>
      <c r="E193" s="158"/>
      <c r="F193" s="158"/>
      <c r="G193" s="158"/>
      <c r="H193" s="158"/>
      <c r="I193" s="158"/>
      <c r="J193" s="158"/>
      <c r="K193" s="158"/>
      <c r="L193" s="158"/>
      <c r="M193" s="158"/>
    </row>
    <row r="194" spans="1:13" ht="14.25" customHeight="1">
      <c r="A194" s="158"/>
      <c r="B194" s="158"/>
      <c r="C194" s="158"/>
      <c r="D194" s="158"/>
      <c r="E194" s="158"/>
      <c r="F194" s="158"/>
      <c r="G194" s="158"/>
      <c r="H194" s="158"/>
      <c r="I194" s="158"/>
      <c r="J194" s="158"/>
      <c r="K194" s="158"/>
      <c r="L194" s="158"/>
      <c r="M194" s="158"/>
    </row>
    <row r="195" spans="1:13" ht="14.25" customHeight="1">
      <c r="A195" s="158"/>
      <c r="B195" s="158"/>
      <c r="C195" s="158"/>
      <c r="D195" s="158"/>
      <c r="E195" s="158"/>
      <c r="F195" s="158"/>
      <c r="G195" s="158"/>
      <c r="H195" s="158"/>
      <c r="I195" s="158"/>
      <c r="J195" s="158"/>
      <c r="K195" s="158"/>
      <c r="L195" s="158"/>
      <c r="M195" s="158"/>
    </row>
    <row r="196" spans="1:13" ht="14.25" customHeight="1">
      <c r="A196" s="158"/>
      <c r="B196" s="158"/>
      <c r="C196" s="158"/>
      <c r="D196" s="158"/>
      <c r="E196" s="158"/>
      <c r="F196" s="158"/>
      <c r="G196" s="158"/>
      <c r="H196" s="158"/>
      <c r="I196" s="158"/>
      <c r="J196" s="158"/>
      <c r="K196" s="158"/>
      <c r="L196" s="158"/>
      <c r="M196" s="158"/>
    </row>
    <row r="197" spans="1:13" ht="14.25" customHeight="1">
      <c r="A197" s="158"/>
      <c r="B197" s="158"/>
      <c r="C197" s="158"/>
      <c r="D197" s="158"/>
      <c r="E197" s="158"/>
      <c r="F197" s="158"/>
      <c r="G197" s="158"/>
      <c r="H197" s="158"/>
      <c r="I197" s="158"/>
      <c r="J197" s="158"/>
      <c r="K197" s="158"/>
      <c r="L197" s="158"/>
      <c r="M197" s="158"/>
    </row>
    <row r="198" spans="1:13" ht="14.25" customHeight="1">
      <c r="A198" s="158"/>
      <c r="B198" s="158"/>
      <c r="C198" s="158"/>
      <c r="D198" s="158"/>
      <c r="E198" s="158"/>
      <c r="F198" s="158"/>
      <c r="G198" s="158"/>
      <c r="H198" s="158"/>
      <c r="I198" s="158"/>
      <c r="J198" s="158"/>
      <c r="K198" s="158"/>
      <c r="L198" s="158"/>
      <c r="M198" s="158"/>
    </row>
    <row r="199" spans="1:13" ht="14.25" customHeight="1">
      <c r="A199" s="158"/>
      <c r="B199" s="158"/>
      <c r="C199" s="158"/>
      <c r="D199" s="158"/>
      <c r="E199" s="158"/>
      <c r="F199" s="158"/>
      <c r="G199" s="158"/>
      <c r="H199" s="158"/>
      <c r="I199" s="158"/>
      <c r="J199" s="158"/>
      <c r="K199" s="158"/>
      <c r="L199" s="158"/>
      <c r="M199" s="158"/>
    </row>
    <row r="200" spans="1:13" ht="14.25" customHeight="1">
      <c r="A200" s="158"/>
      <c r="B200" s="158"/>
      <c r="C200" s="158"/>
      <c r="D200" s="158"/>
      <c r="E200" s="158"/>
      <c r="F200" s="158"/>
      <c r="G200" s="158"/>
      <c r="H200" s="158"/>
      <c r="I200" s="158"/>
      <c r="J200" s="158"/>
      <c r="K200" s="158"/>
      <c r="L200" s="158"/>
      <c r="M200" s="158"/>
    </row>
    <row r="201" spans="1:13" ht="14.25" customHeight="1">
      <c r="A201" s="158"/>
      <c r="B201" s="158"/>
      <c r="C201" s="158"/>
      <c r="D201" s="158"/>
      <c r="E201" s="158"/>
      <c r="F201" s="158"/>
      <c r="G201" s="158"/>
      <c r="H201" s="158"/>
      <c r="I201" s="158"/>
      <c r="J201" s="158"/>
      <c r="K201" s="158"/>
      <c r="L201" s="158"/>
      <c r="M201" s="158"/>
    </row>
    <row r="202" spans="1:13" ht="14.25" customHeight="1">
      <c r="A202" s="158"/>
      <c r="B202" s="158"/>
      <c r="C202" s="158"/>
      <c r="D202" s="158"/>
      <c r="E202" s="158"/>
      <c r="F202" s="158"/>
      <c r="G202" s="158"/>
      <c r="H202" s="158"/>
      <c r="I202" s="158"/>
      <c r="J202" s="158"/>
      <c r="K202" s="158"/>
      <c r="L202" s="158"/>
      <c r="M202" s="158"/>
    </row>
    <row r="203" spans="1:13" ht="14.25" customHeight="1">
      <c r="A203" s="158"/>
      <c r="B203" s="158"/>
      <c r="C203" s="158"/>
      <c r="D203" s="158"/>
      <c r="E203" s="158"/>
      <c r="F203" s="158"/>
      <c r="G203" s="158"/>
      <c r="H203" s="158"/>
      <c r="I203" s="158"/>
      <c r="J203" s="158"/>
      <c r="K203" s="158"/>
      <c r="L203" s="158"/>
      <c r="M203" s="158"/>
    </row>
    <row r="204" spans="1:13" ht="14.25" customHeight="1">
      <c r="A204" s="158"/>
      <c r="B204" s="158"/>
      <c r="C204" s="158"/>
      <c r="D204" s="158"/>
      <c r="E204" s="158"/>
      <c r="F204" s="158"/>
      <c r="G204" s="158"/>
      <c r="H204" s="158"/>
      <c r="I204" s="158"/>
      <c r="J204" s="158"/>
      <c r="K204" s="158"/>
      <c r="L204" s="158"/>
      <c r="M204" s="158"/>
    </row>
    <row r="205" spans="1:13" ht="14.25" customHeight="1">
      <c r="A205" s="158"/>
      <c r="B205" s="158"/>
      <c r="C205" s="158"/>
      <c r="D205" s="158"/>
      <c r="E205" s="158"/>
      <c r="F205" s="158"/>
      <c r="G205" s="158"/>
      <c r="H205" s="158"/>
      <c r="I205" s="158"/>
      <c r="J205" s="158"/>
      <c r="K205" s="158"/>
      <c r="L205" s="158"/>
      <c r="M205" s="158"/>
    </row>
    <row r="206" spans="1:13" ht="14.25" customHeight="1">
      <c r="A206" s="158"/>
      <c r="B206" s="158"/>
      <c r="C206" s="158"/>
      <c r="D206" s="158"/>
      <c r="E206" s="158"/>
      <c r="F206" s="158"/>
      <c r="G206" s="158"/>
      <c r="H206" s="158"/>
      <c r="I206" s="158"/>
      <c r="J206" s="158"/>
      <c r="K206" s="158"/>
      <c r="L206" s="158"/>
      <c r="M206" s="158"/>
    </row>
    <row r="207" spans="1:13" ht="14.25" customHeight="1">
      <c r="A207" s="158"/>
      <c r="B207" s="158"/>
      <c r="C207" s="158"/>
      <c r="D207" s="158"/>
      <c r="E207" s="158"/>
      <c r="F207" s="158"/>
      <c r="G207" s="158"/>
      <c r="H207" s="158"/>
      <c r="I207" s="158"/>
      <c r="J207" s="158"/>
      <c r="K207" s="158"/>
      <c r="L207" s="158"/>
      <c r="M207" s="158"/>
    </row>
    <row r="208" spans="1:13" ht="14.25" customHeight="1">
      <c r="A208" s="158"/>
      <c r="B208" s="158"/>
      <c r="C208" s="158"/>
      <c r="D208" s="158"/>
      <c r="E208" s="158"/>
      <c r="F208" s="158"/>
      <c r="G208" s="158"/>
      <c r="H208" s="158"/>
      <c r="I208" s="158"/>
      <c r="J208" s="158"/>
      <c r="K208" s="158"/>
      <c r="L208" s="158"/>
      <c r="M208" s="158"/>
    </row>
    <row r="209" spans="1:13" ht="14.25" customHeight="1">
      <c r="A209" s="158"/>
      <c r="B209" s="158"/>
      <c r="C209" s="158"/>
      <c r="D209" s="158"/>
      <c r="E209" s="158"/>
      <c r="F209" s="158"/>
      <c r="G209" s="158"/>
      <c r="H209" s="158"/>
      <c r="I209" s="158"/>
      <c r="J209" s="158"/>
      <c r="K209" s="158"/>
      <c r="L209" s="158"/>
      <c r="M209" s="158"/>
    </row>
    <row r="210" spans="1:13" ht="14.25" customHeight="1">
      <c r="A210" s="158"/>
      <c r="B210" s="158"/>
      <c r="C210" s="158"/>
      <c r="D210" s="158"/>
      <c r="E210" s="158"/>
      <c r="F210" s="158"/>
      <c r="G210" s="158"/>
      <c r="H210" s="158"/>
      <c r="I210" s="158"/>
      <c r="J210" s="158"/>
      <c r="K210" s="158"/>
      <c r="L210" s="158"/>
      <c r="M210" s="158"/>
    </row>
    <row r="211" spans="1:13" ht="14.25" customHeight="1">
      <c r="A211" s="158"/>
      <c r="B211" s="158"/>
      <c r="C211" s="158"/>
      <c r="D211" s="158"/>
      <c r="E211" s="158"/>
      <c r="F211" s="158"/>
      <c r="G211" s="158"/>
      <c r="H211" s="158"/>
      <c r="I211" s="158"/>
      <c r="J211" s="158"/>
      <c r="K211" s="158"/>
      <c r="L211" s="158"/>
      <c r="M211" s="158"/>
    </row>
    <row r="212" spans="1:13" ht="14.25" customHeight="1">
      <c r="A212" s="158"/>
      <c r="B212" s="158"/>
      <c r="C212" s="158"/>
      <c r="D212" s="158"/>
      <c r="E212" s="158"/>
      <c r="F212" s="158"/>
      <c r="G212" s="158"/>
      <c r="H212" s="158"/>
      <c r="I212" s="158"/>
      <c r="J212" s="158"/>
      <c r="K212" s="158"/>
      <c r="L212" s="158"/>
      <c r="M212" s="158"/>
    </row>
    <row r="213" spans="1:13" ht="14.25" customHeight="1">
      <c r="A213" s="158"/>
      <c r="B213" s="158"/>
      <c r="C213" s="158"/>
      <c r="D213" s="158"/>
      <c r="E213" s="158"/>
      <c r="F213" s="158"/>
      <c r="G213" s="158"/>
      <c r="H213" s="158"/>
      <c r="I213" s="158"/>
      <c r="J213" s="158"/>
      <c r="K213" s="158"/>
      <c r="L213" s="158"/>
      <c r="M213" s="158"/>
    </row>
    <row r="214" spans="1:13" ht="14.25" customHeight="1">
      <c r="A214" s="158"/>
      <c r="B214" s="158"/>
      <c r="C214" s="158"/>
      <c r="D214" s="158"/>
      <c r="E214" s="158"/>
      <c r="F214" s="158"/>
      <c r="G214" s="158"/>
      <c r="H214" s="158"/>
      <c r="I214" s="158"/>
      <c r="J214" s="158"/>
      <c r="K214" s="158"/>
      <c r="L214" s="158"/>
      <c r="M214" s="158"/>
    </row>
    <row r="215" spans="1:13" ht="14.25" customHeight="1">
      <c r="A215" s="158"/>
      <c r="B215" s="158"/>
      <c r="C215" s="158"/>
      <c r="D215" s="158"/>
      <c r="E215" s="158"/>
      <c r="F215" s="158"/>
      <c r="G215" s="158"/>
      <c r="H215" s="158"/>
      <c r="I215" s="158"/>
      <c r="J215" s="158"/>
      <c r="K215" s="158"/>
      <c r="L215" s="158"/>
      <c r="M215" s="158"/>
    </row>
    <row r="216" spans="1:13" ht="14.25" customHeight="1">
      <c r="A216" s="158"/>
      <c r="B216" s="158"/>
      <c r="C216" s="158"/>
      <c r="D216" s="158"/>
      <c r="E216" s="158"/>
      <c r="F216" s="158"/>
      <c r="G216" s="158"/>
      <c r="H216" s="158"/>
      <c r="I216" s="158"/>
      <c r="J216" s="158"/>
      <c r="K216" s="158"/>
      <c r="L216" s="158"/>
      <c r="M216" s="158"/>
    </row>
    <row r="217" spans="1:13" ht="14.25" customHeight="1">
      <c r="A217" s="158"/>
      <c r="B217" s="158"/>
      <c r="C217" s="158"/>
      <c r="D217" s="158"/>
      <c r="E217" s="158"/>
      <c r="F217" s="158"/>
      <c r="G217" s="158"/>
      <c r="H217" s="158"/>
      <c r="I217" s="158"/>
      <c r="J217" s="158"/>
      <c r="K217" s="158"/>
      <c r="L217" s="158"/>
      <c r="M217" s="158"/>
    </row>
    <row r="218" spans="1:13" ht="14.25" customHeight="1">
      <c r="A218" s="158"/>
      <c r="B218" s="158"/>
      <c r="C218" s="158"/>
      <c r="D218" s="158"/>
      <c r="E218" s="158"/>
      <c r="F218" s="158"/>
      <c r="G218" s="158"/>
      <c r="H218" s="158"/>
      <c r="I218" s="158"/>
      <c r="J218" s="158"/>
      <c r="K218" s="158"/>
      <c r="L218" s="158"/>
      <c r="M218" s="158"/>
    </row>
    <row r="219" spans="1:13" ht="14.25" customHeight="1">
      <c r="A219" s="158"/>
      <c r="B219" s="158"/>
      <c r="C219" s="158"/>
      <c r="D219" s="158"/>
      <c r="E219" s="158"/>
      <c r="F219" s="158"/>
      <c r="G219" s="158"/>
      <c r="H219" s="158"/>
      <c r="I219" s="158"/>
      <c r="J219" s="158"/>
      <c r="K219" s="158"/>
      <c r="L219" s="158"/>
      <c r="M219" s="158"/>
    </row>
    <row r="220" spans="1:13" ht="14.25" customHeight="1">
      <c r="A220" s="158"/>
      <c r="B220" s="158"/>
      <c r="C220" s="158"/>
      <c r="D220" s="158"/>
      <c r="E220" s="158"/>
      <c r="F220" s="158"/>
      <c r="G220" s="158"/>
      <c r="H220" s="158"/>
      <c r="I220" s="158"/>
      <c r="J220" s="158"/>
      <c r="K220" s="158"/>
      <c r="L220" s="158"/>
      <c r="M220" s="158"/>
    </row>
    <row r="221" spans="1:13" ht="14.25" customHeight="1">
      <c r="A221" s="158"/>
      <c r="B221" s="158"/>
      <c r="C221" s="158"/>
      <c r="D221" s="158"/>
      <c r="E221" s="158"/>
      <c r="F221" s="158"/>
      <c r="G221" s="158"/>
      <c r="H221" s="158"/>
      <c r="I221" s="158"/>
      <c r="J221" s="158"/>
      <c r="K221" s="158"/>
      <c r="L221" s="158"/>
      <c r="M221" s="158"/>
    </row>
    <row r="222" spans="1:13" ht="14.25" customHeight="1">
      <c r="A222" s="158"/>
      <c r="B222" s="158"/>
      <c r="C222" s="158"/>
      <c r="D222" s="158"/>
      <c r="E222" s="158"/>
      <c r="F222" s="158"/>
      <c r="G222" s="158"/>
      <c r="H222" s="158"/>
      <c r="I222" s="158"/>
      <c r="J222" s="158"/>
      <c r="K222" s="158"/>
      <c r="L222" s="158"/>
      <c r="M222" s="158"/>
    </row>
    <row r="223" spans="1:13" ht="14.25" customHeight="1">
      <c r="A223" s="158"/>
      <c r="B223" s="158"/>
      <c r="C223" s="158"/>
      <c r="D223" s="158"/>
      <c r="E223" s="158"/>
      <c r="F223" s="158"/>
      <c r="G223" s="158"/>
      <c r="H223" s="158"/>
      <c r="I223" s="158"/>
      <c r="J223" s="158"/>
      <c r="K223" s="158"/>
      <c r="L223" s="158"/>
      <c r="M223" s="158"/>
    </row>
    <row r="224" spans="1:13" ht="14.25" customHeight="1">
      <c r="A224" s="158"/>
      <c r="B224" s="158"/>
      <c r="C224" s="158"/>
      <c r="D224" s="158"/>
      <c r="E224" s="158"/>
      <c r="F224" s="158"/>
      <c r="G224" s="158"/>
      <c r="H224" s="158"/>
      <c r="I224" s="158"/>
      <c r="J224" s="158"/>
      <c r="K224" s="158"/>
      <c r="L224" s="158"/>
      <c r="M224" s="158"/>
    </row>
    <row r="225" spans="1:13" ht="14.25" customHeight="1">
      <c r="A225" s="158"/>
      <c r="B225" s="158"/>
      <c r="C225" s="158"/>
      <c r="D225" s="158"/>
      <c r="E225" s="158"/>
      <c r="F225" s="158"/>
      <c r="G225" s="158"/>
      <c r="H225" s="158"/>
      <c r="I225" s="158"/>
      <c r="J225" s="158"/>
      <c r="K225" s="158"/>
      <c r="L225" s="158"/>
      <c r="M225" s="158"/>
    </row>
    <row r="226" spans="1:13" ht="14.25" customHeight="1">
      <c r="A226" s="158"/>
      <c r="B226" s="158"/>
      <c r="C226" s="158"/>
      <c r="D226" s="158"/>
      <c r="E226" s="158"/>
      <c r="F226" s="158"/>
      <c r="G226" s="158"/>
      <c r="H226" s="158"/>
      <c r="I226" s="158"/>
      <c r="J226" s="158"/>
      <c r="K226" s="158"/>
      <c r="L226" s="158"/>
      <c r="M226" s="158"/>
    </row>
    <row r="227" spans="1:13" ht="14.25" customHeight="1">
      <c r="A227" s="158"/>
      <c r="B227" s="158"/>
      <c r="C227" s="158"/>
      <c r="D227" s="158"/>
      <c r="E227" s="158"/>
      <c r="F227" s="158"/>
      <c r="G227" s="158"/>
      <c r="H227" s="158"/>
      <c r="I227" s="158"/>
      <c r="J227" s="158"/>
      <c r="K227" s="158"/>
      <c r="L227" s="158"/>
      <c r="M227" s="158"/>
    </row>
    <row r="228" spans="1:13" ht="14.25" customHeight="1">
      <c r="A228" s="158"/>
      <c r="B228" s="158"/>
      <c r="C228" s="158"/>
      <c r="D228" s="158"/>
      <c r="E228" s="158"/>
      <c r="F228" s="158"/>
      <c r="G228" s="158"/>
      <c r="H228" s="158"/>
      <c r="I228" s="158"/>
      <c r="J228" s="158"/>
      <c r="K228" s="158"/>
      <c r="L228" s="158"/>
      <c r="M228" s="158"/>
    </row>
    <row r="229" spans="1:13" ht="14.25" customHeight="1">
      <c r="A229" s="158"/>
      <c r="B229" s="158"/>
      <c r="C229" s="158"/>
      <c r="D229" s="158"/>
      <c r="E229" s="158"/>
      <c r="F229" s="158"/>
      <c r="G229" s="158"/>
      <c r="H229" s="158"/>
      <c r="I229" s="158"/>
      <c r="J229" s="158"/>
      <c r="K229" s="158"/>
      <c r="L229" s="158"/>
      <c r="M229" s="158"/>
    </row>
    <row r="230" spans="1:13" ht="14.25" customHeight="1">
      <c r="A230" s="158"/>
      <c r="B230" s="158"/>
      <c r="C230" s="158"/>
      <c r="D230" s="158"/>
      <c r="E230" s="158"/>
      <c r="F230" s="158"/>
      <c r="G230" s="158"/>
      <c r="H230" s="158"/>
      <c r="I230" s="158"/>
      <c r="J230" s="158"/>
      <c r="K230" s="158"/>
      <c r="L230" s="158"/>
      <c r="M230" s="158"/>
    </row>
    <row r="231" spans="1:13" ht="14.25" customHeight="1">
      <c r="A231" s="158"/>
      <c r="B231" s="158"/>
      <c r="C231" s="158"/>
      <c r="D231" s="158"/>
      <c r="E231" s="158"/>
      <c r="F231" s="158"/>
      <c r="G231" s="158"/>
      <c r="H231" s="158"/>
      <c r="I231" s="158"/>
      <c r="J231" s="158"/>
      <c r="K231" s="158"/>
      <c r="L231" s="158"/>
      <c r="M231" s="158"/>
    </row>
    <row r="232" spans="1:13" ht="14.25" customHeight="1">
      <c r="A232" s="158"/>
      <c r="B232" s="158"/>
      <c r="C232" s="158"/>
      <c r="D232" s="158"/>
      <c r="E232" s="158"/>
      <c r="F232" s="158"/>
      <c r="G232" s="158"/>
      <c r="H232" s="158"/>
      <c r="I232" s="158"/>
      <c r="J232" s="158"/>
      <c r="K232" s="158"/>
      <c r="L232" s="158"/>
      <c r="M232" s="158"/>
    </row>
    <row r="233" spans="1:13" ht="14.25" customHeight="1">
      <c r="A233" s="158"/>
      <c r="B233" s="158"/>
      <c r="C233" s="158"/>
      <c r="D233" s="158"/>
      <c r="E233" s="158"/>
      <c r="F233" s="158"/>
      <c r="G233" s="158"/>
      <c r="H233" s="158"/>
      <c r="I233" s="158"/>
      <c r="J233" s="158"/>
      <c r="K233" s="158"/>
      <c r="L233" s="158"/>
      <c r="M233" s="158"/>
    </row>
    <row r="234" spans="1:13" ht="14.25" customHeight="1">
      <c r="A234" s="158"/>
      <c r="B234" s="158"/>
      <c r="C234" s="158"/>
      <c r="D234" s="158"/>
      <c r="E234" s="158"/>
      <c r="F234" s="158"/>
      <c r="G234" s="158"/>
      <c r="H234" s="158"/>
      <c r="I234" s="158"/>
      <c r="J234" s="158"/>
      <c r="K234" s="158"/>
      <c r="L234" s="158"/>
      <c r="M234" s="158"/>
    </row>
    <row r="235" spans="1:13" ht="14.25" customHeight="1">
      <c r="A235" s="158"/>
      <c r="B235" s="158"/>
      <c r="C235" s="158"/>
      <c r="D235" s="158"/>
      <c r="E235" s="158"/>
      <c r="F235" s="158"/>
      <c r="G235" s="158"/>
      <c r="H235" s="158"/>
      <c r="I235" s="158"/>
      <c r="J235" s="158"/>
      <c r="K235" s="158"/>
      <c r="L235" s="158"/>
      <c r="M235" s="158"/>
    </row>
    <row r="236" spans="1:13" ht="14.25" customHeight="1">
      <c r="A236" s="158"/>
      <c r="B236" s="158"/>
      <c r="C236" s="158"/>
      <c r="D236" s="158"/>
      <c r="E236" s="158"/>
      <c r="F236" s="158"/>
      <c r="G236" s="158"/>
      <c r="H236" s="158"/>
      <c r="I236" s="158"/>
      <c r="J236" s="158"/>
      <c r="K236" s="158"/>
      <c r="L236" s="158"/>
      <c r="M236" s="158"/>
    </row>
    <row r="237" spans="1:13" ht="14.25" customHeight="1">
      <c r="A237" s="158"/>
      <c r="B237" s="158"/>
      <c r="C237" s="158"/>
      <c r="D237" s="158"/>
      <c r="E237" s="158"/>
      <c r="F237" s="158"/>
      <c r="G237" s="158"/>
      <c r="H237" s="158"/>
      <c r="I237" s="158"/>
      <c r="J237" s="158"/>
      <c r="K237" s="158"/>
      <c r="L237" s="158"/>
      <c r="M237" s="158"/>
    </row>
    <row r="238" spans="1:13" ht="14.25" customHeight="1">
      <c r="A238" s="158"/>
      <c r="B238" s="158"/>
      <c r="C238" s="158"/>
      <c r="D238" s="158"/>
      <c r="E238" s="158"/>
      <c r="F238" s="158"/>
      <c r="G238" s="158"/>
      <c r="H238" s="158"/>
      <c r="I238" s="158"/>
      <c r="J238" s="158"/>
      <c r="K238" s="158"/>
      <c r="L238" s="158"/>
      <c r="M238" s="158"/>
    </row>
    <row r="239" spans="1:13" ht="14.25" customHeight="1">
      <c r="A239" s="158"/>
      <c r="B239" s="158"/>
      <c r="C239" s="158"/>
      <c r="D239" s="158"/>
      <c r="E239" s="158"/>
      <c r="F239" s="158"/>
      <c r="G239" s="158"/>
      <c r="H239" s="158"/>
      <c r="I239" s="158"/>
      <c r="J239" s="158"/>
      <c r="K239" s="158"/>
      <c r="L239" s="158"/>
      <c r="M239" s="158"/>
    </row>
    <row r="240" spans="1:13" ht="14.25" customHeight="1">
      <c r="A240" s="158"/>
      <c r="B240" s="158"/>
      <c r="C240" s="158"/>
      <c r="D240" s="158"/>
      <c r="E240" s="158"/>
      <c r="F240" s="158"/>
      <c r="G240" s="158"/>
      <c r="H240" s="158"/>
      <c r="I240" s="158"/>
      <c r="J240" s="158"/>
      <c r="K240" s="158"/>
      <c r="L240" s="158"/>
      <c r="M240" s="158"/>
    </row>
    <row r="241" spans="1:13" ht="14.25" customHeight="1">
      <c r="A241" s="158"/>
      <c r="B241" s="158"/>
      <c r="C241" s="158"/>
      <c r="D241" s="158"/>
      <c r="E241" s="158"/>
      <c r="F241" s="158"/>
      <c r="G241" s="158"/>
      <c r="H241" s="158"/>
      <c r="I241" s="158"/>
      <c r="J241" s="158"/>
      <c r="K241" s="158"/>
      <c r="L241" s="158"/>
      <c r="M241" s="158"/>
    </row>
    <row r="242" spans="1:13" ht="14.25" customHeight="1">
      <c r="A242" s="158"/>
      <c r="B242" s="158"/>
      <c r="C242" s="158"/>
      <c r="D242" s="158"/>
      <c r="E242" s="158"/>
      <c r="F242" s="158"/>
      <c r="G242" s="158"/>
      <c r="H242" s="158"/>
      <c r="I242" s="158"/>
      <c r="J242" s="158"/>
      <c r="K242" s="158"/>
      <c r="L242" s="158"/>
      <c r="M242" s="158"/>
    </row>
    <row r="243" spans="1:13" ht="14.25" customHeight="1">
      <c r="A243" s="158"/>
      <c r="B243" s="158"/>
      <c r="C243" s="158"/>
      <c r="D243" s="158"/>
      <c r="E243" s="158"/>
      <c r="F243" s="158"/>
      <c r="G243" s="158"/>
      <c r="H243" s="158"/>
      <c r="I243" s="158"/>
      <c r="J243" s="158"/>
      <c r="K243" s="158"/>
      <c r="L243" s="158"/>
      <c r="M243" s="158"/>
    </row>
    <row r="244" spans="1:13" ht="14.25" customHeight="1">
      <c r="A244" s="158"/>
      <c r="B244" s="158"/>
      <c r="C244" s="158"/>
      <c r="D244" s="158"/>
      <c r="E244" s="158"/>
      <c r="F244" s="158"/>
      <c r="G244" s="158"/>
      <c r="H244" s="158"/>
      <c r="I244" s="158"/>
      <c r="J244" s="158"/>
      <c r="K244" s="158"/>
      <c r="L244" s="158"/>
      <c r="M244" s="158"/>
    </row>
    <row r="245" spans="1:13" ht="14.25" customHeight="1">
      <c r="A245" s="158"/>
      <c r="B245" s="158"/>
      <c r="C245" s="158"/>
      <c r="D245" s="158"/>
      <c r="E245" s="158"/>
      <c r="F245" s="158"/>
      <c r="G245" s="158"/>
      <c r="H245" s="158"/>
      <c r="I245" s="158"/>
      <c r="J245" s="158"/>
      <c r="K245" s="158"/>
      <c r="L245" s="158"/>
      <c r="M245" s="158"/>
    </row>
    <row r="246" spans="1:13" ht="14.25" customHeight="1">
      <c r="A246" s="158"/>
      <c r="B246" s="158"/>
      <c r="C246" s="158"/>
      <c r="D246" s="158"/>
      <c r="E246" s="158"/>
      <c r="F246" s="158"/>
      <c r="G246" s="158"/>
      <c r="H246" s="158"/>
      <c r="I246" s="158"/>
      <c r="J246" s="158"/>
      <c r="K246" s="158"/>
      <c r="L246" s="158"/>
      <c r="M246" s="158"/>
    </row>
    <row r="247" spans="1:13" ht="14.25" customHeight="1">
      <c r="A247" s="158"/>
      <c r="B247" s="158"/>
      <c r="C247" s="158"/>
      <c r="D247" s="158"/>
      <c r="E247" s="158"/>
      <c r="F247" s="158"/>
      <c r="G247" s="158"/>
      <c r="H247" s="158"/>
      <c r="I247" s="158"/>
      <c r="J247" s="158"/>
      <c r="K247" s="158"/>
      <c r="L247" s="158"/>
      <c r="M247" s="158"/>
    </row>
    <row r="248" spans="1:13" ht="14.25" customHeight="1">
      <c r="A248" s="158"/>
      <c r="B248" s="158"/>
      <c r="C248" s="158"/>
      <c r="D248" s="158"/>
      <c r="E248" s="158"/>
      <c r="F248" s="158"/>
      <c r="G248" s="158"/>
      <c r="H248" s="158"/>
      <c r="I248" s="158"/>
      <c r="J248" s="158"/>
      <c r="K248" s="158"/>
      <c r="L248" s="158"/>
      <c r="M248" s="158"/>
    </row>
    <row r="249" spans="1:13" ht="14.25" customHeight="1">
      <c r="A249" s="158"/>
      <c r="B249" s="158"/>
      <c r="C249" s="158"/>
      <c r="D249" s="158"/>
      <c r="E249" s="158"/>
      <c r="F249" s="158"/>
      <c r="G249" s="158"/>
      <c r="H249" s="158"/>
      <c r="I249" s="158"/>
      <c r="J249" s="158"/>
      <c r="K249" s="158"/>
      <c r="L249" s="158"/>
      <c r="M249" s="158"/>
    </row>
    <row r="250" spans="1:13" ht="14.25" customHeight="1">
      <c r="A250" s="158"/>
      <c r="B250" s="158"/>
      <c r="C250" s="158"/>
      <c r="D250" s="158"/>
      <c r="E250" s="158"/>
      <c r="F250" s="158"/>
      <c r="G250" s="158"/>
      <c r="H250" s="158"/>
      <c r="I250" s="158"/>
      <c r="J250" s="158"/>
      <c r="K250" s="158"/>
      <c r="L250" s="158"/>
      <c r="M250" s="158"/>
    </row>
    <row r="251" spans="1:13" ht="14.25" customHeight="1">
      <c r="A251" s="158"/>
      <c r="B251" s="158"/>
      <c r="C251" s="158"/>
      <c r="D251" s="158"/>
      <c r="E251" s="158"/>
      <c r="F251" s="158"/>
      <c r="G251" s="158"/>
      <c r="H251" s="158"/>
      <c r="I251" s="158"/>
      <c r="J251" s="158"/>
      <c r="K251" s="158"/>
      <c r="L251" s="158"/>
      <c r="M251" s="158"/>
    </row>
    <row r="252" spans="1:13" ht="14.25" customHeight="1">
      <c r="A252" s="158"/>
      <c r="B252" s="158"/>
      <c r="C252" s="158"/>
      <c r="D252" s="158"/>
      <c r="E252" s="158"/>
      <c r="F252" s="158"/>
      <c r="G252" s="158"/>
      <c r="H252" s="158"/>
      <c r="I252" s="158"/>
      <c r="J252" s="158"/>
      <c r="K252" s="158"/>
      <c r="L252" s="158"/>
      <c r="M252" s="158"/>
    </row>
    <row r="253" spans="1:13" ht="14.25" customHeight="1">
      <c r="A253" s="158"/>
      <c r="B253" s="158"/>
      <c r="C253" s="158"/>
      <c r="D253" s="158"/>
      <c r="E253" s="158"/>
      <c r="F253" s="158"/>
      <c r="G253" s="158"/>
      <c r="H253" s="158"/>
      <c r="I253" s="158"/>
      <c r="J253" s="158"/>
      <c r="K253" s="158"/>
      <c r="L253" s="158"/>
      <c r="M253" s="158"/>
    </row>
    <row r="254" spans="1:13" ht="14.25" customHeight="1">
      <c r="A254" s="158"/>
      <c r="B254" s="158"/>
      <c r="C254" s="158"/>
      <c r="D254" s="158"/>
      <c r="E254" s="158"/>
      <c r="F254" s="158"/>
      <c r="G254" s="158"/>
      <c r="H254" s="158"/>
      <c r="I254" s="158"/>
      <c r="J254" s="158"/>
      <c r="K254" s="158"/>
      <c r="L254" s="158"/>
      <c r="M254" s="158"/>
    </row>
    <row r="255" spans="1:13" ht="14.25" customHeight="1">
      <c r="A255" s="158"/>
      <c r="B255" s="158"/>
      <c r="C255" s="158"/>
      <c r="D255" s="158"/>
      <c r="E255" s="158"/>
      <c r="F255" s="158"/>
      <c r="G255" s="158"/>
      <c r="H255" s="158"/>
      <c r="I255" s="158"/>
      <c r="J255" s="158"/>
      <c r="K255" s="158"/>
      <c r="L255" s="158"/>
      <c r="M255" s="158"/>
    </row>
    <row r="256" spans="1:13" ht="14.25" customHeight="1">
      <c r="A256" s="158"/>
      <c r="B256" s="158"/>
      <c r="C256" s="158"/>
      <c r="D256" s="158"/>
      <c r="E256" s="158"/>
      <c r="F256" s="158"/>
      <c r="G256" s="158"/>
      <c r="H256" s="158"/>
      <c r="I256" s="158"/>
      <c r="J256" s="158"/>
      <c r="K256" s="158"/>
      <c r="L256" s="158"/>
      <c r="M256" s="158"/>
    </row>
    <row r="257" spans="1:13" ht="14.25" customHeight="1">
      <c r="A257" s="158"/>
      <c r="B257" s="158"/>
      <c r="C257" s="158"/>
      <c r="D257" s="158"/>
      <c r="E257" s="158"/>
      <c r="F257" s="158"/>
      <c r="G257" s="158"/>
      <c r="H257" s="158"/>
      <c r="I257" s="158"/>
      <c r="J257" s="158"/>
      <c r="K257" s="158"/>
      <c r="L257" s="158"/>
      <c r="M257" s="158"/>
    </row>
    <row r="258" spans="1:13" ht="14.25" customHeight="1">
      <c r="A258" s="158"/>
      <c r="B258" s="158"/>
      <c r="C258" s="158"/>
      <c r="D258" s="158"/>
      <c r="E258" s="158"/>
      <c r="F258" s="158"/>
      <c r="G258" s="158"/>
      <c r="H258" s="158"/>
      <c r="I258" s="158"/>
      <c r="J258" s="158"/>
      <c r="K258" s="158"/>
      <c r="L258" s="158"/>
      <c r="M258" s="158"/>
    </row>
    <row r="259" spans="1:13" ht="14.25" customHeight="1">
      <c r="A259" s="158"/>
      <c r="B259" s="158"/>
      <c r="C259" s="158"/>
      <c r="D259" s="158"/>
      <c r="E259" s="158"/>
      <c r="F259" s="158"/>
      <c r="G259" s="158"/>
      <c r="H259" s="158"/>
      <c r="I259" s="158"/>
      <c r="J259" s="158"/>
      <c r="K259" s="158"/>
      <c r="L259" s="158"/>
      <c r="M259" s="158"/>
    </row>
    <row r="260" spans="1:13" ht="14.25" customHeight="1">
      <c r="A260" s="158"/>
      <c r="B260" s="158"/>
      <c r="C260" s="158"/>
      <c r="D260" s="158"/>
      <c r="E260" s="158"/>
      <c r="F260" s="158"/>
      <c r="G260" s="158"/>
      <c r="H260" s="158"/>
      <c r="I260" s="158"/>
      <c r="J260" s="158"/>
      <c r="K260" s="158"/>
      <c r="L260" s="158"/>
      <c r="M260" s="158"/>
    </row>
    <row r="261" spans="1:13" ht="14.25" customHeight="1">
      <c r="A261" s="158"/>
      <c r="B261" s="158"/>
      <c r="C261" s="158"/>
      <c r="D261" s="158"/>
      <c r="E261" s="158"/>
      <c r="F261" s="158"/>
      <c r="G261" s="158"/>
      <c r="H261" s="158"/>
      <c r="I261" s="158"/>
      <c r="J261" s="158"/>
      <c r="K261" s="158"/>
      <c r="L261" s="158"/>
      <c r="M261" s="158"/>
    </row>
    <row r="262" spans="1:13" ht="14.25" customHeight="1">
      <c r="A262" s="158"/>
      <c r="B262" s="158"/>
      <c r="C262" s="158"/>
      <c r="D262" s="158"/>
      <c r="E262" s="158"/>
      <c r="F262" s="158"/>
      <c r="G262" s="158"/>
      <c r="H262" s="158"/>
      <c r="I262" s="158"/>
      <c r="J262" s="158"/>
      <c r="K262" s="158"/>
      <c r="L262" s="158"/>
      <c r="M262" s="158"/>
    </row>
    <row r="263" spans="1:13" ht="14.25" customHeight="1">
      <c r="A263" s="158"/>
      <c r="B263" s="158"/>
      <c r="C263" s="158"/>
      <c r="D263" s="158"/>
      <c r="E263" s="158"/>
      <c r="F263" s="158"/>
      <c r="G263" s="158"/>
      <c r="H263" s="158"/>
      <c r="I263" s="158"/>
      <c r="J263" s="158"/>
      <c r="K263" s="158"/>
      <c r="L263" s="158"/>
      <c r="M263" s="158"/>
    </row>
    <row r="264" spans="1:13" ht="14.25" customHeight="1">
      <c r="A264" s="158"/>
      <c r="B264" s="158"/>
      <c r="C264" s="158"/>
      <c r="D264" s="158"/>
      <c r="E264" s="158"/>
      <c r="F264" s="158"/>
      <c r="G264" s="158"/>
      <c r="H264" s="158"/>
      <c r="I264" s="158"/>
      <c r="J264" s="158"/>
      <c r="K264" s="158"/>
      <c r="L264" s="158"/>
      <c r="M264" s="158"/>
    </row>
    <row r="265" spans="1:13" ht="14.25" customHeight="1">
      <c r="A265" s="158"/>
      <c r="B265" s="158"/>
      <c r="C265" s="158"/>
      <c r="D265" s="158"/>
      <c r="E265" s="158"/>
      <c r="F265" s="158"/>
      <c r="G265" s="158"/>
      <c r="H265" s="158"/>
      <c r="I265" s="158"/>
      <c r="J265" s="158"/>
      <c r="K265" s="158"/>
      <c r="L265" s="158"/>
      <c r="M265" s="158"/>
    </row>
    <row r="266" spans="1:13" ht="14.25" customHeight="1">
      <c r="A266" s="158"/>
      <c r="B266" s="158"/>
      <c r="C266" s="158"/>
      <c r="D266" s="158"/>
      <c r="E266" s="158"/>
      <c r="F266" s="158"/>
      <c r="G266" s="158"/>
      <c r="H266" s="158"/>
      <c r="I266" s="158"/>
      <c r="J266" s="158"/>
      <c r="K266" s="158"/>
      <c r="L266" s="158"/>
      <c r="M266" s="158"/>
    </row>
    <row r="267" spans="1:13" ht="14.25" customHeight="1">
      <c r="A267" s="158"/>
      <c r="B267" s="158"/>
      <c r="C267" s="158"/>
      <c r="D267" s="158"/>
      <c r="E267" s="158"/>
      <c r="F267" s="158"/>
      <c r="G267" s="158"/>
      <c r="H267" s="158"/>
      <c r="I267" s="158"/>
      <c r="J267" s="158"/>
      <c r="K267" s="158"/>
      <c r="L267" s="158"/>
      <c r="M267" s="158"/>
    </row>
    <row r="268" spans="1:13" ht="14.25" customHeight="1">
      <c r="A268" s="158"/>
      <c r="B268" s="158"/>
      <c r="C268" s="158"/>
      <c r="D268" s="158"/>
      <c r="E268" s="158"/>
      <c r="F268" s="158"/>
      <c r="G268" s="158"/>
      <c r="H268" s="158"/>
      <c r="I268" s="158"/>
      <c r="J268" s="158"/>
      <c r="K268" s="158"/>
      <c r="L268" s="158"/>
      <c r="M268" s="158"/>
    </row>
    <row r="269" spans="1:13" ht="14.25" customHeight="1">
      <c r="A269" s="158"/>
      <c r="B269" s="158"/>
      <c r="C269" s="158"/>
      <c r="D269" s="158"/>
      <c r="E269" s="158"/>
      <c r="F269" s="158"/>
      <c r="G269" s="158"/>
      <c r="H269" s="158"/>
      <c r="I269" s="158"/>
      <c r="J269" s="158"/>
      <c r="K269" s="158"/>
      <c r="L269" s="158"/>
      <c r="M269" s="158"/>
    </row>
    <row r="270" spans="1:13" ht="14.25" customHeight="1">
      <c r="A270" s="158"/>
      <c r="B270" s="158"/>
      <c r="C270" s="158"/>
      <c r="D270" s="158"/>
      <c r="E270" s="158"/>
      <c r="F270" s="158"/>
      <c r="G270" s="158"/>
      <c r="H270" s="158"/>
      <c r="I270" s="158"/>
      <c r="J270" s="158"/>
      <c r="K270" s="158"/>
      <c r="L270" s="158"/>
      <c r="M270" s="158"/>
    </row>
    <row r="271" spans="1:13" ht="14.25" customHeight="1">
      <c r="A271" s="158"/>
      <c r="B271" s="158"/>
      <c r="C271" s="158"/>
      <c r="D271" s="158"/>
      <c r="E271" s="158"/>
      <c r="F271" s="158"/>
      <c r="G271" s="158"/>
      <c r="H271" s="158"/>
      <c r="I271" s="158"/>
      <c r="J271" s="158"/>
      <c r="K271" s="158"/>
      <c r="L271" s="158"/>
      <c r="M271" s="158"/>
    </row>
    <row r="272" spans="1:13" ht="14.25" customHeight="1">
      <c r="A272" s="158"/>
      <c r="B272" s="158"/>
      <c r="C272" s="158"/>
      <c r="D272" s="158"/>
      <c r="E272" s="158"/>
      <c r="F272" s="158"/>
      <c r="G272" s="158"/>
      <c r="H272" s="158"/>
      <c r="I272" s="158"/>
      <c r="J272" s="158"/>
      <c r="K272" s="158"/>
      <c r="L272" s="158"/>
      <c r="M272" s="158"/>
    </row>
    <row r="273" spans="1:13" ht="14.25" customHeight="1">
      <c r="A273" s="158"/>
      <c r="B273" s="158"/>
      <c r="C273" s="158"/>
      <c r="D273" s="158"/>
      <c r="E273" s="158"/>
      <c r="F273" s="158"/>
      <c r="G273" s="158"/>
      <c r="H273" s="158"/>
      <c r="I273" s="158"/>
      <c r="J273" s="158"/>
      <c r="K273" s="158"/>
      <c r="L273" s="158"/>
      <c r="M273" s="158"/>
    </row>
    <row r="274" spans="1:13" ht="14.25" customHeight="1">
      <c r="A274" s="158"/>
      <c r="B274" s="158"/>
      <c r="C274" s="158"/>
      <c r="D274" s="158"/>
      <c r="E274" s="158"/>
      <c r="F274" s="158"/>
      <c r="G274" s="158"/>
      <c r="H274" s="158"/>
      <c r="I274" s="158"/>
      <c r="J274" s="158"/>
      <c r="K274" s="158"/>
      <c r="L274" s="158"/>
      <c r="M274" s="158"/>
    </row>
    <row r="275" spans="1:13" ht="14.25" customHeight="1">
      <c r="A275" s="158"/>
      <c r="B275" s="158"/>
      <c r="C275" s="158"/>
      <c r="D275" s="158"/>
      <c r="E275" s="158"/>
      <c r="F275" s="158"/>
      <c r="G275" s="158"/>
      <c r="H275" s="158"/>
      <c r="I275" s="158"/>
      <c r="J275" s="158"/>
      <c r="K275" s="158"/>
      <c r="L275" s="158"/>
      <c r="M275" s="158"/>
    </row>
    <row r="276" spans="1:13" ht="14.25" customHeight="1">
      <c r="A276" s="158"/>
      <c r="B276" s="158"/>
      <c r="C276" s="158"/>
      <c r="D276" s="158"/>
      <c r="E276" s="158"/>
      <c r="F276" s="158"/>
      <c r="G276" s="158"/>
      <c r="H276" s="158"/>
      <c r="I276" s="158"/>
      <c r="J276" s="158"/>
      <c r="K276" s="158"/>
      <c r="L276" s="158"/>
      <c r="M276" s="158"/>
    </row>
    <row r="277" spans="1:13" ht="14.25" customHeight="1">
      <c r="A277" s="158"/>
      <c r="B277" s="158"/>
      <c r="C277" s="158"/>
      <c r="D277" s="158"/>
      <c r="E277" s="158"/>
      <c r="F277" s="158"/>
      <c r="G277" s="158"/>
      <c r="H277" s="158"/>
      <c r="I277" s="158"/>
      <c r="J277" s="158"/>
      <c r="K277" s="158"/>
      <c r="L277" s="158"/>
      <c r="M277" s="158"/>
    </row>
    <row r="278" spans="1:13" ht="14.25" customHeight="1">
      <c r="A278" s="158"/>
      <c r="B278" s="158"/>
      <c r="C278" s="158"/>
      <c r="D278" s="158"/>
      <c r="E278" s="158"/>
      <c r="F278" s="158"/>
      <c r="G278" s="158"/>
      <c r="H278" s="158"/>
      <c r="I278" s="158"/>
      <c r="J278" s="158"/>
      <c r="K278" s="158"/>
      <c r="L278" s="158"/>
      <c r="M278" s="158"/>
    </row>
    <row r="279" spans="1:13" ht="14.25" customHeight="1">
      <c r="A279" s="158"/>
      <c r="B279" s="158"/>
      <c r="C279" s="158"/>
      <c r="D279" s="158"/>
      <c r="E279" s="158"/>
      <c r="F279" s="158"/>
      <c r="G279" s="158"/>
      <c r="H279" s="158"/>
      <c r="I279" s="158"/>
      <c r="J279" s="158"/>
      <c r="K279" s="158"/>
      <c r="L279" s="158"/>
      <c r="M279" s="158"/>
    </row>
    <row r="280" spans="1:13" ht="14.25" customHeight="1">
      <c r="A280" s="158"/>
      <c r="B280" s="158"/>
      <c r="C280" s="158"/>
      <c r="D280" s="158"/>
      <c r="E280" s="158"/>
      <c r="F280" s="158"/>
      <c r="G280" s="158"/>
      <c r="H280" s="158"/>
      <c r="I280" s="158"/>
      <c r="J280" s="158"/>
      <c r="K280" s="158"/>
      <c r="L280" s="158"/>
      <c r="M280" s="158"/>
    </row>
    <row r="281" spans="1:13" ht="14.25" customHeight="1">
      <c r="A281" s="158"/>
      <c r="B281" s="158"/>
      <c r="C281" s="158"/>
      <c r="D281" s="158"/>
      <c r="E281" s="158"/>
      <c r="F281" s="158"/>
      <c r="G281" s="158"/>
      <c r="H281" s="158"/>
      <c r="I281" s="158"/>
      <c r="J281" s="158"/>
      <c r="K281" s="158"/>
      <c r="L281" s="158"/>
      <c r="M281" s="158"/>
    </row>
    <row r="282" spans="1:13" ht="14.25" customHeight="1">
      <c r="A282" s="158"/>
      <c r="B282" s="158"/>
      <c r="C282" s="158"/>
      <c r="D282" s="158"/>
      <c r="E282" s="158"/>
      <c r="F282" s="158"/>
      <c r="G282" s="158"/>
      <c r="H282" s="158"/>
      <c r="I282" s="158"/>
      <c r="J282" s="158"/>
      <c r="K282" s="158"/>
      <c r="L282" s="158"/>
      <c r="M282" s="158"/>
    </row>
    <row r="283" spans="1:13" ht="14.25" customHeight="1">
      <c r="A283" s="158"/>
      <c r="B283" s="158"/>
      <c r="C283" s="158"/>
      <c r="D283" s="158"/>
      <c r="E283" s="158"/>
      <c r="F283" s="158"/>
      <c r="G283" s="158"/>
      <c r="H283" s="158"/>
      <c r="I283" s="158"/>
      <c r="J283" s="158"/>
      <c r="K283" s="158"/>
      <c r="L283" s="158"/>
      <c r="M283" s="158"/>
    </row>
    <row r="284" spans="1:13" ht="14.25" customHeight="1">
      <c r="A284" s="158"/>
      <c r="B284" s="158"/>
      <c r="C284" s="158"/>
      <c r="D284" s="158"/>
      <c r="E284" s="158"/>
      <c r="F284" s="158"/>
      <c r="G284" s="158"/>
      <c r="H284" s="158"/>
      <c r="I284" s="158"/>
      <c r="J284" s="158"/>
      <c r="K284" s="158"/>
      <c r="L284" s="158"/>
      <c r="M284" s="158"/>
    </row>
    <row r="285" spans="1:13" ht="14.25" customHeight="1">
      <c r="A285" s="158"/>
      <c r="B285" s="158"/>
      <c r="C285" s="158"/>
      <c r="D285" s="158"/>
      <c r="E285" s="158"/>
      <c r="F285" s="158"/>
      <c r="G285" s="158"/>
      <c r="H285" s="158"/>
      <c r="I285" s="158"/>
      <c r="J285" s="158"/>
      <c r="K285" s="158"/>
      <c r="L285" s="158"/>
      <c r="M285" s="158"/>
    </row>
    <row r="286" spans="1:13" ht="14.25" customHeight="1">
      <c r="A286" s="158"/>
      <c r="B286" s="158"/>
      <c r="C286" s="158"/>
      <c r="D286" s="158"/>
      <c r="E286" s="158"/>
      <c r="F286" s="158"/>
      <c r="G286" s="158"/>
      <c r="H286" s="158"/>
      <c r="I286" s="158"/>
      <c r="J286" s="158"/>
      <c r="K286" s="158"/>
      <c r="L286" s="158"/>
      <c r="M286" s="158"/>
    </row>
    <row r="287" spans="1:13" ht="14.25" customHeight="1">
      <c r="A287" s="158"/>
      <c r="B287" s="158"/>
      <c r="C287" s="158"/>
      <c r="D287" s="158"/>
      <c r="E287" s="158"/>
      <c r="F287" s="158"/>
      <c r="G287" s="158"/>
      <c r="H287" s="158"/>
      <c r="I287" s="158"/>
      <c r="J287" s="158"/>
      <c r="K287" s="158"/>
      <c r="L287" s="158"/>
      <c r="M287" s="158"/>
    </row>
    <row r="288" spans="1:13" ht="14.25" customHeight="1">
      <c r="A288" s="158"/>
      <c r="B288" s="158"/>
      <c r="C288" s="158"/>
      <c r="D288" s="158"/>
      <c r="E288" s="158"/>
      <c r="F288" s="158"/>
      <c r="G288" s="158"/>
      <c r="H288" s="158"/>
      <c r="I288" s="158"/>
      <c r="J288" s="158"/>
      <c r="K288" s="158"/>
      <c r="L288" s="158"/>
      <c r="M288" s="158"/>
    </row>
    <row r="289" spans="1:13" ht="14.25" customHeight="1">
      <c r="A289" s="158"/>
      <c r="B289" s="158"/>
      <c r="C289" s="158"/>
      <c r="D289" s="158"/>
      <c r="E289" s="158"/>
      <c r="F289" s="158"/>
      <c r="G289" s="158"/>
      <c r="H289" s="158"/>
      <c r="I289" s="158"/>
      <c r="J289" s="158"/>
      <c r="K289" s="158"/>
      <c r="L289" s="158"/>
      <c r="M289" s="158"/>
    </row>
    <row r="290" spans="1:13" ht="14.25" customHeight="1">
      <c r="A290" s="158"/>
      <c r="B290" s="158"/>
      <c r="C290" s="158"/>
      <c r="D290" s="158"/>
      <c r="E290" s="158"/>
      <c r="F290" s="158"/>
      <c r="G290" s="158"/>
      <c r="H290" s="158"/>
      <c r="I290" s="158"/>
      <c r="J290" s="158"/>
      <c r="K290" s="158"/>
      <c r="L290" s="158"/>
      <c r="M290" s="158"/>
    </row>
    <row r="291" spans="1:13" ht="14.25" customHeight="1">
      <c r="A291" s="158"/>
      <c r="B291" s="158"/>
      <c r="C291" s="158"/>
      <c r="D291" s="158"/>
      <c r="E291" s="158"/>
      <c r="F291" s="158"/>
      <c r="G291" s="158"/>
      <c r="H291" s="158"/>
      <c r="I291" s="158"/>
      <c r="J291" s="158"/>
      <c r="K291" s="158"/>
      <c r="L291" s="158"/>
      <c r="M291" s="158"/>
    </row>
    <row r="292" spans="1:13" ht="14.25" customHeight="1">
      <c r="A292" s="158"/>
      <c r="B292" s="158"/>
      <c r="C292" s="158"/>
      <c r="D292" s="158"/>
      <c r="E292" s="158"/>
      <c r="F292" s="158"/>
      <c r="G292" s="158"/>
      <c r="H292" s="158"/>
      <c r="I292" s="158"/>
      <c r="J292" s="158"/>
      <c r="K292" s="158"/>
      <c r="L292" s="158"/>
      <c r="M292" s="158"/>
    </row>
    <row r="293" spans="1:13" ht="14.25" customHeight="1">
      <c r="A293" s="158"/>
      <c r="B293" s="158"/>
      <c r="C293" s="158"/>
      <c r="D293" s="158"/>
      <c r="E293" s="158"/>
      <c r="F293" s="158"/>
      <c r="G293" s="158"/>
      <c r="H293" s="158"/>
      <c r="I293" s="158"/>
      <c r="J293" s="158"/>
      <c r="K293" s="158"/>
      <c r="L293" s="158"/>
      <c r="M293" s="158"/>
    </row>
    <row r="294" spans="1:13" ht="14.25" customHeight="1">
      <c r="A294" s="158"/>
      <c r="B294" s="158"/>
      <c r="C294" s="158"/>
      <c r="D294" s="158"/>
      <c r="E294" s="158"/>
      <c r="F294" s="158"/>
      <c r="G294" s="158"/>
      <c r="H294" s="158"/>
      <c r="I294" s="158"/>
      <c r="J294" s="158"/>
      <c r="K294" s="158"/>
      <c r="L294" s="158"/>
      <c r="M294" s="158"/>
    </row>
    <row r="295" spans="1:13" ht="14.25" customHeight="1">
      <c r="A295" s="158"/>
      <c r="B295" s="158"/>
      <c r="C295" s="158"/>
      <c r="D295" s="158"/>
      <c r="E295" s="158"/>
      <c r="F295" s="158"/>
      <c r="G295" s="158"/>
      <c r="H295" s="158"/>
      <c r="I295" s="158"/>
      <c r="J295" s="158"/>
      <c r="K295" s="158"/>
      <c r="L295" s="158"/>
      <c r="M295" s="158"/>
    </row>
    <row r="296" spans="1:13" ht="14.25" customHeight="1">
      <c r="A296" s="158"/>
      <c r="B296" s="158"/>
      <c r="C296" s="158"/>
      <c r="D296" s="158"/>
      <c r="E296" s="158"/>
      <c r="F296" s="158"/>
      <c r="G296" s="158"/>
      <c r="H296" s="158"/>
      <c r="I296" s="158"/>
      <c r="J296" s="158"/>
      <c r="K296" s="158"/>
      <c r="L296" s="158"/>
      <c r="M296" s="158"/>
    </row>
    <row r="297" spans="1:13" ht="14.25" customHeight="1">
      <c r="A297" s="158"/>
      <c r="B297" s="158"/>
      <c r="C297" s="158"/>
      <c r="D297" s="158"/>
      <c r="E297" s="158"/>
      <c r="F297" s="158"/>
      <c r="G297" s="158"/>
      <c r="H297" s="158"/>
      <c r="I297" s="158"/>
      <c r="J297" s="158"/>
      <c r="K297" s="158"/>
      <c r="L297" s="158"/>
      <c r="M297" s="158"/>
    </row>
    <row r="298" spans="1:13" ht="14.25" customHeight="1">
      <c r="A298" s="158"/>
      <c r="B298" s="158"/>
      <c r="C298" s="158"/>
      <c r="D298" s="158"/>
      <c r="E298" s="158"/>
      <c r="F298" s="158"/>
      <c r="G298" s="158"/>
      <c r="H298" s="158"/>
      <c r="I298" s="158"/>
      <c r="J298" s="158"/>
      <c r="K298" s="158"/>
      <c r="L298" s="158"/>
      <c r="M298" s="158"/>
    </row>
    <row r="299" spans="1:13" ht="14.25" customHeight="1">
      <c r="A299" s="158"/>
      <c r="B299" s="158"/>
      <c r="C299" s="158"/>
      <c r="D299" s="158"/>
      <c r="E299" s="158"/>
      <c r="F299" s="158"/>
      <c r="G299" s="158"/>
      <c r="H299" s="158"/>
      <c r="I299" s="158"/>
      <c r="J299" s="158"/>
      <c r="K299" s="158"/>
      <c r="L299" s="158"/>
      <c r="M299" s="158"/>
    </row>
    <row r="300" spans="1:13" ht="14.25" customHeight="1">
      <c r="A300" s="158"/>
      <c r="B300" s="158"/>
      <c r="C300" s="158"/>
      <c r="D300" s="158"/>
      <c r="E300" s="158"/>
      <c r="F300" s="158"/>
      <c r="G300" s="158"/>
      <c r="H300" s="158"/>
      <c r="I300" s="158"/>
      <c r="J300" s="158"/>
      <c r="K300" s="158"/>
      <c r="L300" s="158"/>
      <c r="M300" s="158"/>
    </row>
    <row r="301" spans="1:13" ht="14.25" customHeight="1">
      <c r="A301" s="158"/>
      <c r="B301" s="158"/>
      <c r="C301" s="158"/>
      <c r="D301" s="158"/>
      <c r="E301" s="158"/>
      <c r="F301" s="158"/>
      <c r="G301" s="158"/>
      <c r="H301" s="158"/>
      <c r="I301" s="158"/>
      <c r="J301" s="158"/>
      <c r="K301" s="158"/>
      <c r="L301" s="158"/>
      <c r="M301" s="158"/>
    </row>
    <row r="302" spans="1:13" ht="14.25" customHeight="1">
      <c r="A302" s="158"/>
      <c r="B302" s="158"/>
      <c r="C302" s="158"/>
      <c r="D302" s="158"/>
      <c r="E302" s="158"/>
      <c r="F302" s="158"/>
      <c r="G302" s="158"/>
      <c r="H302" s="158"/>
      <c r="I302" s="158"/>
      <c r="J302" s="158"/>
      <c r="K302" s="158"/>
      <c r="L302" s="158"/>
      <c r="M302" s="158"/>
    </row>
    <row r="303" spans="1:13" ht="14.25" customHeight="1">
      <c r="A303" s="158"/>
      <c r="B303" s="158"/>
      <c r="C303" s="158"/>
      <c r="D303" s="158"/>
      <c r="E303" s="158"/>
      <c r="F303" s="158"/>
      <c r="G303" s="158"/>
      <c r="H303" s="158"/>
      <c r="I303" s="158"/>
      <c r="J303" s="158"/>
      <c r="K303" s="158"/>
      <c r="L303" s="158"/>
      <c r="M303" s="158"/>
    </row>
    <row r="304" spans="1:13" ht="14.25" customHeight="1">
      <c r="A304" s="158"/>
      <c r="B304" s="158"/>
      <c r="C304" s="158"/>
      <c r="D304" s="158"/>
      <c r="E304" s="158"/>
      <c r="F304" s="158"/>
      <c r="G304" s="158"/>
      <c r="H304" s="158"/>
      <c r="I304" s="158"/>
      <c r="J304" s="158"/>
      <c r="K304" s="158"/>
      <c r="L304" s="158"/>
      <c r="M304" s="158"/>
    </row>
    <row r="305" spans="1:13" ht="14.25" customHeight="1">
      <c r="A305" s="158"/>
      <c r="B305" s="158"/>
      <c r="C305" s="158"/>
      <c r="D305" s="158"/>
      <c r="E305" s="158"/>
      <c r="F305" s="158"/>
      <c r="G305" s="158"/>
      <c r="H305" s="158"/>
      <c r="I305" s="158"/>
      <c r="J305" s="158"/>
      <c r="K305" s="158"/>
      <c r="L305" s="158"/>
      <c r="M305" s="158"/>
    </row>
    <row r="306" spans="1:13" ht="14.25" customHeight="1">
      <c r="A306" s="158"/>
      <c r="B306" s="158"/>
      <c r="C306" s="158"/>
      <c r="D306" s="158"/>
      <c r="E306" s="158"/>
      <c r="F306" s="158"/>
      <c r="G306" s="158"/>
      <c r="H306" s="158"/>
      <c r="I306" s="158"/>
      <c r="J306" s="158"/>
      <c r="K306" s="158"/>
      <c r="L306" s="158"/>
      <c r="M306" s="158"/>
    </row>
    <row r="307" spans="1:13" ht="14.25" customHeight="1">
      <c r="A307" s="158"/>
      <c r="B307" s="158"/>
      <c r="C307" s="158"/>
      <c r="D307" s="158"/>
      <c r="E307" s="158"/>
      <c r="F307" s="158"/>
      <c r="G307" s="158"/>
      <c r="H307" s="158"/>
      <c r="I307" s="158"/>
      <c r="J307" s="158"/>
      <c r="K307" s="158"/>
      <c r="L307" s="158"/>
      <c r="M307" s="158"/>
    </row>
    <row r="308" spans="1:13" ht="14.25" customHeight="1">
      <c r="A308" s="158"/>
      <c r="B308" s="158"/>
      <c r="C308" s="158"/>
      <c r="D308" s="158"/>
      <c r="E308" s="158"/>
      <c r="F308" s="158"/>
      <c r="G308" s="158"/>
      <c r="H308" s="158"/>
      <c r="I308" s="158"/>
      <c r="J308" s="158"/>
      <c r="K308" s="158"/>
      <c r="L308" s="158"/>
      <c r="M308" s="158"/>
    </row>
    <row r="309" spans="1:13" ht="14.25" customHeight="1">
      <c r="A309" s="158"/>
      <c r="B309" s="158"/>
      <c r="C309" s="158"/>
      <c r="D309" s="158"/>
      <c r="E309" s="158"/>
      <c r="F309" s="158"/>
      <c r="G309" s="158"/>
      <c r="H309" s="158"/>
      <c r="I309" s="158"/>
      <c r="J309" s="158"/>
      <c r="K309" s="158"/>
      <c r="L309" s="158"/>
      <c r="M309" s="158"/>
    </row>
    <row r="310" spans="1:13" ht="14.25" customHeight="1">
      <c r="A310" s="158"/>
      <c r="B310" s="158"/>
      <c r="C310" s="158"/>
      <c r="D310" s="158"/>
      <c r="E310" s="158"/>
      <c r="F310" s="158"/>
      <c r="G310" s="158"/>
      <c r="H310" s="158"/>
      <c r="I310" s="158"/>
      <c r="J310" s="158"/>
      <c r="K310" s="158"/>
      <c r="L310" s="158"/>
      <c r="M310" s="158"/>
    </row>
    <row r="311" spans="1:13" ht="14.25" customHeight="1">
      <c r="A311" s="158"/>
      <c r="B311" s="158"/>
      <c r="C311" s="158"/>
      <c r="D311" s="158"/>
      <c r="E311" s="158"/>
      <c r="F311" s="158"/>
      <c r="G311" s="158"/>
      <c r="H311" s="158"/>
      <c r="I311" s="158"/>
      <c r="J311" s="158"/>
      <c r="K311" s="158"/>
      <c r="L311" s="158"/>
      <c r="M311" s="158"/>
    </row>
    <row r="312" spans="1:13" ht="14.25" customHeight="1">
      <c r="A312" s="158"/>
      <c r="B312" s="158"/>
      <c r="C312" s="158"/>
      <c r="D312" s="158"/>
      <c r="E312" s="158"/>
      <c r="F312" s="158"/>
      <c r="G312" s="158"/>
      <c r="H312" s="158"/>
      <c r="I312" s="158"/>
      <c r="J312" s="158"/>
      <c r="K312" s="158"/>
      <c r="L312" s="158"/>
      <c r="M312" s="158"/>
    </row>
    <row r="313" spans="1:13" ht="14.25" customHeight="1">
      <c r="A313" s="158"/>
      <c r="B313" s="158"/>
      <c r="C313" s="158"/>
      <c r="D313" s="158"/>
      <c r="E313" s="158"/>
      <c r="F313" s="158"/>
      <c r="G313" s="158"/>
      <c r="H313" s="158"/>
      <c r="I313" s="158"/>
      <c r="J313" s="158"/>
      <c r="K313" s="158"/>
      <c r="L313" s="158"/>
      <c r="M313" s="158"/>
    </row>
    <row r="314" spans="1:13" ht="14.25" customHeight="1">
      <c r="A314" s="158"/>
      <c r="B314" s="158"/>
      <c r="C314" s="158"/>
      <c r="D314" s="158"/>
      <c r="E314" s="158"/>
      <c r="F314" s="158"/>
      <c r="G314" s="158"/>
      <c r="H314" s="158"/>
      <c r="I314" s="158"/>
      <c r="J314" s="158"/>
      <c r="K314" s="158"/>
      <c r="L314" s="158"/>
      <c r="M314" s="158"/>
    </row>
    <row r="315" spans="1:13" ht="14.25" customHeight="1">
      <c r="A315" s="158"/>
      <c r="B315" s="158"/>
      <c r="C315" s="158"/>
      <c r="D315" s="158"/>
      <c r="E315" s="158"/>
      <c r="F315" s="158"/>
      <c r="G315" s="158"/>
      <c r="H315" s="158"/>
      <c r="I315" s="158"/>
      <c r="J315" s="158"/>
      <c r="K315" s="158"/>
      <c r="L315" s="158"/>
      <c r="M315" s="158"/>
    </row>
    <row r="316" spans="1:13" ht="14.25" customHeight="1">
      <c r="A316" s="158"/>
      <c r="B316" s="158"/>
      <c r="C316" s="158"/>
      <c r="D316" s="158"/>
      <c r="E316" s="158"/>
      <c r="F316" s="158"/>
      <c r="G316" s="158"/>
      <c r="H316" s="158"/>
      <c r="I316" s="158"/>
      <c r="J316" s="158"/>
      <c r="K316" s="158"/>
      <c r="L316" s="158"/>
      <c r="M316" s="158"/>
    </row>
    <row r="317" spans="1:13" ht="14.25" customHeight="1">
      <c r="A317" s="158"/>
      <c r="B317" s="158"/>
      <c r="C317" s="158"/>
      <c r="D317" s="158"/>
      <c r="E317" s="158"/>
      <c r="F317" s="158"/>
      <c r="G317" s="158"/>
      <c r="H317" s="158"/>
      <c r="I317" s="158"/>
      <c r="J317" s="158"/>
      <c r="K317" s="158"/>
      <c r="L317" s="158"/>
      <c r="M317" s="158"/>
    </row>
    <row r="318" spans="1:13" ht="14.25" customHeight="1">
      <c r="A318" s="158"/>
      <c r="B318" s="158"/>
      <c r="C318" s="158"/>
      <c r="D318" s="158"/>
      <c r="E318" s="158"/>
      <c r="F318" s="158"/>
      <c r="G318" s="158"/>
      <c r="H318" s="158"/>
      <c r="I318" s="158"/>
      <c r="J318" s="158"/>
      <c r="K318" s="158"/>
      <c r="L318" s="158"/>
      <c r="M318" s="158"/>
    </row>
    <row r="319" spans="1:13" ht="14.25" customHeight="1">
      <c r="A319" s="158"/>
      <c r="B319" s="158"/>
      <c r="C319" s="158"/>
      <c r="D319" s="158"/>
      <c r="E319" s="158"/>
      <c r="F319" s="158"/>
      <c r="G319" s="158"/>
      <c r="H319" s="158"/>
      <c r="I319" s="158"/>
      <c r="J319" s="158"/>
      <c r="K319" s="158"/>
      <c r="L319" s="158"/>
      <c r="M319" s="158"/>
    </row>
    <row r="320" spans="1:13" ht="14.25" customHeight="1">
      <c r="A320" s="158"/>
      <c r="B320" s="158"/>
      <c r="C320" s="158"/>
      <c r="D320" s="158"/>
      <c r="E320" s="158"/>
      <c r="F320" s="158"/>
      <c r="G320" s="158"/>
      <c r="H320" s="158"/>
      <c r="I320" s="158"/>
      <c r="J320" s="158"/>
      <c r="K320" s="158"/>
      <c r="L320" s="158"/>
      <c r="M320" s="158"/>
    </row>
    <row r="321" spans="1:13" ht="14.25" customHeight="1">
      <c r="A321" s="158"/>
      <c r="B321" s="158"/>
      <c r="C321" s="158"/>
      <c r="D321" s="158"/>
      <c r="E321" s="158"/>
      <c r="F321" s="158"/>
      <c r="G321" s="158"/>
      <c r="H321" s="158"/>
      <c r="I321" s="158"/>
      <c r="J321" s="158"/>
      <c r="K321" s="158"/>
      <c r="L321" s="158"/>
      <c r="M321" s="158"/>
    </row>
    <row r="322" spans="1:13" ht="14.25" customHeight="1">
      <c r="A322" s="158"/>
      <c r="B322" s="158"/>
      <c r="C322" s="158"/>
      <c r="D322" s="158"/>
      <c r="E322" s="158"/>
      <c r="F322" s="158"/>
      <c r="G322" s="158"/>
      <c r="H322" s="158"/>
      <c r="I322" s="158"/>
      <c r="J322" s="158"/>
      <c r="K322" s="158"/>
      <c r="L322" s="158"/>
      <c r="M322" s="158"/>
    </row>
    <row r="323" spans="1:13" ht="14.25" customHeight="1">
      <c r="A323" s="158"/>
      <c r="B323" s="158"/>
      <c r="C323" s="158"/>
      <c r="D323" s="158"/>
      <c r="E323" s="158"/>
      <c r="F323" s="158"/>
      <c r="G323" s="158"/>
      <c r="H323" s="158"/>
      <c r="I323" s="158"/>
      <c r="J323" s="158"/>
      <c r="K323" s="158"/>
      <c r="L323" s="158"/>
      <c r="M323" s="158"/>
    </row>
    <row r="324" spans="1:13" ht="14.25" customHeight="1">
      <c r="A324" s="158"/>
      <c r="B324" s="158"/>
      <c r="C324" s="158"/>
      <c r="D324" s="158"/>
      <c r="E324" s="158"/>
      <c r="F324" s="158"/>
      <c r="G324" s="158"/>
      <c r="H324" s="158"/>
      <c r="I324" s="158"/>
      <c r="J324" s="158"/>
      <c r="K324" s="158"/>
      <c r="L324" s="158"/>
      <c r="M324" s="158"/>
    </row>
    <row r="325" spans="1:13" ht="14.25" customHeight="1">
      <c r="A325" s="158"/>
      <c r="B325" s="158"/>
      <c r="C325" s="158"/>
      <c r="D325" s="158"/>
      <c r="E325" s="158"/>
      <c r="F325" s="158"/>
      <c r="G325" s="158"/>
      <c r="H325" s="158"/>
      <c r="I325" s="158"/>
      <c r="J325" s="158"/>
      <c r="K325" s="158"/>
      <c r="L325" s="158"/>
      <c r="M325" s="158"/>
    </row>
    <row r="326" spans="1:13" ht="14.25" customHeight="1">
      <c r="A326" s="158"/>
      <c r="B326" s="158"/>
      <c r="C326" s="158"/>
      <c r="D326" s="158"/>
      <c r="E326" s="158"/>
      <c r="F326" s="158"/>
      <c r="G326" s="158"/>
      <c r="H326" s="158"/>
      <c r="I326" s="158"/>
      <c r="J326" s="158"/>
      <c r="K326" s="158"/>
      <c r="L326" s="158"/>
      <c r="M326" s="158"/>
    </row>
    <row r="327" spans="1:13" ht="14.25" customHeight="1">
      <c r="A327" s="158"/>
      <c r="B327" s="158"/>
      <c r="C327" s="158"/>
      <c r="D327" s="158"/>
      <c r="E327" s="158"/>
      <c r="F327" s="158"/>
      <c r="G327" s="158"/>
      <c r="H327" s="158"/>
      <c r="I327" s="158"/>
      <c r="J327" s="158"/>
      <c r="K327" s="158"/>
      <c r="L327" s="158"/>
      <c r="M327" s="158"/>
    </row>
    <row r="328" spans="1:13" ht="14.25" customHeight="1">
      <c r="A328" s="158"/>
      <c r="B328" s="158"/>
      <c r="C328" s="158"/>
      <c r="D328" s="158"/>
      <c r="E328" s="158"/>
      <c r="F328" s="158"/>
      <c r="G328" s="158"/>
      <c r="H328" s="158"/>
      <c r="I328" s="158"/>
      <c r="J328" s="158"/>
      <c r="K328" s="158"/>
      <c r="L328" s="158"/>
      <c r="M328" s="158"/>
    </row>
    <row r="329" spans="1:13" ht="14.25" customHeight="1">
      <c r="A329" s="158"/>
      <c r="B329" s="158"/>
      <c r="C329" s="158"/>
      <c r="D329" s="158"/>
      <c r="E329" s="158"/>
      <c r="F329" s="158"/>
      <c r="G329" s="158"/>
      <c r="H329" s="158"/>
      <c r="I329" s="158"/>
      <c r="J329" s="158"/>
      <c r="K329" s="158"/>
      <c r="L329" s="158"/>
      <c r="M329" s="158"/>
    </row>
    <row r="330" spans="1:13" ht="14.25" customHeight="1">
      <c r="A330" s="158"/>
      <c r="B330" s="158"/>
      <c r="C330" s="158"/>
      <c r="D330" s="158"/>
      <c r="E330" s="158"/>
      <c r="F330" s="158"/>
      <c r="G330" s="158"/>
      <c r="H330" s="158"/>
      <c r="I330" s="158"/>
      <c r="J330" s="158"/>
      <c r="K330" s="158"/>
      <c r="L330" s="158"/>
      <c r="M330" s="158"/>
    </row>
    <row r="331" spans="1:13" ht="14.25" customHeight="1">
      <c r="A331" s="158"/>
      <c r="B331" s="158"/>
      <c r="C331" s="158"/>
      <c r="D331" s="158"/>
      <c r="E331" s="158"/>
      <c r="F331" s="158"/>
      <c r="G331" s="158"/>
      <c r="H331" s="158"/>
      <c r="I331" s="158"/>
      <c r="J331" s="158"/>
      <c r="K331" s="158"/>
      <c r="L331" s="158"/>
      <c r="M331" s="158"/>
    </row>
    <row r="332" spans="1:13" ht="14.25" customHeight="1">
      <c r="A332" s="158"/>
      <c r="B332" s="158"/>
      <c r="C332" s="158"/>
      <c r="D332" s="158"/>
      <c r="E332" s="158"/>
      <c r="F332" s="158"/>
      <c r="G332" s="158"/>
      <c r="H332" s="158"/>
      <c r="I332" s="158"/>
      <c r="J332" s="158"/>
      <c r="K332" s="158"/>
      <c r="L332" s="158"/>
      <c r="M332" s="158"/>
    </row>
    <row r="333" spans="1:13" ht="14.25" customHeight="1">
      <c r="A333" s="158"/>
      <c r="B333" s="158"/>
      <c r="C333" s="158"/>
      <c r="D333" s="158"/>
      <c r="E333" s="158"/>
      <c r="F333" s="158"/>
      <c r="G333" s="158"/>
      <c r="H333" s="158"/>
      <c r="I333" s="158"/>
      <c r="J333" s="158"/>
      <c r="K333" s="158"/>
      <c r="L333" s="158"/>
      <c r="M333" s="158"/>
    </row>
    <row r="334" spans="1:13" ht="14.25" customHeight="1">
      <c r="A334" s="158"/>
      <c r="B334" s="158"/>
      <c r="C334" s="158"/>
      <c r="D334" s="158"/>
      <c r="E334" s="158"/>
      <c r="F334" s="158"/>
      <c r="G334" s="158"/>
      <c r="H334" s="158"/>
      <c r="I334" s="158"/>
      <c r="J334" s="158"/>
      <c r="K334" s="158"/>
      <c r="L334" s="158"/>
      <c r="M334" s="158"/>
    </row>
    <row r="335" spans="1:13" ht="14.25" customHeight="1">
      <c r="A335" s="158"/>
      <c r="B335" s="158"/>
      <c r="C335" s="158"/>
      <c r="D335" s="158"/>
      <c r="E335" s="158"/>
      <c r="F335" s="158"/>
      <c r="G335" s="158"/>
      <c r="H335" s="158"/>
      <c r="I335" s="158"/>
      <c r="J335" s="158"/>
      <c r="K335" s="158"/>
      <c r="L335" s="158"/>
      <c r="M335" s="158"/>
    </row>
    <row r="336" spans="1:13" ht="14.25" customHeight="1">
      <c r="A336" s="158"/>
      <c r="B336" s="158"/>
      <c r="C336" s="158"/>
      <c r="D336" s="158"/>
      <c r="E336" s="158"/>
      <c r="F336" s="158"/>
      <c r="G336" s="158"/>
      <c r="H336" s="158"/>
      <c r="I336" s="158"/>
      <c r="J336" s="158"/>
      <c r="K336" s="158"/>
      <c r="L336" s="158"/>
      <c r="M336" s="158"/>
    </row>
    <row r="337" spans="1:13" ht="14.25" customHeight="1">
      <c r="A337" s="158"/>
      <c r="B337" s="158"/>
      <c r="C337" s="158"/>
      <c r="D337" s="158"/>
      <c r="E337" s="158"/>
      <c r="F337" s="158"/>
      <c r="G337" s="158"/>
      <c r="H337" s="158"/>
      <c r="I337" s="158"/>
      <c r="J337" s="158"/>
      <c r="K337" s="158"/>
      <c r="L337" s="158"/>
      <c r="M337" s="158"/>
    </row>
    <row r="338" spans="1:13" ht="14.25" customHeight="1">
      <c r="A338" s="158"/>
      <c r="B338" s="158"/>
      <c r="C338" s="158"/>
      <c r="D338" s="158"/>
      <c r="E338" s="158"/>
      <c r="F338" s="158"/>
      <c r="G338" s="158"/>
      <c r="H338" s="158"/>
      <c r="I338" s="158"/>
      <c r="J338" s="158"/>
      <c r="K338" s="158"/>
      <c r="L338" s="158"/>
      <c r="M338" s="158"/>
    </row>
    <row r="339" spans="1:13" ht="14.25" customHeight="1">
      <c r="A339" s="158"/>
      <c r="B339" s="158"/>
      <c r="C339" s="158"/>
      <c r="D339" s="158"/>
      <c r="E339" s="158"/>
      <c r="F339" s="158"/>
      <c r="G339" s="158"/>
      <c r="H339" s="158"/>
      <c r="I339" s="158"/>
      <c r="J339" s="158"/>
      <c r="K339" s="158"/>
      <c r="L339" s="158"/>
      <c r="M339" s="158"/>
    </row>
    <row r="340" spans="1:13" ht="14.25" customHeight="1">
      <c r="A340" s="158"/>
      <c r="B340" s="158"/>
      <c r="C340" s="158"/>
      <c r="D340" s="158"/>
      <c r="E340" s="158"/>
      <c r="F340" s="158"/>
      <c r="G340" s="158"/>
      <c r="H340" s="158"/>
      <c r="I340" s="158"/>
      <c r="J340" s="158"/>
      <c r="K340" s="158"/>
      <c r="L340" s="158"/>
      <c r="M340" s="158"/>
    </row>
    <row r="341" spans="1:13" ht="14.25" customHeight="1">
      <c r="A341" s="158"/>
      <c r="B341" s="158"/>
      <c r="C341" s="158"/>
      <c r="D341" s="158"/>
      <c r="E341" s="158"/>
      <c r="F341" s="158"/>
      <c r="G341" s="158"/>
      <c r="H341" s="158"/>
      <c r="I341" s="158"/>
      <c r="J341" s="158"/>
      <c r="K341" s="158"/>
      <c r="L341" s="158"/>
      <c r="M341" s="158"/>
    </row>
    <row r="342" spans="1:13" ht="14.25" customHeight="1">
      <c r="A342" s="158"/>
      <c r="B342" s="158"/>
      <c r="C342" s="158"/>
      <c r="D342" s="158"/>
      <c r="E342" s="158"/>
      <c r="F342" s="158"/>
      <c r="G342" s="158"/>
      <c r="H342" s="158"/>
      <c r="I342" s="158"/>
      <c r="J342" s="158"/>
      <c r="K342" s="158"/>
      <c r="L342" s="158"/>
      <c r="M342" s="158"/>
    </row>
    <row r="343" spans="1:13" ht="14.25" customHeight="1">
      <c r="A343" s="158"/>
      <c r="B343" s="158"/>
      <c r="C343" s="158"/>
      <c r="D343" s="158"/>
      <c r="E343" s="158"/>
      <c r="F343" s="158"/>
      <c r="G343" s="158"/>
      <c r="H343" s="158"/>
      <c r="I343" s="158"/>
      <c r="J343" s="158"/>
      <c r="K343" s="158"/>
      <c r="L343" s="158"/>
      <c r="M343" s="158"/>
    </row>
    <row r="344" spans="1:13" ht="14.25" customHeight="1">
      <c r="A344" s="158"/>
      <c r="B344" s="158"/>
      <c r="C344" s="158"/>
      <c r="D344" s="158"/>
      <c r="E344" s="158"/>
      <c r="F344" s="158"/>
      <c r="G344" s="158"/>
      <c r="H344" s="158"/>
      <c r="I344" s="158"/>
      <c r="J344" s="158"/>
      <c r="K344" s="158"/>
      <c r="L344" s="158"/>
      <c r="M344" s="158"/>
    </row>
    <row r="345" spans="1:13" ht="14.25" customHeight="1">
      <c r="A345" s="158"/>
      <c r="B345" s="158"/>
      <c r="C345" s="158"/>
      <c r="D345" s="158"/>
      <c r="E345" s="158"/>
      <c r="F345" s="158"/>
      <c r="G345" s="158"/>
      <c r="H345" s="158"/>
      <c r="I345" s="158"/>
      <c r="J345" s="158"/>
      <c r="K345" s="158"/>
      <c r="L345" s="158"/>
      <c r="M345" s="158"/>
    </row>
    <row r="346" spans="1:13" ht="14.25" customHeight="1">
      <c r="A346" s="158"/>
      <c r="B346" s="158"/>
      <c r="C346" s="158"/>
      <c r="D346" s="158"/>
      <c r="E346" s="158"/>
      <c r="F346" s="158"/>
      <c r="G346" s="158"/>
      <c r="H346" s="158"/>
      <c r="I346" s="158"/>
      <c r="J346" s="158"/>
      <c r="K346" s="158"/>
      <c r="L346" s="158"/>
      <c r="M346" s="158"/>
    </row>
    <row r="347" spans="1:13" ht="14.25" customHeight="1">
      <c r="A347" s="158"/>
      <c r="B347" s="158"/>
      <c r="C347" s="158"/>
      <c r="D347" s="158"/>
      <c r="E347" s="158"/>
      <c r="F347" s="158"/>
      <c r="G347" s="158"/>
      <c r="H347" s="158"/>
      <c r="I347" s="158"/>
      <c r="J347" s="158"/>
      <c r="K347" s="158"/>
      <c r="L347" s="158"/>
      <c r="M347" s="158"/>
    </row>
    <row r="348" spans="1:13" ht="14.25" customHeight="1">
      <c r="A348" s="158"/>
      <c r="B348" s="158"/>
      <c r="C348" s="158"/>
      <c r="D348" s="158"/>
      <c r="E348" s="158"/>
      <c r="F348" s="158"/>
      <c r="G348" s="158"/>
      <c r="H348" s="158"/>
      <c r="I348" s="158"/>
      <c r="J348" s="158"/>
      <c r="K348" s="158"/>
      <c r="L348" s="158"/>
      <c r="M348" s="158"/>
    </row>
    <row r="349" spans="1:13" ht="14.25" customHeight="1">
      <c r="A349" s="158"/>
      <c r="B349" s="158"/>
      <c r="C349" s="158"/>
      <c r="D349" s="158"/>
      <c r="E349" s="158"/>
      <c r="F349" s="158"/>
      <c r="G349" s="158"/>
      <c r="H349" s="158"/>
      <c r="I349" s="158"/>
      <c r="J349" s="158"/>
      <c r="K349" s="158"/>
      <c r="L349" s="158"/>
      <c r="M349" s="158"/>
    </row>
    <row r="350" spans="1:13" ht="14.25" customHeight="1">
      <c r="A350" s="158"/>
      <c r="B350" s="158"/>
      <c r="C350" s="158"/>
      <c r="D350" s="158"/>
      <c r="E350" s="158"/>
      <c r="F350" s="158"/>
      <c r="G350" s="158"/>
      <c r="H350" s="158"/>
      <c r="I350" s="158"/>
      <c r="J350" s="158"/>
      <c r="K350" s="158"/>
      <c r="L350" s="158"/>
      <c r="M350" s="158"/>
    </row>
    <row r="351" spans="1:13" ht="14.25" customHeight="1">
      <c r="A351" s="158"/>
      <c r="B351" s="158"/>
      <c r="C351" s="158"/>
      <c r="D351" s="158"/>
      <c r="E351" s="158"/>
      <c r="F351" s="158"/>
      <c r="G351" s="158"/>
      <c r="H351" s="158"/>
      <c r="I351" s="158"/>
      <c r="J351" s="158"/>
      <c r="K351" s="158"/>
      <c r="L351" s="158"/>
      <c r="M351" s="158"/>
    </row>
    <row r="352" spans="1:13" ht="14.25" customHeight="1">
      <c r="A352" s="158"/>
      <c r="B352" s="158"/>
      <c r="C352" s="158"/>
      <c r="D352" s="158"/>
      <c r="E352" s="158"/>
      <c r="F352" s="158"/>
      <c r="G352" s="158"/>
      <c r="H352" s="158"/>
      <c r="I352" s="158"/>
      <c r="J352" s="158"/>
      <c r="K352" s="158"/>
      <c r="L352" s="158"/>
      <c r="M352" s="158"/>
    </row>
    <row r="353" spans="1:13" ht="14.25" customHeight="1">
      <c r="A353" s="158"/>
      <c r="B353" s="158"/>
      <c r="C353" s="158"/>
      <c r="D353" s="158"/>
      <c r="E353" s="158"/>
      <c r="F353" s="158"/>
      <c r="G353" s="158"/>
      <c r="H353" s="158"/>
      <c r="I353" s="158"/>
      <c r="J353" s="158"/>
      <c r="K353" s="158"/>
      <c r="L353" s="158"/>
      <c r="M353" s="158"/>
    </row>
    <row r="354" spans="1:13" ht="14.25" customHeight="1">
      <c r="A354" s="158"/>
      <c r="B354" s="158"/>
      <c r="C354" s="158"/>
      <c r="D354" s="158"/>
      <c r="E354" s="158"/>
      <c r="F354" s="158"/>
      <c r="G354" s="158"/>
      <c r="H354" s="158"/>
      <c r="I354" s="158"/>
      <c r="J354" s="158"/>
      <c r="K354" s="158"/>
      <c r="L354" s="158"/>
      <c r="M354" s="158"/>
    </row>
    <row r="355" spans="1:13" ht="14.25" customHeight="1">
      <c r="A355" s="158"/>
      <c r="B355" s="158"/>
      <c r="C355" s="158"/>
      <c r="D355" s="158"/>
      <c r="E355" s="158"/>
      <c r="F355" s="158"/>
      <c r="G355" s="158"/>
      <c r="H355" s="158"/>
      <c r="I355" s="158"/>
      <c r="J355" s="158"/>
      <c r="K355" s="158"/>
      <c r="L355" s="158"/>
      <c r="M355" s="158"/>
    </row>
    <row r="356" spans="1:13" ht="14.25" customHeight="1">
      <c r="A356" s="158"/>
      <c r="B356" s="158"/>
      <c r="C356" s="158"/>
      <c r="D356" s="158"/>
      <c r="E356" s="158"/>
      <c r="F356" s="158"/>
      <c r="G356" s="158"/>
      <c r="H356" s="158"/>
      <c r="I356" s="158"/>
      <c r="J356" s="158"/>
      <c r="K356" s="158"/>
      <c r="L356" s="158"/>
      <c r="M356" s="158"/>
    </row>
    <row r="357" spans="1:13" ht="14.25" customHeight="1">
      <c r="A357" s="158"/>
      <c r="B357" s="158"/>
      <c r="C357" s="158"/>
      <c r="D357" s="158"/>
      <c r="E357" s="158"/>
      <c r="F357" s="158"/>
      <c r="G357" s="158"/>
      <c r="H357" s="158"/>
      <c r="I357" s="158"/>
      <c r="J357" s="158"/>
      <c r="K357" s="158"/>
      <c r="L357" s="158"/>
      <c r="M357" s="158"/>
    </row>
    <row r="358" spans="1:13" ht="14.25" customHeight="1">
      <c r="A358" s="158"/>
      <c r="B358" s="158"/>
      <c r="C358" s="158"/>
      <c r="D358" s="158"/>
      <c r="E358" s="158"/>
      <c r="F358" s="158"/>
      <c r="G358" s="158"/>
      <c r="H358" s="158"/>
      <c r="I358" s="158"/>
      <c r="J358" s="158"/>
      <c r="K358" s="158"/>
      <c r="L358" s="158"/>
      <c r="M358" s="158"/>
    </row>
    <row r="359" spans="1:13" ht="14.25" customHeight="1">
      <c r="A359" s="158"/>
      <c r="B359" s="158"/>
      <c r="C359" s="158"/>
      <c r="D359" s="158"/>
      <c r="E359" s="158"/>
      <c r="F359" s="158"/>
      <c r="G359" s="158"/>
      <c r="H359" s="158"/>
      <c r="I359" s="158"/>
      <c r="J359" s="158"/>
      <c r="K359" s="158"/>
      <c r="L359" s="158"/>
      <c r="M359" s="158"/>
    </row>
    <row r="360" spans="1:13" ht="14.25" customHeight="1">
      <c r="A360" s="158"/>
      <c r="B360" s="158"/>
      <c r="C360" s="158"/>
      <c r="D360" s="158"/>
      <c r="E360" s="158"/>
      <c r="F360" s="158"/>
      <c r="G360" s="158"/>
      <c r="H360" s="158"/>
      <c r="I360" s="158"/>
      <c r="J360" s="158"/>
      <c r="K360" s="158"/>
      <c r="L360" s="158"/>
      <c r="M360" s="158"/>
    </row>
    <row r="361" spans="1:13" ht="14.25" customHeight="1">
      <c r="A361" s="158"/>
      <c r="B361" s="158"/>
      <c r="C361" s="158"/>
      <c r="D361" s="158"/>
      <c r="E361" s="158"/>
      <c r="F361" s="158"/>
      <c r="G361" s="158"/>
      <c r="H361" s="158"/>
      <c r="I361" s="158"/>
      <c r="J361" s="158"/>
      <c r="K361" s="158"/>
      <c r="L361" s="158"/>
      <c r="M361" s="158"/>
    </row>
    <row r="362" spans="1:13" ht="14.25" customHeight="1">
      <c r="A362" s="158"/>
      <c r="B362" s="158"/>
      <c r="C362" s="158"/>
      <c r="D362" s="158"/>
      <c r="E362" s="158"/>
      <c r="F362" s="158"/>
      <c r="G362" s="158"/>
      <c r="H362" s="158"/>
      <c r="I362" s="158"/>
      <c r="J362" s="158"/>
      <c r="K362" s="158"/>
      <c r="L362" s="158"/>
      <c r="M362" s="158"/>
    </row>
    <row r="363" spans="1:13" ht="14.25" customHeight="1">
      <c r="A363" s="158"/>
      <c r="B363" s="158"/>
      <c r="C363" s="158"/>
      <c r="D363" s="158"/>
      <c r="E363" s="158"/>
      <c r="F363" s="158"/>
      <c r="G363" s="158"/>
      <c r="H363" s="158"/>
      <c r="I363" s="158"/>
      <c r="J363" s="158"/>
      <c r="K363" s="158"/>
      <c r="L363" s="158"/>
      <c r="M363" s="158"/>
    </row>
    <row r="364" spans="1:13" ht="14.25" customHeight="1">
      <c r="A364" s="158"/>
      <c r="B364" s="158"/>
      <c r="C364" s="158"/>
      <c r="D364" s="158"/>
      <c r="E364" s="158"/>
      <c r="F364" s="158"/>
      <c r="G364" s="158"/>
      <c r="H364" s="158"/>
      <c r="I364" s="158"/>
      <c r="J364" s="158"/>
      <c r="K364" s="158"/>
      <c r="L364" s="158"/>
      <c r="M364" s="158"/>
    </row>
    <row r="365" spans="1:13" ht="14.25" customHeight="1">
      <c r="A365" s="158"/>
      <c r="B365" s="158"/>
      <c r="C365" s="158"/>
      <c r="D365" s="158"/>
      <c r="E365" s="158"/>
      <c r="F365" s="158"/>
      <c r="G365" s="158"/>
      <c r="H365" s="158"/>
      <c r="I365" s="158"/>
      <c r="J365" s="158"/>
      <c r="K365" s="158"/>
      <c r="L365" s="158"/>
      <c r="M365" s="158"/>
    </row>
    <row r="366" spans="1:13" ht="14.25" customHeight="1">
      <c r="A366" s="158"/>
      <c r="B366" s="158"/>
      <c r="C366" s="158"/>
      <c r="D366" s="158"/>
      <c r="E366" s="158"/>
      <c r="F366" s="158"/>
      <c r="G366" s="158"/>
      <c r="H366" s="158"/>
      <c r="I366" s="158"/>
      <c r="J366" s="158"/>
      <c r="K366" s="158"/>
      <c r="L366" s="158"/>
      <c r="M366" s="158"/>
    </row>
    <row r="367" spans="1:13" ht="14.25" customHeight="1">
      <c r="A367" s="158"/>
      <c r="B367" s="158"/>
      <c r="C367" s="158"/>
      <c r="D367" s="158"/>
      <c r="E367" s="158"/>
      <c r="F367" s="158"/>
      <c r="G367" s="158"/>
      <c r="H367" s="158"/>
      <c r="I367" s="158"/>
      <c r="J367" s="158"/>
      <c r="K367" s="158"/>
      <c r="L367" s="158"/>
      <c r="M367" s="158"/>
    </row>
    <row r="368" spans="1:13" ht="14.25" customHeight="1">
      <c r="A368" s="158"/>
      <c r="B368" s="158"/>
      <c r="C368" s="158"/>
      <c r="D368" s="158"/>
      <c r="E368" s="158"/>
      <c r="F368" s="158"/>
      <c r="G368" s="158"/>
      <c r="H368" s="158"/>
      <c r="I368" s="158"/>
      <c r="J368" s="158"/>
      <c r="K368" s="158"/>
      <c r="L368" s="158"/>
      <c r="M368" s="158"/>
    </row>
    <row r="369" spans="1:13" ht="14.25" customHeight="1">
      <c r="A369" s="158"/>
      <c r="B369" s="158"/>
      <c r="C369" s="158"/>
      <c r="D369" s="158"/>
      <c r="E369" s="158"/>
      <c r="F369" s="158"/>
      <c r="G369" s="158"/>
      <c r="H369" s="158"/>
      <c r="I369" s="158"/>
      <c r="J369" s="158"/>
      <c r="K369" s="158"/>
      <c r="L369" s="158"/>
      <c r="M369" s="158"/>
    </row>
    <row r="370" spans="1:13" ht="14.25" customHeight="1">
      <c r="A370" s="158"/>
      <c r="B370" s="158"/>
      <c r="C370" s="158"/>
      <c r="D370" s="158"/>
      <c r="E370" s="158"/>
      <c r="F370" s="158"/>
      <c r="G370" s="158"/>
      <c r="H370" s="158"/>
      <c r="I370" s="158"/>
      <c r="J370" s="158"/>
      <c r="K370" s="158"/>
      <c r="L370" s="158"/>
      <c r="M370" s="158"/>
    </row>
    <row r="371" spans="1:13" ht="14.25" customHeight="1">
      <c r="A371" s="158"/>
      <c r="B371" s="158"/>
      <c r="C371" s="158"/>
      <c r="D371" s="158"/>
      <c r="E371" s="158"/>
      <c r="F371" s="158"/>
      <c r="G371" s="158"/>
      <c r="H371" s="158"/>
      <c r="I371" s="158"/>
      <c r="J371" s="158"/>
      <c r="K371" s="158"/>
      <c r="L371" s="158"/>
      <c r="M371" s="158"/>
    </row>
    <row r="372" spans="1:13" ht="14.25" customHeight="1">
      <c r="A372" s="158"/>
      <c r="B372" s="158"/>
      <c r="C372" s="158"/>
      <c r="D372" s="158"/>
      <c r="E372" s="158"/>
      <c r="F372" s="158"/>
      <c r="G372" s="158"/>
      <c r="H372" s="158"/>
      <c r="I372" s="158"/>
      <c r="J372" s="158"/>
      <c r="K372" s="158"/>
      <c r="L372" s="158"/>
      <c r="M372" s="158"/>
    </row>
    <row r="373" spans="1:13" ht="14.25" customHeight="1">
      <c r="A373" s="158"/>
      <c r="B373" s="158"/>
      <c r="C373" s="158"/>
      <c r="D373" s="158"/>
      <c r="E373" s="158"/>
      <c r="F373" s="158"/>
      <c r="G373" s="158"/>
      <c r="H373" s="158"/>
      <c r="I373" s="158"/>
      <c r="J373" s="158"/>
      <c r="K373" s="158"/>
      <c r="L373" s="158"/>
      <c r="M373" s="158"/>
    </row>
    <row r="374" spans="1:13" ht="14.25" customHeight="1">
      <c r="A374" s="158"/>
      <c r="B374" s="158"/>
      <c r="C374" s="158"/>
      <c r="D374" s="158"/>
      <c r="E374" s="158"/>
      <c r="F374" s="158"/>
      <c r="G374" s="158"/>
      <c r="H374" s="158"/>
      <c r="I374" s="158"/>
      <c r="J374" s="158"/>
      <c r="K374" s="158"/>
      <c r="L374" s="158"/>
      <c r="M374" s="158"/>
    </row>
    <row r="375" spans="1:13" ht="14.25" customHeight="1">
      <c r="A375" s="158"/>
      <c r="B375" s="158"/>
      <c r="C375" s="158"/>
      <c r="D375" s="158"/>
      <c r="E375" s="158"/>
      <c r="F375" s="158"/>
      <c r="G375" s="158"/>
      <c r="H375" s="158"/>
      <c r="I375" s="158"/>
      <c r="J375" s="158"/>
      <c r="K375" s="158"/>
      <c r="L375" s="158"/>
      <c r="M375" s="158"/>
    </row>
    <row r="376" spans="1:13" ht="14.25" customHeight="1">
      <c r="A376" s="158"/>
      <c r="B376" s="158"/>
      <c r="C376" s="158"/>
      <c r="D376" s="158"/>
      <c r="E376" s="158"/>
      <c r="F376" s="158"/>
      <c r="G376" s="158"/>
      <c r="H376" s="158"/>
      <c r="I376" s="158"/>
      <c r="J376" s="158"/>
      <c r="K376" s="158"/>
      <c r="L376" s="158"/>
      <c r="M376" s="158"/>
    </row>
    <row r="377" spans="1:13" ht="14.25" customHeight="1">
      <c r="A377" s="158"/>
      <c r="B377" s="158"/>
      <c r="C377" s="158"/>
      <c r="D377" s="158"/>
      <c r="E377" s="158"/>
      <c r="F377" s="158"/>
      <c r="G377" s="158"/>
      <c r="H377" s="158"/>
      <c r="I377" s="158"/>
      <c r="J377" s="158"/>
      <c r="K377" s="158"/>
      <c r="L377" s="158"/>
      <c r="M377" s="158"/>
    </row>
    <row r="378" spans="1:13" ht="14.25" customHeight="1">
      <c r="A378" s="158"/>
      <c r="B378" s="158"/>
      <c r="C378" s="158"/>
      <c r="D378" s="158"/>
      <c r="E378" s="158"/>
      <c r="F378" s="158"/>
      <c r="G378" s="158"/>
      <c r="H378" s="158"/>
      <c r="I378" s="158"/>
      <c r="J378" s="158"/>
      <c r="K378" s="158"/>
      <c r="L378" s="158"/>
      <c r="M378" s="158"/>
    </row>
    <row r="379" spans="1:13" ht="14.25" customHeight="1">
      <c r="A379" s="158"/>
      <c r="B379" s="158"/>
      <c r="C379" s="158"/>
      <c r="D379" s="158"/>
      <c r="E379" s="158"/>
      <c r="F379" s="158"/>
      <c r="G379" s="158"/>
      <c r="H379" s="158"/>
      <c r="I379" s="158"/>
      <c r="J379" s="158"/>
      <c r="K379" s="158"/>
      <c r="L379" s="158"/>
      <c r="M379" s="158"/>
    </row>
    <row r="380" spans="1:13" ht="14.25" customHeight="1">
      <c r="A380" s="158"/>
      <c r="B380" s="158"/>
      <c r="C380" s="158"/>
      <c r="D380" s="158"/>
      <c r="E380" s="158"/>
      <c r="F380" s="158"/>
      <c r="G380" s="158"/>
      <c r="H380" s="158"/>
      <c r="I380" s="158"/>
      <c r="J380" s="158"/>
      <c r="K380" s="158"/>
      <c r="L380" s="158"/>
      <c r="M380" s="158"/>
    </row>
    <row r="381" spans="1:13" ht="14.25" customHeight="1">
      <c r="A381" s="158"/>
      <c r="B381" s="158"/>
      <c r="C381" s="158"/>
      <c r="D381" s="158"/>
      <c r="E381" s="158"/>
      <c r="F381" s="158"/>
      <c r="G381" s="158"/>
      <c r="H381" s="158"/>
      <c r="I381" s="158"/>
      <c r="J381" s="158"/>
      <c r="K381" s="158"/>
      <c r="L381" s="158"/>
      <c r="M381" s="158"/>
    </row>
    <row r="382" spans="1:13" ht="14.25" customHeight="1">
      <c r="A382" s="158"/>
      <c r="B382" s="158"/>
      <c r="C382" s="158"/>
      <c r="D382" s="158"/>
      <c r="E382" s="158"/>
      <c r="F382" s="158"/>
      <c r="G382" s="158"/>
      <c r="H382" s="158"/>
      <c r="I382" s="158"/>
      <c r="J382" s="158"/>
      <c r="K382" s="158"/>
      <c r="L382" s="158"/>
      <c r="M382" s="158"/>
    </row>
    <row r="383" spans="1:13" ht="14.25" customHeight="1">
      <c r="A383" s="158"/>
      <c r="B383" s="158"/>
      <c r="C383" s="158"/>
      <c r="D383" s="158"/>
      <c r="E383" s="158"/>
      <c r="F383" s="158"/>
      <c r="G383" s="158"/>
      <c r="H383" s="158"/>
      <c r="I383" s="158"/>
      <c r="J383" s="158"/>
      <c r="K383" s="158"/>
      <c r="L383" s="158"/>
      <c r="M383" s="158"/>
    </row>
    <row r="384" spans="1:13" ht="14.25" customHeight="1">
      <c r="A384" s="158"/>
      <c r="B384" s="158"/>
      <c r="C384" s="158"/>
      <c r="D384" s="158"/>
      <c r="E384" s="158"/>
      <c r="F384" s="158"/>
      <c r="G384" s="158"/>
      <c r="H384" s="158"/>
      <c r="I384" s="158"/>
      <c r="J384" s="158"/>
      <c r="K384" s="158"/>
      <c r="L384" s="158"/>
      <c r="M384" s="158"/>
    </row>
    <row r="385" spans="1:13" ht="14.25" customHeight="1">
      <c r="A385" s="158"/>
      <c r="B385" s="158"/>
      <c r="C385" s="158"/>
      <c r="D385" s="158"/>
      <c r="E385" s="158"/>
      <c r="F385" s="158"/>
      <c r="G385" s="158"/>
      <c r="H385" s="158"/>
      <c r="I385" s="158"/>
      <c r="J385" s="158"/>
      <c r="K385" s="158"/>
      <c r="L385" s="158"/>
      <c r="M385" s="158"/>
    </row>
    <row r="386" spans="1:13" ht="14.25" customHeight="1">
      <c r="A386" s="158"/>
      <c r="B386" s="158"/>
      <c r="C386" s="158"/>
      <c r="D386" s="158"/>
      <c r="E386" s="158"/>
      <c r="F386" s="158"/>
      <c r="G386" s="158"/>
      <c r="H386" s="158"/>
      <c r="I386" s="158"/>
      <c r="J386" s="158"/>
      <c r="K386" s="158"/>
      <c r="L386" s="158"/>
      <c r="M386" s="158"/>
    </row>
    <row r="387" spans="1:13" ht="14.25" customHeight="1">
      <c r="A387" s="158"/>
      <c r="B387" s="158"/>
      <c r="C387" s="158"/>
      <c r="D387" s="158"/>
      <c r="E387" s="158"/>
      <c r="F387" s="158"/>
      <c r="G387" s="158"/>
      <c r="H387" s="158"/>
      <c r="I387" s="158"/>
      <c r="J387" s="158"/>
      <c r="K387" s="158"/>
      <c r="L387" s="158"/>
      <c r="M387" s="158"/>
    </row>
    <row r="388" spans="1:13" ht="14.25" customHeight="1">
      <c r="A388" s="158"/>
      <c r="B388" s="158"/>
      <c r="C388" s="158"/>
      <c r="D388" s="158"/>
      <c r="E388" s="158"/>
      <c r="F388" s="158"/>
      <c r="G388" s="158"/>
      <c r="H388" s="158"/>
      <c r="I388" s="158"/>
      <c r="J388" s="158"/>
      <c r="K388" s="158"/>
      <c r="L388" s="158"/>
      <c r="M388" s="158"/>
    </row>
    <row r="389" spans="1:13" ht="14.25" customHeight="1">
      <c r="A389" s="158"/>
      <c r="B389" s="158"/>
      <c r="C389" s="158"/>
      <c r="D389" s="158"/>
      <c r="E389" s="158"/>
      <c r="F389" s="158"/>
      <c r="G389" s="158"/>
      <c r="H389" s="158"/>
      <c r="I389" s="158"/>
      <c r="J389" s="158"/>
      <c r="K389" s="158"/>
      <c r="L389" s="158"/>
      <c r="M389" s="158"/>
    </row>
    <row r="390" spans="1:13" ht="14.25" customHeight="1">
      <c r="A390" s="158"/>
      <c r="B390" s="158"/>
      <c r="C390" s="158"/>
      <c r="D390" s="158"/>
      <c r="E390" s="158"/>
      <c r="F390" s="158"/>
      <c r="G390" s="158"/>
      <c r="H390" s="158"/>
      <c r="I390" s="158"/>
      <c r="J390" s="158"/>
      <c r="K390" s="158"/>
      <c r="L390" s="158"/>
      <c r="M390" s="158"/>
    </row>
    <row r="391" spans="1:13" ht="14.25" customHeight="1">
      <c r="A391" s="158"/>
      <c r="B391" s="158"/>
      <c r="C391" s="158"/>
      <c r="D391" s="158"/>
      <c r="E391" s="158"/>
      <c r="F391" s="158"/>
      <c r="G391" s="158"/>
      <c r="H391" s="158"/>
      <c r="I391" s="158"/>
      <c r="J391" s="158"/>
      <c r="K391" s="158"/>
      <c r="L391" s="158"/>
      <c r="M391" s="158"/>
    </row>
    <row r="392" spans="1:13" ht="14.25" customHeight="1">
      <c r="A392" s="158"/>
      <c r="B392" s="158"/>
      <c r="C392" s="158"/>
      <c r="D392" s="158"/>
      <c r="E392" s="158"/>
      <c r="F392" s="158"/>
      <c r="G392" s="158"/>
      <c r="H392" s="158"/>
      <c r="I392" s="158"/>
      <c r="J392" s="158"/>
      <c r="K392" s="158"/>
      <c r="L392" s="158"/>
      <c r="M392" s="158"/>
    </row>
    <row r="393" spans="1:13" ht="14.25" customHeight="1">
      <c r="A393" s="158"/>
      <c r="B393" s="158"/>
      <c r="C393" s="158"/>
      <c r="D393" s="158"/>
      <c r="E393" s="158"/>
      <c r="F393" s="158"/>
      <c r="G393" s="158"/>
      <c r="H393" s="158"/>
      <c r="I393" s="158"/>
      <c r="J393" s="158"/>
      <c r="K393" s="158"/>
      <c r="L393" s="158"/>
      <c r="M393" s="158"/>
    </row>
    <row r="394" spans="1:13" ht="14.25" customHeight="1">
      <c r="A394" s="158"/>
      <c r="B394" s="158"/>
      <c r="C394" s="158"/>
      <c r="D394" s="158"/>
      <c r="E394" s="158"/>
      <c r="F394" s="158"/>
      <c r="G394" s="158"/>
      <c r="H394" s="158"/>
      <c r="I394" s="158"/>
      <c r="J394" s="158"/>
      <c r="K394" s="158"/>
      <c r="L394" s="158"/>
      <c r="M394" s="158"/>
    </row>
    <row r="395" spans="1:13" ht="14.25" customHeight="1">
      <c r="A395" s="158"/>
      <c r="B395" s="158"/>
      <c r="C395" s="158"/>
      <c r="D395" s="158"/>
      <c r="E395" s="158"/>
      <c r="F395" s="158"/>
      <c r="G395" s="158"/>
      <c r="H395" s="158"/>
      <c r="I395" s="158"/>
      <c r="J395" s="158"/>
      <c r="K395" s="158"/>
      <c r="L395" s="158"/>
      <c r="M395" s="158"/>
    </row>
    <row r="396" spans="1:13" ht="14.25" customHeight="1">
      <c r="A396" s="158"/>
      <c r="B396" s="158"/>
      <c r="C396" s="158"/>
      <c r="D396" s="158"/>
      <c r="E396" s="158"/>
      <c r="F396" s="158"/>
      <c r="G396" s="158"/>
      <c r="H396" s="158"/>
      <c r="I396" s="158"/>
      <c r="J396" s="158"/>
      <c r="K396" s="158"/>
      <c r="L396" s="158"/>
      <c r="M396" s="158"/>
    </row>
    <row r="397" spans="1:13" ht="14.25" customHeight="1">
      <c r="A397" s="158"/>
      <c r="B397" s="158"/>
      <c r="C397" s="158"/>
      <c r="D397" s="158"/>
      <c r="E397" s="158"/>
      <c r="F397" s="158"/>
      <c r="G397" s="158"/>
      <c r="H397" s="158"/>
      <c r="I397" s="158"/>
      <c r="J397" s="158"/>
      <c r="K397" s="158"/>
      <c r="L397" s="158"/>
      <c r="M397" s="158"/>
    </row>
    <row r="398" spans="1:13" ht="14.25" customHeight="1">
      <c r="A398" s="158"/>
      <c r="B398" s="158"/>
      <c r="C398" s="158"/>
      <c r="D398" s="158"/>
      <c r="E398" s="158"/>
      <c r="F398" s="158"/>
      <c r="G398" s="158"/>
      <c r="H398" s="158"/>
      <c r="I398" s="158"/>
      <c r="J398" s="158"/>
      <c r="K398" s="158"/>
      <c r="L398" s="158"/>
      <c r="M398" s="158"/>
    </row>
    <row r="399" spans="1:13" ht="14.25" customHeight="1">
      <c r="A399" s="158"/>
      <c r="B399" s="158"/>
      <c r="C399" s="158"/>
      <c r="D399" s="158"/>
      <c r="E399" s="158"/>
      <c r="F399" s="158"/>
      <c r="G399" s="158"/>
      <c r="H399" s="158"/>
      <c r="I399" s="158"/>
      <c r="J399" s="158"/>
      <c r="K399" s="158"/>
      <c r="L399" s="158"/>
      <c r="M399" s="158"/>
    </row>
    <row r="400" spans="1:13" ht="14.25" customHeight="1">
      <c r="A400" s="158"/>
      <c r="B400" s="158"/>
      <c r="C400" s="158"/>
      <c r="D400" s="158"/>
      <c r="E400" s="158"/>
      <c r="F400" s="158"/>
      <c r="G400" s="158"/>
      <c r="H400" s="158"/>
      <c r="I400" s="158"/>
      <c r="J400" s="158"/>
      <c r="K400" s="158"/>
      <c r="L400" s="158"/>
      <c r="M400" s="158"/>
    </row>
    <row r="401" spans="1:13" ht="14.25" customHeight="1">
      <c r="A401" s="158"/>
      <c r="B401" s="158"/>
      <c r="C401" s="158"/>
      <c r="D401" s="158"/>
      <c r="E401" s="158"/>
      <c r="F401" s="158"/>
      <c r="G401" s="158"/>
      <c r="H401" s="158"/>
      <c r="I401" s="158"/>
      <c r="J401" s="158"/>
      <c r="K401" s="158"/>
      <c r="L401" s="158"/>
      <c r="M401" s="158"/>
    </row>
    <row r="402" spans="1:13" ht="14.25" customHeight="1">
      <c r="A402" s="158"/>
      <c r="B402" s="158"/>
      <c r="C402" s="158"/>
      <c r="D402" s="158"/>
      <c r="E402" s="158"/>
      <c r="F402" s="158"/>
      <c r="G402" s="158"/>
      <c r="H402" s="158"/>
      <c r="I402" s="158"/>
      <c r="J402" s="158"/>
      <c r="K402" s="158"/>
      <c r="L402" s="158"/>
      <c r="M402" s="158"/>
    </row>
    <row r="403" spans="1:13" ht="14.25" customHeight="1">
      <c r="A403" s="158"/>
      <c r="B403" s="158"/>
      <c r="C403" s="158"/>
      <c r="D403" s="158"/>
      <c r="E403" s="158"/>
      <c r="F403" s="158"/>
      <c r="G403" s="158"/>
      <c r="H403" s="158"/>
      <c r="I403" s="158"/>
      <c r="J403" s="158"/>
      <c r="K403" s="158"/>
      <c r="L403" s="158"/>
      <c r="M403" s="158"/>
    </row>
    <row r="404" spans="1:13" ht="14.25" customHeight="1">
      <c r="A404" s="158"/>
      <c r="B404" s="158"/>
      <c r="C404" s="158"/>
      <c r="D404" s="158"/>
      <c r="E404" s="158"/>
      <c r="F404" s="158"/>
      <c r="G404" s="158"/>
      <c r="H404" s="158"/>
      <c r="I404" s="158"/>
      <c r="J404" s="158"/>
      <c r="K404" s="158"/>
      <c r="L404" s="158"/>
      <c r="M404" s="158"/>
    </row>
    <row r="405" spans="1:13" ht="14.25" customHeight="1">
      <c r="A405" s="158"/>
      <c r="B405" s="158"/>
      <c r="C405" s="158"/>
      <c r="D405" s="158"/>
      <c r="E405" s="158"/>
      <c r="F405" s="158"/>
      <c r="G405" s="158"/>
      <c r="H405" s="158"/>
      <c r="I405" s="158"/>
      <c r="J405" s="158"/>
      <c r="K405" s="158"/>
      <c r="L405" s="158"/>
      <c r="M405" s="158"/>
    </row>
    <row r="406" spans="1:13" ht="14.25" customHeight="1">
      <c r="A406" s="158"/>
      <c r="B406" s="158"/>
      <c r="C406" s="158"/>
      <c r="D406" s="158"/>
      <c r="E406" s="158"/>
      <c r="F406" s="158"/>
      <c r="G406" s="158"/>
      <c r="H406" s="158"/>
      <c r="I406" s="158"/>
      <c r="J406" s="158"/>
      <c r="K406" s="158"/>
      <c r="L406" s="158"/>
      <c r="M406" s="158"/>
    </row>
    <row r="407" spans="1:13" ht="14.25" customHeight="1">
      <c r="A407" s="158"/>
      <c r="B407" s="158"/>
      <c r="C407" s="158"/>
      <c r="D407" s="158"/>
      <c r="E407" s="158"/>
      <c r="F407" s="158"/>
      <c r="G407" s="158"/>
      <c r="H407" s="158"/>
      <c r="I407" s="158"/>
      <c r="J407" s="158"/>
      <c r="K407" s="158"/>
      <c r="L407" s="158"/>
      <c r="M407" s="158"/>
    </row>
    <row r="408" spans="1:13" ht="14.25" customHeight="1">
      <c r="A408" s="158"/>
      <c r="B408" s="158"/>
      <c r="C408" s="158"/>
      <c r="D408" s="158"/>
      <c r="E408" s="158"/>
      <c r="F408" s="158"/>
      <c r="G408" s="158"/>
      <c r="H408" s="158"/>
      <c r="I408" s="158"/>
      <c r="J408" s="158"/>
      <c r="K408" s="158"/>
      <c r="L408" s="158"/>
      <c r="M408" s="158"/>
    </row>
    <row r="409" spans="1:13" ht="14.25" customHeight="1">
      <c r="A409" s="158"/>
      <c r="B409" s="158"/>
      <c r="C409" s="158"/>
      <c r="D409" s="158"/>
      <c r="E409" s="158"/>
      <c r="F409" s="158"/>
      <c r="G409" s="158"/>
      <c r="H409" s="158"/>
      <c r="I409" s="158"/>
      <c r="J409" s="158"/>
      <c r="K409" s="158"/>
      <c r="L409" s="158"/>
      <c r="M409" s="158"/>
    </row>
    <row r="410" spans="1:13" ht="14.25" customHeight="1">
      <c r="A410" s="158"/>
      <c r="B410" s="158"/>
      <c r="C410" s="158"/>
      <c r="D410" s="158"/>
      <c r="E410" s="158"/>
      <c r="F410" s="158"/>
      <c r="G410" s="158"/>
      <c r="H410" s="158"/>
      <c r="I410" s="158"/>
      <c r="J410" s="158"/>
      <c r="K410" s="158"/>
      <c r="L410" s="158"/>
      <c r="M410" s="158"/>
    </row>
    <row r="411" spans="1:13" ht="14.25" customHeight="1">
      <c r="A411" s="158"/>
      <c r="B411" s="158"/>
      <c r="C411" s="158"/>
      <c r="D411" s="158"/>
      <c r="E411" s="158"/>
      <c r="F411" s="158"/>
      <c r="G411" s="158"/>
      <c r="H411" s="158"/>
      <c r="I411" s="158"/>
      <c r="J411" s="158"/>
      <c r="K411" s="158"/>
      <c r="L411" s="158"/>
      <c r="M411" s="158"/>
    </row>
    <row r="412" spans="1:13" ht="14.25" customHeight="1">
      <c r="A412" s="158"/>
      <c r="B412" s="158"/>
      <c r="C412" s="158"/>
      <c r="D412" s="158"/>
      <c r="E412" s="158"/>
      <c r="F412" s="158"/>
      <c r="G412" s="158"/>
      <c r="H412" s="158"/>
      <c r="I412" s="158"/>
      <c r="J412" s="158"/>
      <c r="K412" s="158"/>
      <c r="L412" s="158"/>
      <c r="M412" s="158"/>
    </row>
    <row r="413" spans="1:13" ht="14.25" customHeight="1">
      <c r="A413" s="158"/>
      <c r="B413" s="158"/>
      <c r="C413" s="158"/>
      <c r="D413" s="158"/>
      <c r="E413" s="158"/>
      <c r="F413" s="158"/>
      <c r="G413" s="158"/>
      <c r="H413" s="158"/>
      <c r="I413" s="158"/>
      <c r="J413" s="158"/>
      <c r="K413" s="158"/>
      <c r="L413" s="158"/>
      <c r="M413" s="158"/>
    </row>
    <row r="414" spans="1:13" ht="14.25" customHeight="1">
      <c r="A414" s="158"/>
      <c r="B414" s="158"/>
      <c r="C414" s="158"/>
      <c r="D414" s="158"/>
      <c r="E414" s="158"/>
      <c r="F414" s="158"/>
      <c r="G414" s="158"/>
      <c r="H414" s="158"/>
      <c r="I414" s="158"/>
      <c r="J414" s="158"/>
      <c r="K414" s="158"/>
      <c r="L414" s="158"/>
      <c r="M414" s="158"/>
    </row>
    <row r="415" spans="1:13" ht="14.25" customHeight="1">
      <c r="A415" s="158"/>
      <c r="B415" s="158"/>
      <c r="C415" s="158"/>
      <c r="D415" s="158"/>
      <c r="E415" s="158"/>
      <c r="F415" s="158"/>
      <c r="G415" s="158"/>
      <c r="H415" s="158"/>
      <c r="I415" s="158"/>
      <c r="J415" s="158"/>
      <c r="K415" s="158"/>
      <c r="L415" s="158"/>
      <c r="M415" s="158"/>
    </row>
    <row r="416" spans="1:13" ht="14.25" customHeight="1">
      <c r="A416" s="158"/>
      <c r="B416" s="158"/>
      <c r="C416" s="158"/>
      <c r="D416" s="158"/>
      <c r="E416" s="158"/>
      <c r="F416" s="158"/>
      <c r="G416" s="158"/>
      <c r="H416" s="158"/>
      <c r="I416" s="158"/>
      <c r="J416" s="158"/>
      <c r="K416" s="158"/>
      <c r="L416" s="158"/>
      <c r="M416" s="158"/>
    </row>
    <row r="417" spans="1:13" ht="14.25" customHeight="1">
      <c r="A417" s="158"/>
      <c r="B417" s="158"/>
      <c r="C417" s="158"/>
      <c r="D417" s="158"/>
      <c r="E417" s="158"/>
      <c r="F417" s="158"/>
      <c r="G417" s="158"/>
      <c r="H417" s="158"/>
      <c r="I417" s="158"/>
      <c r="J417" s="158"/>
      <c r="K417" s="158"/>
      <c r="L417" s="158"/>
      <c r="M417" s="158"/>
    </row>
    <row r="418" spans="1:13" ht="14.25" customHeight="1">
      <c r="A418" s="158"/>
      <c r="B418" s="158"/>
      <c r="C418" s="158"/>
      <c r="D418" s="158"/>
      <c r="E418" s="158"/>
      <c r="F418" s="158"/>
      <c r="G418" s="158"/>
      <c r="H418" s="158"/>
      <c r="I418" s="158"/>
      <c r="J418" s="158"/>
      <c r="K418" s="158"/>
      <c r="L418" s="158"/>
      <c r="M418" s="158"/>
    </row>
    <row r="419" spans="1:13" ht="14.25" customHeight="1">
      <c r="A419" s="158"/>
      <c r="B419" s="158"/>
      <c r="C419" s="158"/>
      <c r="D419" s="158"/>
      <c r="E419" s="158"/>
      <c r="F419" s="158"/>
      <c r="G419" s="158"/>
      <c r="H419" s="158"/>
      <c r="I419" s="158"/>
      <c r="J419" s="158"/>
      <c r="K419" s="158"/>
      <c r="L419" s="158"/>
      <c r="M419" s="158"/>
    </row>
    <row r="420" spans="1:13" ht="14.25" customHeight="1">
      <c r="A420" s="158"/>
      <c r="B420" s="158"/>
      <c r="C420" s="158"/>
      <c r="D420" s="158"/>
      <c r="E420" s="158"/>
      <c r="F420" s="158"/>
      <c r="G420" s="158"/>
      <c r="H420" s="158"/>
      <c r="I420" s="158"/>
      <c r="J420" s="158"/>
      <c r="K420" s="158"/>
      <c r="L420" s="158"/>
      <c r="M420" s="158"/>
    </row>
    <row r="421" spans="1:13" ht="14.25" customHeight="1">
      <c r="A421" s="158"/>
      <c r="B421" s="158"/>
      <c r="C421" s="158"/>
      <c r="D421" s="158"/>
      <c r="E421" s="158"/>
      <c r="F421" s="158"/>
      <c r="G421" s="158"/>
      <c r="H421" s="158"/>
      <c r="I421" s="158"/>
      <c r="J421" s="158"/>
      <c r="K421" s="158"/>
      <c r="L421" s="158"/>
      <c r="M421" s="158"/>
    </row>
    <row r="422" spans="1:13" ht="14.25" customHeight="1">
      <c r="A422" s="158"/>
      <c r="B422" s="158"/>
      <c r="C422" s="158"/>
      <c r="D422" s="158"/>
      <c r="E422" s="158"/>
      <c r="F422" s="158"/>
      <c r="G422" s="158"/>
      <c r="H422" s="158"/>
      <c r="I422" s="158"/>
      <c r="J422" s="158"/>
      <c r="K422" s="158"/>
      <c r="L422" s="158"/>
      <c r="M422" s="158"/>
    </row>
    <row r="423" spans="1:13" ht="14.25" customHeight="1">
      <c r="A423" s="158"/>
      <c r="B423" s="158"/>
      <c r="C423" s="158"/>
      <c r="D423" s="158"/>
      <c r="E423" s="158"/>
      <c r="F423" s="158"/>
      <c r="G423" s="158"/>
      <c r="H423" s="158"/>
      <c r="I423" s="158"/>
      <c r="J423" s="158"/>
      <c r="K423" s="158"/>
      <c r="L423" s="158"/>
      <c r="M423" s="158"/>
    </row>
    <row r="424" spans="1:13" ht="14.25" customHeight="1">
      <c r="A424" s="158"/>
      <c r="B424" s="158"/>
      <c r="C424" s="158"/>
      <c r="D424" s="158"/>
      <c r="E424" s="158"/>
      <c r="F424" s="158"/>
      <c r="G424" s="158"/>
      <c r="H424" s="158"/>
      <c r="I424" s="158"/>
      <c r="J424" s="158"/>
      <c r="K424" s="158"/>
      <c r="L424" s="158"/>
      <c r="M424" s="158"/>
    </row>
    <row r="425" spans="1:13" ht="14.25" customHeight="1">
      <c r="A425" s="158"/>
      <c r="B425" s="158"/>
      <c r="C425" s="158"/>
      <c r="D425" s="158"/>
      <c r="E425" s="158"/>
      <c r="F425" s="158"/>
      <c r="G425" s="158"/>
      <c r="H425" s="158"/>
      <c r="I425" s="158"/>
      <c r="J425" s="158"/>
      <c r="K425" s="158"/>
      <c r="L425" s="158"/>
      <c r="M425" s="158"/>
    </row>
    <row r="426" spans="1:13" ht="14.25" customHeight="1">
      <c r="A426" s="158"/>
      <c r="B426" s="158"/>
      <c r="C426" s="158"/>
      <c r="D426" s="158"/>
      <c r="E426" s="158"/>
      <c r="F426" s="158"/>
      <c r="G426" s="158"/>
      <c r="H426" s="158"/>
      <c r="I426" s="158"/>
      <c r="J426" s="158"/>
      <c r="K426" s="158"/>
      <c r="L426" s="158"/>
      <c r="M426" s="158"/>
    </row>
    <row r="427" spans="1:13" ht="14.25" customHeight="1">
      <c r="A427" s="158"/>
      <c r="B427" s="158"/>
      <c r="C427" s="158"/>
      <c r="D427" s="158"/>
      <c r="E427" s="158"/>
      <c r="F427" s="158"/>
      <c r="G427" s="158"/>
      <c r="H427" s="158"/>
      <c r="I427" s="158"/>
      <c r="J427" s="158"/>
      <c r="K427" s="158"/>
      <c r="L427" s="158"/>
      <c r="M427" s="158"/>
    </row>
    <row r="428" spans="1:13" ht="14.25" customHeight="1">
      <c r="A428" s="158"/>
      <c r="B428" s="158"/>
      <c r="C428" s="158"/>
      <c r="D428" s="158"/>
      <c r="E428" s="158"/>
      <c r="F428" s="158"/>
      <c r="G428" s="158"/>
      <c r="H428" s="158"/>
      <c r="I428" s="158"/>
      <c r="J428" s="158"/>
      <c r="K428" s="158"/>
      <c r="L428" s="158"/>
      <c r="M428" s="158"/>
    </row>
    <row r="429" spans="1:13" ht="14.25" customHeight="1">
      <c r="A429" s="158"/>
      <c r="B429" s="158"/>
      <c r="C429" s="158"/>
      <c r="D429" s="158"/>
      <c r="E429" s="158"/>
      <c r="F429" s="158"/>
      <c r="G429" s="158"/>
      <c r="H429" s="158"/>
      <c r="I429" s="158"/>
      <c r="J429" s="158"/>
      <c r="K429" s="158"/>
      <c r="L429" s="158"/>
      <c r="M429" s="158"/>
    </row>
    <row r="430" spans="1:13" ht="14.25" customHeight="1">
      <c r="A430" s="158"/>
      <c r="B430" s="158"/>
      <c r="C430" s="158"/>
      <c r="D430" s="158"/>
      <c r="E430" s="158"/>
      <c r="F430" s="158"/>
      <c r="G430" s="158"/>
      <c r="H430" s="158"/>
      <c r="I430" s="158"/>
      <c r="J430" s="158"/>
      <c r="K430" s="158"/>
      <c r="L430" s="158"/>
      <c r="M430" s="158"/>
    </row>
    <row r="431" spans="1:13" ht="14.25" customHeight="1">
      <c r="A431" s="158"/>
      <c r="B431" s="158"/>
      <c r="C431" s="158"/>
      <c r="D431" s="158"/>
      <c r="E431" s="158"/>
      <c r="F431" s="158"/>
      <c r="G431" s="158"/>
      <c r="H431" s="158"/>
      <c r="I431" s="158"/>
      <c r="J431" s="158"/>
      <c r="K431" s="158"/>
      <c r="L431" s="158"/>
      <c r="M431" s="158"/>
    </row>
    <row r="432" spans="1:13" ht="14.25" customHeight="1">
      <c r="A432" s="158"/>
      <c r="B432" s="158"/>
      <c r="C432" s="158"/>
      <c r="D432" s="158"/>
      <c r="E432" s="158"/>
      <c r="F432" s="158"/>
      <c r="G432" s="158"/>
      <c r="H432" s="158"/>
      <c r="I432" s="158"/>
      <c r="J432" s="158"/>
      <c r="K432" s="158"/>
      <c r="L432" s="158"/>
      <c r="M432" s="158"/>
    </row>
    <row r="433" spans="1:13" ht="14.25" customHeight="1">
      <c r="A433" s="158"/>
      <c r="B433" s="158"/>
      <c r="C433" s="158"/>
      <c r="D433" s="158"/>
      <c r="E433" s="158"/>
      <c r="F433" s="158"/>
      <c r="G433" s="158"/>
      <c r="H433" s="158"/>
      <c r="I433" s="158"/>
      <c r="J433" s="158"/>
      <c r="K433" s="158"/>
      <c r="L433" s="158"/>
      <c r="M433" s="158"/>
    </row>
    <row r="434" spans="1:13" ht="14.25" customHeight="1">
      <c r="A434" s="158"/>
      <c r="B434" s="158"/>
      <c r="C434" s="158"/>
      <c r="D434" s="158"/>
      <c r="E434" s="158"/>
      <c r="F434" s="158"/>
      <c r="G434" s="158"/>
      <c r="H434" s="158"/>
      <c r="I434" s="158"/>
      <c r="J434" s="158"/>
      <c r="K434" s="158"/>
      <c r="L434" s="158"/>
      <c r="M434" s="158"/>
    </row>
    <row r="435" spans="1:13" ht="14.25" customHeight="1">
      <c r="A435" s="158"/>
      <c r="B435" s="158"/>
      <c r="C435" s="158"/>
      <c r="D435" s="158"/>
      <c r="E435" s="158"/>
      <c r="F435" s="158"/>
      <c r="G435" s="158"/>
      <c r="H435" s="158"/>
      <c r="I435" s="158"/>
      <c r="J435" s="158"/>
      <c r="K435" s="158"/>
      <c r="L435" s="158"/>
      <c r="M435" s="158"/>
    </row>
    <row r="436" spans="1:13" ht="14.25" customHeight="1">
      <c r="A436" s="158"/>
      <c r="B436" s="158"/>
      <c r="C436" s="158"/>
      <c r="D436" s="158"/>
      <c r="E436" s="158"/>
      <c r="F436" s="158"/>
      <c r="G436" s="158"/>
      <c r="H436" s="158"/>
      <c r="I436" s="158"/>
      <c r="J436" s="158"/>
      <c r="K436" s="158"/>
      <c r="L436" s="158"/>
      <c r="M436" s="158"/>
    </row>
    <row r="437" spans="1:13" ht="14.25" customHeight="1">
      <c r="A437" s="158"/>
      <c r="B437" s="158"/>
      <c r="C437" s="158"/>
      <c r="D437" s="158"/>
      <c r="E437" s="158"/>
      <c r="F437" s="158"/>
      <c r="G437" s="158"/>
      <c r="H437" s="158"/>
      <c r="I437" s="158"/>
      <c r="J437" s="158"/>
      <c r="K437" s="158"/>
      <c r="L437" s="158"/>
      <c r="M437" s="158"/>
    </row>
    <row r="438" spans="1:13" ht="14.25" customHeight="1">
      <c r="A438" s="158"/>
      <c r="B438" s="158"/>
      <c r="C438" s="158"/>
      <c r="D438" s="158"/>
      <c r="E438" s="158"/>
      <c r="F438" s="158"/>
      <c r="G438" s="158"/>
      <c r="H438" s="158"/>
      <c r="I438" s="158"/>
      <c r="J438" s="158"/>
      <c r="K438" s="158"/>
      <c r="L438" s="158"/>
      <c r="M438" s="158"/>
    </row>
    <row r="439" spans="1:13" ht="14.25" customHeight="1">
      <c r="A439" s="158"/>
      <c r="B439" s="158"/>
      <c r="C439" s="158"/>
      <c r="D439" s="158"/>
      <c r="E439" s="158"/>
      <c r="F439" s="158"/>
      <c r="G439" s="158"/>
      <c r="H439" s="158"/>
      <c r="I439" s="158"/>
      <c r="J439" s="158"/>
      <c r="K439" s="158"/>
      <c r="L439" s="158"/>
      <c r="M439" s="158"/>
    </row>
    <row r="440" spans="1:13" ht="14.25" customHeight="1">
      <c r="A440" s="158"/>
      <c r="B440" s="158"/>
      <c r="C440" s="158"/>
      <c r="D440" s="158"/>
      <c r="E440" s="158"/>
      <c r="F440" s="158"/>
      <c r="G440" s="158"/>
      <c r="H440" s="158"/>
      <c r="I440" s="158"/>
      <c r="J440" s="158"/>
      <c r="K440" s="158"/>
      <c r="L440" s="158"/>
      <c r="M440" s="158"/>
    </row>
    <row r="441" spans="1:13" ht="14.25" customHeight="1">
      <c r="A441" s="158"/>
      <c r="B441" s="158"/>
      <c r="C441" s="158"/>
      <c r="D441" s="158"/>
      <c r="E441" s="158"/>
      <c r="F441" s="158"/>
      <c r="G441" s="158"/>
      <c r="H441" s="158"/>
      <c r="I441" s="158"/>
      <c r="J441" s="158"/>
      <c r="K441" s="158"/>
      <c r="L441" s="158"/>
      <c r="M441" s="158"/>
    </row>
    <row r="442" spans="1:13" ht="14.25" customHeight="1">
      <c r="A442" s="158"/>
      <c r="B442" s="158"/>
      <c r="C442" s="158"/>
      <c r="D442" s="158"/>
      <c r="E442" s="158"/>
      <c r="F442" s="158"/>
      <c r="G442" s="158"/>
      <c r="H442" s="158"/>
      <c r="I442" s="158"/>
      <c r="J442" s="158"/>
      <c r="K442" s="158"/>
      <c r="L442" s="158"/>
      <c r="M442" s="158"/>
    </row>
    <row r="443" spans="1:13" ht="14.25" customHeight="1">
      <c r="A443" s="158"/>
      <c r="B443" s="158"/>
      <c r="C443" s="158"/>
      <c r="D443" s="158"/>
      <c r="E443" s="158"/>
      <c r="F443" s="158"/>
      <c r="G443" s="158"/>
      <c r="H443" s="158"/>
      <c r="I443" s="158"/>
      <c r="J443" s="158"/>
      <c r="K443" s="158"/>
      <c r="L443" s="158"/>
      <c r="M443" s="158"/>
    </row>
    <row r="444" spans="1:13" ht="14.25" customHeight="1">
      <c r="A444" s="158"/>
      <c r="B444" s="158"/>
      <c r="C444" s="158"/>
      <c r="D444" s="158"/>
      <c r="E444" s="158"/>
      <c r="F444" s="158"/>
      <c r="G444" s="158"/>
      <c r="H444" s="158"/>
      <c r="I444" s="158"/>
      <c r="J444" s="158"/>
      <c r="K444" s="158"/>
      <c r="L444" s="158"/>
      <c r="M444" s="158"/>
    </row>
    <row r="445" spans="1:13" ht="14.25" customHeight="1">
      <c r="A445" s="158"/>
      <c r="B445" s="158"/>
      <c r="C445" s="158"/>
      <c r="D445" s="158"/>
      <c r="E445" s="158"/>
      <c r="F445" s="158"/>
      <c r="G445" s="158"/>
      <c r="H445" s="158"/>
      <c r="I445" s="158"/>
      <c r="J445" s="158"/>
      <c r="K445" s="158"/>
      <c r="L445" s="158"/>
      <c r="M445" s="158"/>
    </row>
    <row r="446" spans="1:13" ht="14.25" customHeight="1">
      <c r="A446" s="158"/>
      <c r="B446" s="158"/>
      <c r="C446" s="158"/>
      <c r="D446" s="158"/>
      <c r="E446" s="158"/>
      <c r="F446" s="158"/>
      <c r="G446" s="158"/>
      <c r="H446" s="158"/>
      <c r="I446" s="158"/>
      <c r="J446" s="158"/>
      <c r="K446" s="158"/>
      <c r="L446" s="158"/>
      <c r="M446" s="158"/>
    </row>
    <row r="447" spans="1:13" ht="14.25" customHeight="1">
      <c r="A447" s="158"/>
      <c r="B447" s="158"/>
      <c r="C447" s="158"/>
      <c r="D447" s="158"/>
      <c r="E447" s="158"/>
      <c r="F447" s="158"/>
      <c r="G447" s="158"/>
      <c r="H447" s="158"/>
      <c r="I447" s="158"/>
      <c r="J447" s="158"/>
      <c r="K447" s="158"/>
      <c r="L447" s="158"/>
      <c r="M447" s="158"/>
    </row>
    <row r="448" spans="1:13" ht="14.25" customHeight="1">
      <c r="A448" s="158"/>
      <c r="B448" s="158"/>
      <c r="C448" s="158"/>
      <c r="D448" s="158"/>
      <c r="E448" s="158"/>
      <c r="F448" s="158"/>
      <c r="G448" s="158"/>
      <c r="H448" s="158"/>
      <c r="I448" s="158"/>
      <c r="J448" s="158"/>
      <c r="K448" s="158"/>
      <c r="L448" s="158"/>
      <c r="M448" s="158"/>
    </row>
    <row r="449" spans="1:13" ht="14.25" customHeight="1">
      <c r="A449" s="158"/>
      <c r="B449" s="158"/>
      <c r="C449" s="158"/>
      <c r="D449" s="158"/>
      <c r="E449" s="158"/>
      <c r="F449" s="158"/>
      <c r="G449" s="158"/>
      <c r="H449" s="158"/>
      <c r="I449" s="158"/>
      <c r="J449" s="158"/>
      <c r="K449" s="158"/>
      <c r="L449" s="158"/>
      <c r="M449" s="158"/>
    </row>
    <row r="450" spans="1:13" ht="14.25" customHeight="1">
      <c r="A450" s="158"/>
      <c r="B450" s="158"/>
      <c r="C450" s="158"/>
      <c r="D450" s="158"/>
      <c r="E450" s="158"/>
      <c r="F450" s="158"/>
      <c r="G450" s="158"/>
      <c r="H450" s="158"/>
      <c r="I450" s="158"/>
      <c r="J450" s="158"/>
      <c r="K450" s="158"/>
      <c r="L450" s="158"/>
      <c r="M450" s="158"/>
    </row>
    <row r="451" spans="1:13" ht="14.25" customHeight="1">
      <c r="A451" s="158"/>
      <c r="B451" s="158"/>
      <c r="C451" s="158"/>
      <c r="D451" s="158"/>
      <c r="E451" s="158"/>
      <c r="F451" s="158"/>
      <c r="G451" s="158"/>
      <c r="H451" s="158"/>
      <c r="I451" s="158"/>
      <c r="J451" s="158"/>
      <c r="K451" s="158"/>
      <c r="L451" s="158"/>
      <c r="M451" s="158"/>
    </row>
    <row r="452" spans="1:13" ht="14.25" customHeight="1">
      <c r="A452" s="158"/>
      <c r="B452" s="158"/>
      <c r="C452" s="158"/>
      <c r="D452" s="158"/>
      <c r="E452" s="158"/>
      <c r="F452" s="158"/>
      <c r="G452" s="158"/>
      <c r="H452" s="158"/>
      <c r="I452" s="158"/>
      <c r="J452" s="158"/>
      <c r="K452" s="158"/>
      <c r="L452" s="158"/>
      <c r="M452" s="158"/>
    </row>
    <row r="453" spans="1:13" ht="14.25" customHeight="1">
      <c r="A453" s="158"/>
      <c r="B453" s="158"/>
      <c r="C453" s="158"/>
      <c r="D453" s="158"/>
      <c r="E453" s="158"/>
      <c r="F453" s="158"/>
      <c r="G453" s="158"/>
      <c r="H453" s="158"/>
      <c r="I453" s="158"/>
      <c r="J453" s="158"/>
      <c r="K453" s="158"/>
      <c r="L453" s="158"/>
      <c r="M453" s="158"/>
    </row>
    <row r="454" spans="1:13" ht="14.25" customHeight="1">
      <c r="A454" s="158"/>
      <c r="B454" s="158"/>
      <c r="C454" s="158"/>
      <c r="D454" s="158"/>
      <c r="E454" s="158"/>
      <c r="F454" s="158"/>
      <c r="G454" s="158"/>
      <c r="H454" s="158"/>
      <c r="I454" s="158"/>
      <c r="J454" s="158"/>
      <c r="K454" s="158"/>
      <c r="L454" s="158"/>
      <c r="M454" s="158"/>
    </row>
    <row r="455" spans="1:13" ht="14.25" customHeight="1">
      <c r="A455" s="158"/>
      <c r="B455" s="158"/>
      <c r="C455" s="158"/>
      <c r="D455" s="158"/>
      <c r="E455" s="158"/>
      <c r="F455" s="158"/>
      <c r="G455" s="158"/>
      <c r="H455" s="158"/>
      <c r="I455" s="158"/>
      <c r="J455" s="158"/>
      <c r="K455" s="158"/>
      <c r="L455" s="158"/>
      <c r="M455" s="158"/>
    </row>
    <row r="456" spans="1:13" ht="14.25" customHeight="1">
      <c r="A456" s="158"/>
      <c r="B456" s="158"/>
      <c r="C456" s="158"/>
      <c r="D456" s="158"/>
      <c r="E456" s="158"/>
      <c r="F456" s="158"/>
      <c r="G456" s="158"/>
      <c r="H456" s="158"/>
      <c r="I456" s="158"/>
      <c r="J456" s="158"/>
      <c r="K456" s="158"/>
      <c r="L456" s="158"/>
      <c r="M456" s="158"/>
    </row>
    <row r="457" spans="1:13" ht="14.25" customHeight="1">
      <c r="A457" s="158"/>
      <c r="B457" s="158"/>
      <c r="C457" s="158"/>
      <c r="D457" s="158"/>
      <c r="E457" s="158"/>
      <c r="F457" s="158"/>
      <c r="G457" s="158"/>
      <c r="H457" s="158"/>
      <c r="I457" s="158"/>
      <c r="J457" s="158"/>
      <c r="K457" s="158"/>
      <c r="L457" s="158"/>
      <c r="M457" s="158"/>
    </row>
    <row r="458" spans="1:13" ht="14.25" customHeight="1">
      <c r="A458" s="158"/>
      <c r="B458" s="158"/>
      <c r="C458" s="158"/>
      <c r="D458" s="158"/>
      <c r="E458" s="158"/>
      <c r="F458" s="158"/>
      <c r="G458" s="158"/>
      <c r="H458" s="158"/>
      <c r="I458" s="158"/>
      <c r="J458" s="158"/>
      <c r="K458" s="158"/>
      <c r="L458" s="158"/>
      <c r="M458" s="158"/>
    </row>
    <row r="459" spans="1:13" ht="14.25" customHeight="1">
      <c r="A459" s="158"/>
      <c r="B459" s="158"/>
      <c r="C459" s="158"/>
      <c r="D459" s="158"/>
      <c r="E459" s="158"/>
      <c r="F459" s="158"/>
      <c r="G459" s="158"/>
      <c r="H459" s="158"/>
      <c r="I459" s="158"/>
      <c r="J459" s="158"/>
      <c r="K459" s="158"/>
      <c r="L459" s="158"/>
      <c r="M459" s="158"/>
    </row>
    <row r="460" spans="1:13" ht="14.25" customHeight="1">
      <c r="A460" s="158"/>
      <c r="B460" s="158"/>
      <c r="C460" s="158"/>
      <c r="D460" s="158"/>
      <c r="E460" s="158"/>
      <c r="F460" s="158"/>
      <c r="G460" s="158"/>
      <c r="H460" s="158"/>
      <c r="I460" s="158"/>
      <c r="J460" s="158"/>
      <c r="K460" s="158"/>
      <c r="L460" s="158"/>
      <c r="M460" s="158"/>
    </row>
    <row r="461" spans="1:13" ht="14.25" customHeight="1">
      <c r="A461" s="158"/>
      <c r="B461" s="158"/>
      <c r="C461" s="158"/>
      <c r="D461" s="158"/>
      <c r="E461" s="158"/>
      <c r="F461" s="158"/>
      <c r="G461" s="158"/>
      <c r="H461" s="158"/>
      <c r="I461" s="158"/>
      <c r="J461" s="158"/>
      <c r="K461" s="158"/>
      <c r="L461" s="158"/>
      <c r="M461" s="158"/>
    </row>
    <row r="462" spans="1:13" ht="14.25" customHeight="1">
      <c r="A462" s="158"/>
      <c r="B462" s="158"/>
      <c r="C462" s="158"/>
      <c r="D462" s="158"/>
      <c r="E462" s="158"/>
      <c r="F462" s="158"/>
      <c r="G462" s="158"/>
      <c r="H462" s="158"/>
      <c r="I462" s="158"/>
      <c r="J462" s="158"/>
      <c r="K462" s="158"/>
      <c r="L462" s="158"/>
      <c r="M462" s="158"/>
    </row>
    <row r="463" spans="1:13" ht="14.25" customHeight="1">
      <c r="A463" s="158"/>
      <c r="B463" s="158"/>
      <c r="C463" s="158"/>
      <c r="D463" s="158"/>
      <c r="E463" s="158"/>
      <c r="F463" s="158"/>
      <c r="G463" s="158"/>
      <c r="H463" s="158"/>
      <c r="I463" s="158"/>
      <c r="J463" s="158"/>
      <c r="K463" s="158"/>
      <c r="L463" s="158"/>
      <c r="M463" s="158"/>
    </row>
    <row r="464" spans="1:13" ht="14.25" customHeight="1">
      <c r="A464" s="158"/>
      <c r="B464" s="158"/>
      <c r="C464" s="158"/>
      <c r="D464" s="158"/>
      <c r="E464" s="158"/>
      <c r="F464" s="158"/>
      <c r="G464" s="158"/>
      <c r="H464" s="158"/>
      <c r="I464" s="158"/>
      <c r="J464" s="158"/>
      <c r="K464" s="158"/>
      <c r="L464" s="158"/>
      <c r="M464" s="158"/>
    </row>
    <row r="465" spans="1:13" ht="14.25" customHeight="1">
      <c r="A465" s="158"/>
      <c r="B465" s="158"/>
      <c r="C465" s="158"/>
      <c r="D465" s="158"/>
      <c r="E465" s="158"/>
      <c r="F465" s="158"/>
      <c r="G465" s="158"/>
      <c r="H465" s="158"/>
      <c r="I465" s="158"/>
      <c r="J465" s="158"/>
      <c r="K465" s="158"/>
      <c r="L465" s="158"/>
      <c r="M465" s="158"/>
    </row>
    <row r="466" spans="1:13" ht="14.25" customHeight="1">
      <c r="A466" s="158"/>
      <c r="B466" s="158"/>
      <c r="C466" s="158"/>
      <c r="D466" s="158"/>
      <c r="E466" s="158"/>
      <c r="F466" s="158"/>
      <c r="G466" s="158"/>
      <c r="H466" s="158"/>
      <c r="I466" s="158"/>
      <c r="J466" s="158"/>
      <c r="K466" s="158"/>
      <c r="L466" s="158"/>
      <c r="M466" s="158"/>
    </row>
    <row r="467" spans="1:13" ht="14.25" customHeight="1">
      <c r="A467" s="158"/>
      <c r="B467" s="158"/>
      <c r="C467" s="158"/>
      <c r="D467" s="158"/>
      <c r="E467" s="158"/>
      <c r="F467" s="158"/>
      <c r="G467" s="158"/>
      <c r="H467" s="158"/>
      <c r="I467" s="158"/>
      <c r="J467" s="158"/>
      <c r="K467" s="158"/>
      <c r="L467" s="158"/>
      <c r="M467" s="158"/>
    </row>
    <row r="468" spans="1:13" ht="14.25" customHeight="1">
      <c r="A468" s="158"/>
      <c r="B468" s="158"/>
      <c r="C468" s="158"/>
      <c r="D468" s="158"/>
      <c r="E468" s="158"/>
      <c r="F468" s="158"/>
      <c r="G468" s="158"/>
      <c r="H468" s="158"/>
      <c r="I468" s="158"/>
      <c r="J468" s="158"/>
      <c r="K468" s="158"/>
      <c r="L468" s="158"/>
      <c r="M468" s="158"/>
    </row>
    <row r="469" spans="1:13" ht="14.25" customHeight="1">
      <c r="A469" s="158"/>
      <c r="B469" s="158"/>
      <c r="C469" s="158"/>
      <c r="D469" s="158"/>
      <c r="E469" s="158"/>
      <c r="F469" s="158"/>
      <c r="G469" s="158"/>
      <c r="H469" s="158"/>
      <c r="I469" s="158"/>
      <c r="J469" s="158"/>
      <c r="K469" s="158"/>
      <c r="L469" s="158"/>
      <c r="M469" s="158"/>
    </row>
    <row r="470" spans="1:13" ht="14.25" customHeight="1">
      <c r="A470" s="158"/>
      <c r="B470" s="158"/>
      <c r="C470" s="158"/>
      <c r="D470" s="158"/>
      <c r="E470" s="158"/>
      <c r="F470" s="158"/>
      <c r="G470" s="158"/>
      <c r="H470" s="158"/>
      <c r="I470" s="158"/>
      <c r="J470" s="158"/>
      <c r="K470" s="158"/>
      <c r="L470" s="158"/>
      <c r="M470" s="158"/>
    </row>
    <row r="471" spans="1:13" ht="14.25" customHeight="1">
      <c r="A471" s="158"/>
      <c r="B471" s="158"/>
      <c r="C471" s="158"/>
      <c r="D471" s="158"/>
      <c r="E471" s="158"/>
      <c r="F471" s="158"/>
      <c r="G471" s="158"/>
      <c r="H471" s="158"/>
      <c r="I471" s="158"/>
      <c r="J471" s="158"/>
      <c r="K471" s="158"/>
      <c r="L471" s="158"/>
      <c r="M471" s="158"/>
    </row>
    <row r="472" spans="1:13" ht="14.25" customHeight="1">
      <c r="A472" s="158"/>
      <c r="B472" s="158"/>
      <c r="C472" s="158"/>
      <c r="D472" s="158"/>
      <c r="E472" s="158"/>
      <c r="F472" s="158"/>
      <c r="G472" s="158"/>
      <c r="H472" s="158"/>
      <c r="I472" s="158"/>
      <c r="J472" s="158"/>
      <c r="K472" s="158"/>
      <c r="L472" s="158"/>
      <c r="M472" s="158"/>
    </row>
    <row r="473" spans="1:13" ht="14.25" customHeight="1">
      <c r="A473" s="158"/>
      <c r="B473" s="158"/>
      <c r="C473" s="158"/>
      <c r="D473" s="158"/>
      <c r="E473" s="158"/>
      <c r="F473" s="158"/>
      <c r="G473" s="158"/>
      <c r="H473" s="158"/>
      <c r="I473" s="158"/>
      <c r="J473" s="158"/>
      <c r="K473" s="158"/>
      <c r="L473" s="158"/>
      <c r="M473" s="158"/>
    </row>
    <row r="474" spans="1:13" ht="14.25" customHeight="1">
      <c r="A474" s="158"/>
      <c r="B474" s="158"/>
      <c r="C474" s="158"/>
      <c r="D474" s="158"/>
      <c r="E474" s="158"/>
      <c r="F474" s="158"/>
      <c r="G474" s="158"/>
      <c r="H474" s="158"/>
      <c r="I474" s="158"/>
      <c r="J474" s="158"/>
      <c r="K474" s="158"/>
      <c r="L474" s="158"/>
      <c r="M474" s="158"/>
    </row>
    <row r="475" spans="1:13" ht="14.25" customHeight="1">
      <c r="A475" s="158"/>
      <c r="B475" s="158"/>
      <c r="C475" s="158"/>
      <c r="D475" s="158"/>
      <c r="E475" s="158"/>
      <c r="F475" s="158"/>
      <c r="G475" s="158"/>
      <c r="H475" s="158"/>
      <c r="I475" s="158"/>
      <c r="J475" s="158"/>
      <c r="K475" s="158"/>
      <c r="L475" s="158"/>
      <c r="M475" s="158"/>
    </row>
    <row r="476" spans="1:13" ht="14.25" customHeight="1">
      <c r="A476" s="158"/>
      <c r="B476" s="158"/>
      <c r="C476" s="158"/>
      <c r="D476" s="158"/>
      <c r="E476" s="158"/>
      <c r="F476" s="158"/>
      <c r="G476" s="158"/>
      <c r="H476" s="158"/>
      <c r="I476" s="158"/>
      <c r="J476" s="158"/>
      <c r="K476" s="158"/>
      <c r="L476" s="158"/>
      <c r="M476" s="158"/>
    </row>
    <row r="477" spans="1:13" ht="14.25" customHeight="1">
      <c r="A477" s="158"/>
      <c r="B477" s="158"/>
      <c r="C477" s="158"/>
      <c r="D477" s="158"/>
      <c r="E477" s="158"/>
      <c r="F477" s="158"/>
      <c r="G477" s="158"/>
      <c r="H477" s="158"/>
      <c r="I477" s="158"/>
      <c r="J477" s="158"/>
      <c r="K477" s="158"/>
      <c r="L477" s="158"/>
      <c r="M477" s="158"/>
    </row>
    <row r="478" spans="1:13" ht="14.25" customHeight="1">
      <c r="A478" s="158"/>
      <c r="B478" s="158"/>
      <c r="C478" s="158"/>
      <c r="D478" s="158"/>
      <c r="E478" s="158"/>
      <c r="F478" s="158"/>
      <c r="G478" s="158"/>
      <c r="H478" s="158"/>
      <c r="I478" s="158"/>
      <c r="J478" s="158"/>
      <c r="K478" s="158"/>
      <c r="L478" s="158"/>
      <c r="M478" s="158"/>
    </row>
    <row r="479" spans="1:13" ht="14.25" customHeight="1">
      <c r="A479" s="158"/>
      <c r="B479" s="158"/>
      <c r="C479" s="158"/>
      <c r="D479" s="158"/>
      <c r="E479" s="158"/>
      <c r="F479" s="158"/>
      <c r="G479" s="158"/>
      <c r="H479" s="158"/>
      <c r="I479" s="158"/>
      <c r="J479" s="158"/>
      <c r="K479" s="158"/>
      <c r="L479" s="158"/>
      <c r="M479" s="158"/>
    </row>
    <row r="480" spans="1:13" ht="14.25" customHeight="1">
      <c r="A480" s="158"/>
      <c r="B480" s="158"/>
      <c r="C480" s="158"/>
      <c r="D480" s="158"/>
      <c r="E480" s="158"/>
      <c r="F480" s="158"/>
      <c r="G480" s="158"/>
      <c r="H480" s="158"/>
      <c r="I480" s="158"/>
      <c r="J480" s="158"/>
      <c r="K480" s="158"/>
      <c r="L480" s="158"/>
      <c r="M480" s="158"/>
    </row>
    <row r="481" spans="1:13" ht="14.25" customHeight="1">
      <c r="A481" s="158"/>
      <c r="B481" s="158"/>
      <c r="C481" s="158"/>
      <c r="D481" s="158"/>
      <c r="E481" s="158"/>
      <c r="F481" s="158"/>
      <c r="G481" s="158"/>
      <c r="H481" s="158"/>
      <c r="I481" s="158"/>
      <c r="J481" s="158"/>
      <c r="K481" s="158"/>
      <c r="L481" s="158"/>
      <c r="M481" s="158"/>
    </row>
    <row r="482" spans="1:13" ht="14.25" customHeight="1">
      <c r="A482" s="158"/>
      <c r="B482" s="158"/>
      <c r="C482" s="158"/>
      <c r="D482" s="158"/>
      <c r="E482" s="158"/>
      <c r="F482" s="158"/>
      <c r="G482" s="158"/>
      <c r="H482" s="158"/>
      <c r="I482" s="158"/>
      <c r="J482" s="158"/>
      <c r="K482" s="158"/>
      <c r="L482" s="158"/>
      <c r="M482" s="158"/>
    </row>
    <row r="483" spans="1:13" ht="14.25" customHeight="1">
      <c r="A483" s="158"/>
      <c r="B483" s="158"/>
      <c r="C483" s="158"/>
      <c r="D483" s="158"/>
      <c r="E483" s="158"/>
      <c r="F483" s="158"/>
      <c r="G483" s="158"/>
      <c r="H483" s="158"/>
      <c r="I483" s="158"/>
      <c r="J483" s="158"/>
      <c r="K483" s="158"/>
      <c r="L483" s="158"/>
      <c r="M483" s="158"/>
    </row>
    <row r="484" spans="1:13" ht="14.25" customHeight="1">
      <c r="A484" s="158"/>
      <c r="B484" s="158"/>
      <c r="C484" s="158"/>
      <c r="D484" s="158"/>
      <c r="E484" s="158"/>
      <c r="F484" s="158"/>
      <c r="G484" s="158"/>
      <c r="H484" s="158"/>
      <c r="I484" s="158"/>
      <c r="J484" s="158"/>
      <c r="K484" s="158"/>
      <c r="L484" s="158"/>
      <c r="M484" s="158"/>
    </row>
    <row r="485" spans="1:13" ht="14.25" customHeight="1">
      <c r="A485" s="158"/>
      <c r="B485" s="158"/>
      <c r="C485" s="158"/>
      <c r="D485" s="158"/>
      <c r="E485" s="158"/>
      <c r="F485" s="158"/>
      <c r="G485" s="158"/>
      <c r="H485" s="158"/>
      <c r="I485" s="158"/>
      <c r="J485" s="158"/>
      <c r="K485" s="158"/>
      <c r="L485" s="158"/>
      <c r="M485" s="158"/>
    </row>
    <row r="486" spans="1:13" ht="14.25" customHeight="1">
      <c r="A486" s="158"/>
      <c r="B486" s="158"/>
      <c r="C486" s="158"/>
      <c r="D486" s="158"/>
      <c r="E486" s="158"/>
      <c r="F486" s="158"/>
      <c r="G486" s="158"/>
      <c r="H486" s="158"/>
      <c r="I486" s="158"/>
      <c r="J486" s="158"/>
      <c r="K486" s="158"/>
      <c r="L486" s="158"/>
      <c r="M486" s="158"/>
    </row>
    <row r="487" spans="1:13" ht="14.25" customHeight="1">
      <c r="A487" s="158"/>
      <c r="B487" s="158"/>
      <c r="C487" s="158"/>
      <c r="D487" s="158"/>
      <c r="E487" s="158"/>
      <c r="F487" s="158"/>
      <c r="G487" s="158"/>
      <c r="H487" s="158"/>
      <c r="I487" s="158"/>
      <c r="J487" s="158"/>
      <c r="K487" s="158"/>
      <c r="L487" s="158"/>
      <c r="M487" s="158"/>
    </row>
    <row r="488" spans="1:13" ht="14.25" customHeight="1">
      <c r="A488" s="158"/>
      <c r="B488" s="158"/>
      <c r="C488" s="158"/>
      <c r="D488" s="158"/>
      <c r="E488" s="158"/>
      <c r="F488" s="158"/>
      <c r="G488" s="158"/>
      <c r="H488" s="158"/>
      <c r="I488" s="158"/>
      <c r="J488" s="158"/>
      <c r="K488" s="158"/>
      <c r="L488" s="158"/>
      <c r="M488" s="158"/>
    </row>
    <row r="489" spans="1:13" ht="14.25" customHeight="1">
      <c r="A489" s="158"/>
      <c r="B489" s="158"/>
      <c r="C489" s="158"/>
      <c r="D489" s="158"/>
      <c r="E489" s="158"/>
      <c r="F489" s="158"/>
      <c r="G489" s="158"/>
      <c r="H489" s="158"/>
      <c r="I489" s="158"/>
      <c r="J489" s="158"/>
      <c r="K489" s="158"/>
      <c r="L489" s="158"/>
      <c r="M489" s="158"/>
    </row>
    <row r="490" spans="1:13" ht="14.25" customHeight="1">
      <c r="A490" s="158"/>
      <c r="B490" s="158"/>
      <c r="C490" s="158"/>
      <c r="D490" s="158"/>
      <c r="E490" s="158"/>
      <c r="F490" s="158"/>
      <c r="G490" s="158"/>
      <c r="H490" s="158"/>
      <c r="I490" s="158"/>
      <c r="J490" s="158"/>
      <c r="K490" s="158"/>
      <c r="L490" s="158"/>
      <c r="M490" s="158"/>
    </row>
    <row r="491" spans="1:13" ht="14.25" customHeight="1">
      <c r="A491" s="158"/>
      <c r="B491" s="158"/>
      <c r="C491" s="158"/>
      <c r="D491" s="158"/>
      <c r="E491" s="158"/>
      <c r="F491" s="158"/>
      <c r="G491" s="158"/>
      <c r="H491" s="158"/>
      <c r="I491" s="158"/>
      <c r="J491" s="158"/>
      <c r="K491" s="158"/>
      <c r="L491" s="158"/>
      <c r="M491" s="158"/>
    </row>
    <row r="492" spans="1:13" ht="14.25" customHeight="1">
      <c r="A492" s="158"/>
      <c r="B492" s="158"/>
      <c r="C492" s="158"/>
      <c r="D492" s="158"/>
      <c r="E492" s="158"/>
      <c r="F492" s="158"/>
      <c r="G492" s="158"/>
      <c r="H492" s="158"/>
      <c r="I492" s="158"/>
      <c r="J492" s="158"/>
      <c r="K492" s="158"/>
      <c r="L492" s="158"/>
      <c r="M492" s="158"/>
    </row>
    <row r="493" spans="1:13" ht="14.25" customHeight="1">
      <c r="A493" s="158"/>
      <c r="B493" s="158"/>
      <c r="C493" s="158"/>
      <c r="D493" s="158"/>
      <c r="E493" s="158"/>
      <c r="F493" s="158"/>
      <c r="G493" s="158"/>
      <c r="H493" s="158"/>
      <c r="I493" s="158"/>
      <c r="J493" s="158"/>
      <c r="K493" s="158"/>
      <c r="L493" s="158"/>
      <c r="M493" s="158"/>
    </row>
    <row r="494" spans="1:13" ht="14.25" customHeight="1">
      <c r="A494" s="158"/>
      <c r="B494" s="158"/>
      <c r="C494" s="158"/>
      <c r="D494" s="158"/>
      <c r="E494" s="158"/>
      <c r="F494" s="158"/>
      <c r="G494" s="158"/>
      <c r="H494" s="158"/>
      <c r="I494" s="158"/>
      <c r="J494" s="158"/>
      <c r="K494" s="158"/>
      <c r="L494" s="158"/>
      <c r="M494" s="158"/>
    </row>
    <row r="495" spans="1:13" ht="14.25" customHeight="1">
      <c r="A495" s="158"/>
      <c r="B495" s="158"/>
      <c r="C495" s="158"/>
      <c r="D495" s="158"/>
      <c r="E495" s="158"/>
      <c r="F495" s="158"/>
      <c r="G495" s="158"/>
      <c r="H495" s="158"/>
      <c r="I495" s="158"/>
      <c r="J495" s="158"/>
      <c r="K495" s="158"/>
      <c r="L495" s="158"/>
      <c r="M495" s="158"/>
    </row>
    <row r="496" spans="1:13" ht="14.25" customHeight="1">
      <c r="A496" s="158"/>
      <c r="B496" s="158"/>
      <c r="C496" s="158"/>
      <c r="D496" s="158"/>
      <c r="E496" s="158"/>
      <c r="F496" s="158"/>
      <c r="G496" s="158"/>
      <c r="H496" s="158"/>
      <c r="I496" s="158"/>
      <c r="J496" s="158"/>
      <c r="K496" s="158"/>
      <c r="L496" s="158"/>
      <c r="M496" s="158"/>
    </row>
    <row r="497" spans="1:13" ht="14.25" customHeight="1">
      <c r="A497" s="158"/>
      <c r="B497" s="158"/>
      <c r="C497" s="158"/>
      <c r="D497" s="158"/>
      <c r="E497" s="158"/>
      <c r="F497" s="158"/>
      <c r="G497" s="158"/>
      <c r="H497" s="158"/>
      <c r="I497" s="158"/>
      <c r="J497" s="158"/>
      <c r="K497" s="158"/>
      <c r="L497" s="158"/>
      <c r="M497" s="158"/>
    </row>
    <row r="498" spans="1:13" ht="14.25" customHeight="1">
      <c r="A498" s="158"/>
      <c r="B498" s="158"/>
      <c r="C498" s="158"/>
      <c r="D498" s="158"/>
      <c r="E498" s="158"/>
      <c r="F498" s="158"/>
      <c r="G498" s="158"/>
      <c r="H498" s="158"/>
      <c r="I498" s="158"/>
      <c r="J498" s="158"/>
      <c r="K498" s="158"/>
      <c r="L498" s="158"/>
      <c r="M498" s="158"/>
    </row>
    <row r="499" spans="1:13" ht="14.25" customHeight="1">
      <c r="A499" s="158"/>
      <c r="B499" s="158"/>
      <c r="C499" s="158"/>
      <c r="D499" s="158"/>
      <c r="E499" s="158"/>
      <c r="F499" s="158"/>
      <c r="G499" s="158"/>
      <c r="H499" s="158"/>
      <c r="I499" s="158"/>
      <c r="J499" s="158"/>
      <c r="K499" s="158"/>
      <c r="L499" s="158"/>
      <c r="M499" s="158"/>
    </row>
    <row r="500" spans="1:13" ht="14.25" customHeight="1">
      <c r="A500" s="158"/>
      <c r="B500" s="158"/>
      <c r="C500" s="158"/>
      <c r="D500" s="158"/>
      <c r="E500" s="158"/>
      <c r="F500" s="158"/>
      <c r="G500" s="158"/>
      <c r="H500" s="158"/>
      <c r="I500" s="158"/>
      <c r="J500" s="158"/>
      <c r="K500" s="158"/>
      <c r="L500" s="158"/>
      <c r="M500" s="158"/>
    </row>
    <row r="501" spans="1:13" ht="14.25" customHeight="1">
      <c r="A501" s="158"/>
      <c r="B501" s="158"/>
      <c r="C501" s="158"/>
      <c r="D501" s="158"/>
      <c r="E501" s="158"/>
      <c r="F501" s="158"/>
      <c r="G501" s="158"/>
      <c r="H501" s="158"/>
      <c r="I501" s="158"/>
      <c r="J501" s="158"/>
      <c r="K501" s="158"/>
      <c r="L501" s="158"/>
      <c r="M501" s="158"/>
    </row>
    <row r="502" spans="1:13" ht="14.25" customHeight="1">
      <c r="A502" s="158"/>
      <c r="B502" s="158"/>
      <c r="C502" s="158"/>
      <c r="D502" s="158"/>
      <c r="E502" s="158"/>
      <c r="F502" s="158"/>
      <c r="G502" s="158"/>
      <c r="H502" s="158"/>
      <c r="I502" s="158"/>
      <c r="J502" s="158"/>
      <c r="K502" s="158"/>
      <c r="L502" s="158"/>
      <c r="M502" s="158"/>
    </row>
    <row r="503" spans="1:13" ht="14.25" customHeight="1">
      <c r="A503" s="158"/>
      <c r="B503" s="158"/>
      <c r="C503" s="158"/>
      <c r="D503" s="158"/>
      <c r="E503" s="158"/>
      <c r="F503" s="158"/>
      <c r="G503" s="158"/>
      <c r="H503" s="158"/>
      <c r="I503" s="158"/>
      <c r="J503" s="158"/>
      <c r="K503" s="158"/>
      <c r="L503" s="158"/>
      <c r="M503" s="158"/>
    </row>
    <row r="504" spans="1:13" ht="14.25" customHeight="1">
      <c r="A504" s="158"/>
      <c r="B504" s="158"/>
      <c r="C504" s="158"/>
      <c r="D504" s="158"/>
      <c r="E504" s="158"/>
      <c r="F504" s="158"/>
      <c r="G504" s="158"/>
      <c r="H504" s="158"/>
      <c r="I504" s="158"/>
      <c r="J504" s="158"/>
      <c r="K504" s="158"/>
      <c r="L504" s="158"/>
      <c r="M504" s="158"/>
    </row>
    <row r="505" spans="1:13" ht="14.25" customHeight="1">
      <c r="A505" s="158"/>
      <c r="B505" s="158"/>
      <c r="C505" s="158"/>
      <c r="D505" s="158"/>
      <c r="E505" s="158"/>
      <c r="F505" s="158"/>
      <c r="G505" s="158"/>
      <c r="H505" s="158"/>
      <c r="I505" s="158"/>
      <c r="J505" s="158"/>
      <c r="K505" s="158"/>
      <c r="L505" s="158"/>
      <c r="M505" s="158"/>
    </row>
    <row r="506" spans="1:13" ht="14.25" customHeight="1">
      <c r="A506" s="158"/>
      <c r="B506" s="158"/>
      <c r="C506" s="158"/>
      <c r="D506" s="158"/>
      <c r="E506" s="158"/>
      <c r="F506" s="158"/>
      <c r="G506" s="158"/>
      <c r="H506" s="158"/>
      <c r="I506" s="158"/>
      <c r="J506" s="158"/>
      <c r="K506" s="158"/>
      <c r="L506" s="158"/>
      <c r="M506" s="158"/>
    </row>
    <row r="507" spans="1:13" ht="14.25" customHeight="1">
      <c r="A507" s="158"/>
      <c r="B507" s="158"/>
      <c r="C507" s="158"/>
      <c r="D507" s="158"/>
      <c r="E507" s="158"/>
      <c r="F507" s="158"/>
      <c r="G507" s="158"/>
      <c r="H507" s="158"/>
      <c r="I507" s="158"/>
      <c r="J507" s="158"/>
      <c r="K507" s="158"/>
      <c r="L507" s="158"/>
      <c r="M507" s="158"/>
    </row>
    <row r="508" spans="1:13" ht="14.25" customHeight="1">
      <c r="A508" s="158"/>
      <c r="B508" s="158"/>
      <c r="C508" s="158"/>
      <c r="D508" s="158"/>
      <c r="E508" s="158"/>
      <c r="F508" s="158"/>
      <c r="G508" s="158"/>
      <c r="H508" s="158"/>
      <c r="I508" s="158"/>
      <c r="J508" s="158"/>
      <c r="K508" s="158"/>
      <c r="L508" s="158"/>
      <c r="M508" s="158"/>
    </row>
    <row r="509" spans="1:13" ht="14.25" customHeight="1">
      <c r="A509" s="158"/>
      <c r="B509" s="158"/>
      <c r="C509" s="158"/>
      <c r="D509" s="158"/>
      <c r="E509" s="158"/>
      <c r="F509" s="158"/>
      <c r="G509" s="158"/>
      <c r="H509" s="158"/>
      <c r="I509" s="158"/>
      <c r="J509" s="158"/>
      <c r="K509" s="158"/>
      <c r="L509" s="158"/>
      <c r="M509" s="158"/>
    </row>
    <row r="510" spans="1:13" ht="14.25" customHeight="1">
      <c r="A510" s="158"/>
      <c r="B510" s="158"/>
      <c r="C510" s="158"/>
      <c r="D510" s="158"/>
      <c r="E510" s="158"/>
      <c r="F510" s="158"/>
      <c r="G510" s="158"/>
      <c r="H510" s="158"/>
      <c r="I510" s="158"/>
      <c r="J510" s="158"/>
      <c r="K510" s="158"/>
      <c r="L510" s="158"/>
      <c r="M510" s="158"/>
    </row>
    <row r="511" spans="1:13" ht="14.25" customHeight="1">
      <c r="A511" s="158"/>
      <c r="B511" s="158"/>
      <c r="C511" s="158"/>
      <c r="D511" s="158"/>
      <c r="E511" s="158"/>
      <c r="F511" s="158"/>
      <c r="G511" s="158"/>
      <c r="H511" s="158"/>
      <c r="I511" s="158"/>
      <c r="J511" s="158"/>
      <c r="K511" s="158"/>
      <c r="L511" s="158"/>
      <c r="M511" s="158"/>
    </row>
    <row r="512" spans="1:13" ht="14.25" customHeight="1">
      <c r="A512" s="158"/>
      <c r="B512" s="158"/>
      <c r="C512" s="158"/>
      <c r="D512" s="158"/>
      <c r="E512" s="158"/>
      <c r="F512" s="158"/>
      <c r="G512" s="158"/>
      <c r="H512" s="158"/>
      <c r="I512" s="158"/>
      <c r="J512" s="158"/>
      <c r="K512" s="158"/>
      <c r="L512" s="158"/>
      <c r="M512" s="158"/>
    </row>
    <row r="513" spans="1:13" ht="14.25" customHeight="1">
      <c r="A513" s="158"/>
      <c r="B513" s="158"/>
      <c r="C513" s="158"/>
      <c r="D513" s="158"/>
      <c r="E513" s="158"/>
      <c r="F513" s="158"/>
      <c r="G513" s="158"/>
      <c r="H513" s="158"/>
      <c r="I513" s="158"/>
      <c r="J513" s="158"/>
      <c r="K513" s="158"/>
      <c r="L513" s="158"/>
      <c r="M513" s="158"/>
    </row>
    <row r="514" spans="1:13" ht="14.25" customHeight="1">
      <c r="A514" s="158"/>
      <c r="B514" s="158"/>
      <c r="C514" s="158"/>
      <c r="D514" s="158"/>
      <c r="E514" s="158"/>
      <c r="F514" s="158"/>
      <c r="G514" s="158"/>
      <c r="H514" s="158"/>
      <c r="I514" s="158"/>
      <c r="J514" s="158"/>
      <c r="K514" s="158"/>
      <c r="L514" s="158"/>
      <c r="M514" s="158"/>
    </row>
    <row r="515" spans="1:13" ht="14.25" customHeight="1">
      <c r="A515" s="158"/>
      <c r="B515" s="158"/>
      <c r="C515" s="158"/>
      <c r="D515" s="158"/>
      <c r="E515" s="158"/>
      <c r="F515" s="158"/>
      <c r="G515" s="158"/>
      <c r="H515" s="158"/>
      <c r="I515" s="158"/>
      <c r="J515" s="158"/>
      <c r="K515" s="158"/>
      <c r="L515" s="158"/>
      <c r="M515" s="158"/>
    </row>
    <row r="516" spans="1:13" ht="14.25" customHeight="1">
      <c r="A516" s="158"/>
      <c r="B516" s="158"/>
      <c r="C516" s="158"/>
      <c r="D516" s="158"/>
      <c r="E516" s="158"/>
      <c r="F516" s="158"/>
      <c r="G516" s="158"/>
      <c r="H516" s="158"/>
      <c r="I516" s="158"/>
      <c r="J516" s="158"/>
      <c r="K516" s="158"/>
      <c r="L516" s="158"/>
      <c r="M516" s="158"/>
    </row>
    <row r="517" spans="1:13" ht="14.25" customHeight="1">
      <c r="A517" s="158"/>
      <c r="B517" s="158"/>
      <c r="C517" s="158"/>
      <c r="D517" s="158"/>
      <c r="E517" s="158"/>
      <c r="F517" s="158"/>
      <c r="G517" s="158"/>
      <c r="H517" s="158"/>
      <c r="I517" s="158"/>
      <c r="J517" s="158"/>
      <c r="K517" s="158"/>
      <c r="L517" s="158"/>
      <c r="M517" s="158"/>
    </row>
    <row r="518" spans="1:13" ht="14.25" customHeight="1">
      <c r="A518" s="158"/>
      <c r="B518" s="158"/>
      <c r="C518" s="158"/>
      <c r="D518" s="158"/>
      <c r="E518" s="158"/>
      <c r="F518" s="158"/>
      <c r="G518" s="158"/>
      <c r="H518" s="158"/>
      <c r="I518" s="158"/>
      <c r="J518" s="158"/>
      <c r="K518" s="158"/>
      <c r="L518" s="158"/>
      <c r="M518" s="158"/>
    </row>
    <row r="519" spans="1:13" ht="14.25" customHeight="1">
      <c r="A519" s="158"/>
      <c r="B519" s="158"/>
      <c r="C519" s="158"/>
      <c r="D519" s="158"/>
      <c r="E519" s="158"/>
      <c r="F519" s="158"/>
      <c r="G519" s="158"/>
      <c r="H519" s="158"/>
      <c r="I519" s="158"/>
      <c r="J519" s="158"/>
      <c r="K519" s="158"/>
      <c r="L519" s="158"/>
      <c r="M519" s="158"/>
    </row>
    <row r="520" spans="1:13" ht="14.25" customHeight="1">
      <c r="A520" s="158"/>
      <c r="B520" s="158"/>
      <c r="C520" s="158"/>
      <c r="D520" s="158"/>
      <c r="E520" s="158"/>
      <c r="F520" s="158"/>
      <c r="G520" s="158"/>
      <c r="H520" s="158"/>
      <c r="I520" s="158"/>
      <c r="J520" s="158"/>
      <c r="K520" s="158"/>
      <c r="L520" s="158"/>
      <c r="M520" s="158"/>
    </row>
    <row r="521" spans="1:13" ht="14.25" customHeight="1">
      <c r="A521" s="158"/>
      <c r="B521" s="158"/>
      <c r="C521" s="158"/>
      <c r="D521" s="158"/>
      <c r="E521" s="158"/>
      <c r="F521" s="158"/>
      <c r="G521" s="158"/>
      <c r="H521" s="158"/>
      <c r="I521" s="158"/>
      <c r="J521" s="158"/>
      <c r="K521" s="158"/>
      <c r="L521" s="158"/>
      <c r="M521" s="158"/>
    </row>
    <row r="522" spans="1:13" ht="14.25" customHeight="1">
      <c r="A522" s="158"/>
      <c r="B522" s="158"/>
      <c r="C522" s="158"/>
      <c r="D522" s="158"/>
      <c r="E522" s="158"/>
      <c r="F522" s="158"/>
      <c r="G522" s="158"/>
      <c r="H522" s="158"/>
      <c r="I522" s="158"/>
      <c r="J522" s="158"/>
      <c r="K522" s="158"/>
      <c r="L522" s="158"/>
      <c r="M522" s="158"/>
    </row>
    <row r="523" spans="1:13" ht="14.25" customHeight="1">
      <c r="A523" s="158"/>
      <c r="B523" s="158"/>
      <c r="C523" s="158"/>
      <c r="D523" s="158"/>
      <c r="E523" s="158"/>
      <c r="F523" s="158"/>
      <c r="G523" s="158"/>
      <c r="H523" s="158"/>
      <c r="I523" s="158"/>
      <c r="J523" s="158"/>
      <c r="K523" s="158"/>
      <c r="L523" s="158"/>
      <c r="M523" s="158"/>
    </row>
    <row r="524" spans="1:13" ht="14.25" customHeight="1">
      <c r="A524" s="158"/>
      <c r="B524" s="158"/>
      <c r="C524" s="158"/>
      <c r="D524" s="158"/>
      <c r="E524" s="158"/>
      <c r="F524" s="158"/>
      <c r="G524" s="158"/>
      <c r="H524" s="158"/>
      <c r="I524" s="158"/>
      <c r="J524" s="158"/>
      <c r="K524" s="158"/>
      <c r="L524" s="158"/>
      <c r="M524" s="158"/>
    </row>
    <row r="525" spans="1:13" ht="14.25" customHeight="1">
      <c r="A525" s="158"/>
      <c r="B525" s="158"/>
      <c r="C525" s="158"/>
      <c r="D525" s="158"/>
      <c r="E525" s="158"/>
      <c r="F525" s="158"/>
      <c r="G525" s="158"/>
      <c r="H525" s="158"/>
      <c r="I525" s="158"/>
      <c r="J525" s="158"/>
      <c r="K525" s="158"/>
      <c r="L525" s="158"/>
      <c r="M525" s="158"/>
    </row>
    <row r="526" spans="1:13" ht="14.25" customHeight="1">
      <c r="A526" s="158"/>
      <c r="B526" s="158"/>
      <c r="C526" s="158"/>
      <c r="D526" s="158"/>
      <c r="E526" s="158"/>
      <c r="F526" s="158"/>
      <c r="G526" s="158"/>
      <c r="H526" s="158"/>
      <c r="I526" s="158"/>
      <c r="J526" s="158"/>
      <c r="K526" s="158"/>
      <c r="L526" s="158"/>
      <c r="M526" s="158"/>
    </row>
    <row r="527" spans="1:13" ht="14.25" customHeight="1">
      <c r="A527" s="158"/>
      <c r="B527" s="158"/>
      <c r="C527" s="158"/>
      <c r="D527" s="158"/>
      <c r="E527" s="158"/>
      <c r="F527" s="158"/>
      <c r="G527" s="158"/>
      <c r="H527" s="158"/>
      <c r="I527" s="158"/>
      <c r="J527" s="158"/>
      <c r="K527" s="158"/>
      <c r="L527" s="158"/>
      <c r="M527" s="158"/>
    </row>
    <row r="528" spans="1:13" ht="14.25" customHeight="1">
      <c r="A528" s="158"/>
      <c r="B528" s="158"/>
      <c r="C528" s="158"/>
      <c r="D528" s="158"/>
      <c r="E528" s="158"/>
      <c r="F528" s="158"/>
      <c r="G528" s="158"/>
      <c r="H528" s="158"/>
      <c r="I528" s="158"/>
      <c r="J528" s="158"/>
      <c r="K528" s="158"/>
      <c r="L528" s="158"/>
      <c r="M528" s="158"/>
    </row>
    <row r="529" spans="1:13" ht="14.25" customHeight="1">
      <c r="A529" s="158"/>
      <c r="B529" s="158"/>
      <c r="C529" s="158"/>
      <c r="D529" s="158"/>
      <c r="E529" s="158"/>
      <c r="F529" s="158"/>
      <c r="G529" s="158"/>
      <c r="H529" s="158"/>
      <c r="I529" s="158"/>
      <c r="J529" s="158"/>
      <c r="K529" s="158"/>
      <c r="L529" s="158"/>
      <c r="M529" s="158"/>
    </row>
    <row r="530" spans="1:13" ht="14.25" customHeight="1">
      <c r="A530" s="158"/>
      <c r="B530" s="158"/>
      <c r="C530" s="158"/>
      <c r="D530" s="158"/>
      <c r="E530" s="158"/>
      <c r="F530" s="158"/>
      <c r="G530" s="158"/>
      <c r="H530" s="158"/>
      <c r="I530" s="158"/>
      <c r="J530" s="158"/>
      <c r="K530" s="158"/>
      <c r="L530" s="158"/>
      <c r="M530" s="158"/>
    </row>
    <row r="531" spans="1:13" ht="14.25" customHeight="1">
      <c r="A531" s="158"/>
      <c r="B531" s="158"/>
      <c r="C531" s="158"/>
      <c r="D531" s="158"/>
      <c r="E531" s="158"/>
      <c r="F531" s="158"/>
      <c r="G531" s="158"/>
      <c r="H531" s="158"/>
      <c r="I531" s="158"/>
      <c r="J531" s="158"/>
      <c r="K531" s="158"/>
      <c r="L531" s="158"/>
      <c r="M531" s="158"/>
    </row>
    <row r="532" spans="1:13" ht="14.25" customHeight="1">
      <c r="A532" s="158"/>
      <c r="B532" s="158"/>
      <c r="C532" s="158"/>
      <c r="D532" s="158"/>
      <c r="E532" s="158"/>
      <c r="F532" s="158"/>
      <c r="G532" s="158"/>
      <c r="H532" s="158"/>
      <c r="I532" s="158"/>
      <c r="J532" s="158"/>
      <c r="K532" s="158"/>
      <c r="L532" s="158"/>
      <c r="M532" s="158"/>
    </row>
    <row r="533" spans="1:13" ht="14.25" customHeight="1">
      <c r="A533" s="158"/>
      <c r="B533" s="158"/>
      <c r="C533" s="158"/>
      <c r="D533" s="158"/>
      <c r="E533" s="158"/>
      <c r="F533" s="158"/>
      <c r="G533" s="158"/>
      <c r="H533" s="158"/>
      <c r="I533" s="158"/>
      <c r="J533" s="158"/>
      <c r="K533" s="158"/>
      <c r="L533" s="158"/>
      <c r="M533" s="158"/>
    </row>
    <row r="534" spans="1:13" ht="14.25" customHeight="1">
      <c r="A534" s="158"/>
      <c r="B534" s="158"/>
      <c r="C534" s="158"/>
      <c r="D534" s="158"/>
      <c r="E534" s="158"/>
      <c r="F534" s="158"/>
      <c r="G534" s="158"/>
      <c r="H534" s="158"/>
      <c r="I534" s="158"/>
      <c r="J534" s="158"/>
      <c r="K534" s="158"/>
      <c r="L534" s="158"/>
      <c r="M534" s="158"/>
    </row>
    <row r="535" spans="1:13" ht="14.25" customHeight="1">
      <c r="A535" s="158"/>
      <c r="B535" s="158"/>
      <c r="C535" s="158"/>
      <c r="D535" s="158"/>
      <c r="E535" s="158"/>
      <c r="F535" s="158"/>
      <c r="G535" s="158"/>
      <c r="H535" s="158"/>
      <c r="I535" s="158"/>
      <c r="J535" s="158"/>
      <c r="K535" s="158"/>
      <c r="L535" s="158"/>
      <c r="M535" s="158"/>
    </row>
    <row r="536" spans="1:13" ht="14.25" customHeight="1">
      <c r="A536" s="158"/>
      <c r="B536" s="158"/>
      <c r="C536" s="158"/>
      <c r="D536" s="158"/>
      <c r="E536" s="158"/>
      <c r="F536" s="158"/>
      <c r="G536" s="158"/>
      <c r="H536" s="158"/>
      <c r="I536" s="158"/>
      <c r="J536" s="158"/>
      <c r="K536" s="158"/>
      <c r="L536" s="158"/>
      <c r="M536" s="158"/>
    </row>
    <row r="537" spans="1:13" ht="14.25" customHeight="1">
      <c r="A537" s="158"/>
      <c r="B537" s="158"/>
      <c r="C537" s="158"/>
      <c r="D537" s="158"/>
      <c r="E537" s="158"/>
      <c r="F537" s="158"/>
      <c r="G537" s="158"/>
      <c r="H537" s="158"/>
      <c r="I537" s="158"/>
      <c r="J537" s="158"/>
      <c r="K537" s="158"/>
      <c r="L537" s="158"/>
      <c r="M537" s="158"/>
    </row>
    <row r="538" spans="1:13" ht="14.25" customHeight="1">
      <c r="A538" s="158"/>
      <c r="B538" s="158"/>
      <c r="C538" s="158"/>
      <c r="D538" s="158"/>
      <c r="E538" s="158"/>
      <c r="F538" s="158"/>
      <c r="G538" s="158"/>
      <c r="H538" s="158"/>
      <c r="I538" s="158"/>
      <c r="J538" s="158"/>
      <c r="K538" s="158"/>
      <c r="L538" s="158"/>
      <c r="M538" s="158"/>
    </row>
    <row r="539" spans="1:13" ht="14.25" customHeight="1">
      <c r="A539" s="158"/>
      <c r="B539" s="158"/>
      <c r="C539" s="158"/>
      <c r="D539" s="158"/>
      <c r="E539" s="158"/>
      <c r="F539" s="158"/>
      <c r="G539" s="158"/>
      <c r="H539" s="158"/>
      <c r="I539" s="158"/>
      <c r="J539" s="158"/>
      <c r="K539" s="158"/>
      <c r="L539" s="158"/>
      <c r="M539" s="158"/>
    </row>
    <row r="540" spans="1:13" ht="14.25" customHeight="1">
      <c r="A540" s="158"/>
      <c r="B540" s="158"/>
      <c r="C540" s="158"/>
      <c r="D540" s="158"/>
      <c r="E540" s="158"/>
      <c r="F540" s="158"/>
      <c r="G540" s="158"/>
      <c r="H540" s="158"/>
      <c r="I540" s="158"/>
      <c r="J540" s="158"/>
      <c r="K540" s="158"/>
      <c r="L540" s="158"/>
      <c r="M540" s="158"/>
    </row>
    <row r="541" spans="1:13" ht="14.25" customHeight="1">
      <c r="A541" s="158"/>
      <c r="B541" s="158"/>
      <c r="C541" s="158"/>
      <c r="D541" s="158"/>
      <c r="E541" s="158"/>
      <c r="F541" s="158"/>
      <c r="G541" s="158"/>
      <c r="H541" s="158"/>
      <c r="I541" s="158"/>
      <c r="J541" s="158"/>
      <c r="K541" s="158"/>
      <c r="L541" s="158"/>
      <c r="M541" s="158"/>
    </row>
    <row r="542" spans="1:13" ht="14.25" customHeight="1">
      <c r="A542" s="158"/>
      <c r="B542" s="158"/>
      <c r="C542" s="158"/>
      <c r="D542" s="158"/>
      <c r="E542" s="158"/>
      <c r="F542" s="158"/>
      <c r="G542" s="158"/>
      <c r="H542" s="158"/>
      <c r="I542" s="158"/>
      <c r="J542" s="158"/>
      <c r="K542" s="158"/>
      <c r="L542" s="158"/>
      <c r="M542" s="158"/>
    </row>
    <row r="543" spans="1:13" ht="14.25" customHeight="1">
      <c r="A543" s="158"/>
      <c r="B543" s="158"/>
      <c r="C543" s="158"/>
      <c r="D543" s="158"/>
      <c r="E543" s="158"/>
      <c r="F543" s="158"/>
      <c r="G543" s="158"/>
      <c r="H543" s="158"/>
      <c r="I543" s="158"/>
      <c r="J543" s="158"/>
      <c r="K543" s="158"/>
      <c r="L543" s="158"/>
      <c r="M543" s="158"/>
    </row>
    <row r="544" spans="1:13" ht="14.25" customHeight="1">
      <c r="A544" s="158"/>
      <c r="B544" s="158"/>
      <c r="C544" s="158"/>
      <c r="D544" s="158"/>
      <c r="E544" s="158"/>
      <c r="F544" s="158"/>
      <c r="G544" s="158"/>
      <c r="H544" s="158"/>
      <c r="I544" s="158"/>
      <c r="J544" s="158"/>
      <c r="K544" s="158"/>
      <c r="L544" s="158"/>
      <c r="M544" s="158"/>
    </row>
    <row r="545" spans="1:13" ht="14.25" customHeight="1">
      <c r="A545" s="158"/>
      <c r="B545" s="158"/>
      <c r="C545" s="158"/>
      <c r="D545" s="158"/>
      <c r="E545" s="158"/>
      <c r="F545" s="158"/>
      <c r="G545" s="158"/>
      <c r="H545" s="158"/>
      <c r="I545" s="158"/>
      <c r="J545" s="158"/>
      <c r="K545" s="158"/>
      <c r="L545" s="158"/>
      <c r="M545" s="158"/>
    </row>
    <row r="546" spans="1:13" ht="14.25" customHeight="1">
      <c r="A546" s="158"/>
      <c r="B546" s="158"/>
      <c r="C546" s="158"/>
      <c r="D546" s="158"/>
      <c r="E546" s="158"/>
      <c r="F546" s="158"/>
      <c r="G546" s="158"/>
      <c r="H546" s="158"/>
      <c r="I546" s="158"/>
      <c r="J546" s="158"/>
      <c r="K546" s="158"/>
      <c r="L546" s="158"/>
      <c r="M546" s="158"/>
    </row>
    <row r="547" spans="1:13" ht="14.25" customHeight="1">
      <c r="A547" s="158"/>
      <c r="B547" s="158"/>
      <c r="C547" s="158"/>
      <c r="D547" s="158"/>
      <c r="E547" s="158"/>
      <c r="F547" s="158"/>
      <c r="G547" s="158"/>
      <c r="H547" s="158"/>
      <c r="I547" s="158"/>
      <c r="J547" s="158"/>
      <c r="K547" s="158"/>
      <c r="L547" s="158"/>
      <c r="M547" s="158"/>
    </row>
    <row r="548" spans="1:13" ht="14.25" customHeight="1">
      <c r="A548" s="158"/>
      <c r="B548" s="158"/>
      <c r="C548" s="158"/>
      <c r="D548" s="158"/>
      <c r="E548" s="158"/>
      <c r="F548" s="158"/>
      <c r="G548" s="158"/>
      <c r="H548" s="158"/>
      <c r="I548" s="158"/>
      <c r="J548" s="158"/>
      <c r="K548" s="158"/>
      <c r="L548" s="158"/>
      <c r="M548" s="158"/>
    </row>
    <row r="549" spans="1:13" ht="14.25" customHeight="1">
      <c r="A549" s="158"/>
      <c r="B549" s="158"/>
      <c r="C549" s="158"/>
      <c r="D549" s="158"/>
      <c r="E549" s="158"/>
      <c r="F549" s="158"/>
      <c r="G549" s="158"/>
      <c r="H549" s="158"/>
      <c r="I549" s="158"/>
      <c r="J549" s="158"/>
      <c r="K549" s="158"/>
      <c r="L549" s="158"/>
      <c r="M549" s="158"/>
    </row>
    <row r="550" spans="1:13" ht="14.25" customHeight="1">
      <c r="A550" s="158"/>
      <c r="B550" s="158"/>
      <c r="C550" s="158"/>
      <c r="D550" s="158"/>
      <c r="E550" s="158"/>
      <c r="F550" s="158"/>
      <c r="G550" s="158"/>
      <c r="H550" s="158"/>
      <c r="I550" s="158"/>
      <c r="J550" s="158"/>
      <c r="K550" s="158"/>
      <c r="L550" s="158"/>
      <c r="M550" s="158"/>
    </row>
    <row r="551" spans="1:13" ht="14.25" customHeight="1">
      <c r="A551" s="158"/>
      <c r="B551" s="158"/>
      <c r="C551" s="158"/>
      <c r="D551" s="158"/>
      <c r="E551" s="158"/>
      <c r="F551" s="158"/>
      <c r="G551" s="158"/>
      <c r="H551" s="158"/>
      <c r="I551" s="158"/>
      <c r="J551" s="158"/>
      <c r="K551" s="158"/>
      <c r="L551" s="158"/>
      <c r="M551" s="158"/>
    </row>
    <row r="552" spans="1:13" ht="14.25" customHeight="1">
      <c r="A552" s="158"/>
      <c r="B552" s="158"/>
      <c r="C552" s="158"/>
      <c r="D552" s="158"/>
      <c r="E552" s="158"/>
      <c r="F552" s="158"/>
      <c r="G552" s="158"/>
      <c r="H552" s="158"/>
      <c r="I552" s="158"/>
      <c r="J552" s="158"/>
      <c r="K552" s="158"/>
      <c r="L552" s="158"/>
      <c r="M552" s="158"/>
    </row>
    <row r="553" spans="1:13" ht="14.25" customHeight="1">
      <c r="A553" s="158"/>
      <c r="B553" s="158"/>
      <c r="C553" s="158"/>
      <c r="D553" s="158"/>
      <c r="E553" s="158"/>
      <c r="F553" s="158"/>
      <c r="G553" s="158"/>
      <c r="H553" s="158"/>
      <c r="I553" s="158"/>
      <c r="J553" s="158"/>
      <c r="K553" s="158"/>
      <c r="L553" s="158"/>
      <c r="M553" s="158"/>
    </row>
    <row r="554" spans="1:13" ht="14.25" customHeight="1">
      <c r="A554" s="158"/>
      <c r="B554" s="158"/>
      <c r="C554" s="158"/>
      <c r="D554" s="158"/>
      <c r="E554" s="158"/>
      <c r="F554" s="158"/>
      <c r="G554" s="158"/>
      <c r="H554" s="158"/>
      <c r="I554" s="158"/>
      <c r="J554" s="158"/>
      <c r="K554" s="158"/>
      <c r="L554" s="158"/>
      <c r="M554" s="158"/>
    </row>
    <row r="555" spans="1:13" ht="14.25" customHeight="1">
      <c r="A555" s="158"/>
      <c r="B555" s="158"/>
      <c r="C555" s="158"/>
      <c r="D555" s="158"/>
      <c r="E555" s="158"/>
      <c r="F555" s="158"/>
      <c r="G555" s="158"/>
      <c r="H555" s="158"/>
      <c r="I555" s="158"/>
      <c r="J555" s="158"/>
      <c r="K555" s="158"/>
      <c r="L555" s="158"/>
      <c r="M555" s="158"/>
    </row>
    <row r="556" spans="1:13" ht="14.25" customHeight="1">
      <c r="A556" s="158"/>
      <c r="B556" s="158"/>
      <c r="C556" s="158"/>
      <c r="D556" s="158"/>
      <c r="E556" s="158"/>
      <c r="F556" s="158"/>
      <c r="G556" s="158"/>
      <c r="H556" s="158"/>
      <c r="I556" s="158"/>
      <c r="J556" s="158"/>
      <c r="K556" s="158"/>
      <c r="L556" s="158"/>
      <c r="M556" s="158"/>
    </row>
    <row r="557" spans="1:13" ht="14.25" customHeight="1">
      <c r="A557" s="158"/>
      <c r="B557" s="158"/>
      <c r="C557" s="158"/>
      <c r="D557" s="158"/>
      <c r="E557" s="158"/>
      <c r="F557" s="158"/>
      <c r="G557" s="158"/>
      <c r="H557" s="158"/>
      <c r="I557" s="158"/>
      <c r="J557" s="158"/>
      <c r="K557" s="158"/>
      <c r="L557" s="158"/>
      <c r="M557" s="158"/>
    </row>
    <row r="558" spans="1:13" ht="14.25" customHeight="1">
      <c r="A558" s="158"/>
      <c r="B558" s="158"/>
      <c r="C558" s="158"/>
      <c r="D558" s="158"/>
      <c r="E558" s="158"/>
      <c r="F558" s="158"/>
      <c r="G558" s="158"/>
      <c r="H558" s="158"/>
      <c r="I558" s="158"/>
      <c r="J558" s="158"/>
      <c r="K558" s="158"/>
      <c r="L558" s="158"/>
      <c r="M558" s="158"/>
    </row>
    <row r="559" spans="1:13" ht="14.25" customHeight="1">
      <c r="A559" s="158"/>
      <c r="B559" s="158"/>
      <c r="C559" s="158"/>
      <c r="D559" s="158"/>
      <c r="E559" s="158"/>
      <c r="F559" s="158"/>
      <c r="G559" s="158"/>
      <c r="H559" s="158"/>
      <c r="I559" s="158"/>
      <c r="J559" s="158"/>
      <c r="K559" s="158"/>
      <c r="L559" s="158"/>
      <c r="M559" s="158"/>
    </row>
    <row r="560" spans="1:13" ht="14.25" customHeight="1">
      <c r="A560" s="158"/>
      <c r="B560" s="158"/>
      <c r="C560" s="158"/>
      <c r="D560" s="158"/>
      <c r="E560" s="158"/>
      <c r="F560" s="158"/>
      <c r="G560" s="158"/>
      <c r="H560" s="158"/>
      <c r="I560" s="158"/>
      <c r="J560" s="158"/>
      <c r="K560" s="158"/>
      <c r="L560" s="158"/>
      <c r="M560" s="158"/>
    </row>
    <row r="561" spans="1:13" ht="14.25" customHeight="1">
      <c r="A561" s="158"/>
      <c r="B561" s="158"/>
      <c r="C561" s="158"/>
      <c r="D561" s="158"/>
      <c r="E561" s="158"/>
      <c r="F561" s="158"/>
      <c r="G561" s="158"/>
      <c r="H561" s="158"/>
      <c r="I561" s="158"/>
      <c r="J561" s="158"/>
      <c r="K561" s="158"/>
      <c r="L561" s="158"/>
      <c r="M561" s="158"/>
    </row>
    <row r="562" spans="1:13" ht="14.25" customHeight="1">
      <c r="A562" s="158"/>
      <c r="B562" s="158"/>
      <c r="C562" s="158"/>
      <c r="D562" s="158"/>
      <c r="E562" s="158"/>
      <c r="F562" s="158"/>
      <c r="G562" s="158"/>
      <c r="H562" s="158"/>
      <c r="I562" s="158"/>
      <c r="J562" s="158"/>
      <c r="K562" s="158"/>
      <c r="L562" s="158"/>
      <c r="M562" s="158"/>
    </row>
    <row r="563" spans="1:13" ht="14.25" customHeight="1">
      <c r="A563" s="158"/>
      <c r="B563" s="158"/>
      <c r="C563" s="158"/>
      <c r="D563" s="158"/>
      <c r="E563" s="158"/>
      <c r="F563" s="158"/>
      <c r="G563" s="158"/>
      <c r="H563" s="158"/>
      <c r="I563" s="158"/>
      <c r="J563" s="158"/>
      <c r="K563" s="158"/>
      <c r="L563" s="158"/>
      <c r="M563" s="158"/>
    </row>
    <row r="564" spans="1:13" ht="14.25" customHeight="1">
      <c r="A564" s="158"/>
      <c r="B564" s="158"/>
      <c r="C564" s="158"/>
      <c r="D564" s="158"/>
      <c r="E564" s="158"/>
      <c r="F564" s="158"/>
      <c r="G564" s="158"/>
      <c r="H564" s="158"/>
      <c r="I564" s="158"/>
      <c r="J564" s="158"/>
      <c r="K564" s="158"/>
      <c r="L564" s="158"/>
      <c r="M564" s="158"/>
    </row>
    <row r="565" spans="1:13" ht="14.25" customHeight="1">
      <c r="A565" s="158"/>
      <c r="B565" s="158"/>
      <c r="C565" s="158"/>
      <c r="D565" s="158"/>
      <c r="E565" s="158"/>
      <c r="F565" s="158"/>
      <c r="G565" s="158"/>
      <c r="H565" s="158"/>
      <c r="I565" s="158"/>
      <c r="J565" s="158"/>
      <c r="K565" s="158"/>
      <c r="L565" s="158"/>
      <c r="M565" s="158"/>
    </row>
    <row r="566" spans="1:13" ht="14.25" customHeight="1">
      <c r="A566" s="158"/>
      <c r="B566" s="158"/>
      <c r="C566" s="158"/>
      <c r="D566" s="158"/>
      <c r="E566" s="158"/>
      <c r="F566" s="158"/>
      <c r="G566" s="158"/>
      <c r="H566" s="158"/>
      <c r="I566" s="158"/>
      <c r="J566" s="158"/>
      <c r="K566" s="158"/>
      <c r="L566" s="158"/>
      <c r="M566" s="158"/>
    </row>
    <row r="567" spans="1:13" ht="14.25" customHeight="1">
      <c r="A567" s="158"/>
      <c r="B567" s="158"/>
      <c r="C567" s="158"/>
      <c r="D567" s="158"/>
      <c r="E567" s="158"/>
      <c r="F567" s="158"/>
      <c r="G567" s="158"/>
      <c r="H567" s="158"/>
      <c r="I567" s="158"/>
      <c r="J567" s="158"/>
      <c r="K567" s="158"/>
      <c r="L567" s="158"/>
      <c r="M567" s="158"/>
    </row>
    <row r="568" spans="1:13" ht="14.25" customHeight="1">
      <c r="A568" s="158"/>
      <c r="B568" s="158"/>
      <c r="C568" s="158"/>
      <c r="D568" s="158"/>
      <c r="E568" s="158"/>
      <c r="F568" s="158"/>
      <c r="G568" s="158"/>
      <c r="H568" s="158"/>
      <c r="I568" s="158"/>
      <c r="J568" s="158"/>
      <c r="K568" s="158"/>
      <c r="L568" s="158"/>
      <c r="M568" s="158"/>
    </row>
    <row r="569" spans="1:13" ht="14.25" customHeight="1">
      <c r="A569" s="158"/>
      <c r="B569" s="158"/>
      <c r="C569" s="158"/>
      <c r="D569" s="158"/>
      <c r="E569" s="158"/>
      <c r="F569" s="158"/>
      <c r="G569" s="158"/>
      <c r="H569" s="158"/>
      <c r="I569" s="158"/>
      <c r="J569" s="158"/>
      <c r="K569" s="158"/>
      <c r="L569" s="158"/>
      <c r="M569" s="158"/>
    </row>
    <row r="570" spans="1:13" ht="14.25" customHeight="1">
      <c r="A570" s="158"/>
      <c r="B570" s="158"/>
      <c r="C570" s="158"/>
      <c r="D570" s="158"/>
      <c r="E570" s="158"/>
      <c r="F570" s="158"/>
      <c r="G570" s="158"/>
      <c r="H570" s="158"/>
      <c r="I570" s="158"/>
      <c r="J570" s="158"/>
      <c r="K570" s="158"/>
      <c r="L570" s="158"/>
      <c r="M570" s="158"/>
    </row>
    <row r="571" spans="1:13" ht="14.25" customHeight="1">
      <c r="A571" s="158"/>
      <c r="B571" s="158"/>
      <c r="C571" s="158"/>
      <c r="D571" s="158"/>
      <c r="E571" s="158"/>
      <c r="F571" s="158"/>
      <c r="G571" s="158"/>
      <c r="H571" s="158"/>
      <c r="I571" s="158"/>
      <c r="J571" s="158"/>
      <c r="K571" s="158"/>
      <c r="L571" s="158"/>
      <c r="M571" s="158"/>
    </row>
    <row r="572" spans="1:13" ht="14.25" customHeight="1">
      <c r="A572" s="158"/>
      <c r="B572" s="158"/>
      <c r="C572" s="158"/>
      <c r="D572" s="158"/>
      <c r="E572" s="158"/>
      <c r="F572" s="158"/>
      <c r="G572" s="158"/>
      <c r="H572" s="158"/>
      <c r="I572" s="158"/>
      <c r="J572" s="158"/>
      <c r="K572" s="158"/>
      <c r="L572" s="158"/>
      <c r="M572" s="158"/>
    </row>
    <row r="573" spans="1:13" ht="14.25" customHeight="1">
      <c r="A573" s="158"/>
      <c r="B573" s="158"/>
      <c r="C573" s="158"/>
      <c r="D573" s="158"/>
      <c r="E573" s="158"/>
      <c r="F573" s="158"/>
      <c r="G573" s="158"/>
      <c r="H573" s="158"/>
      <c r="I573" s="158"/>
      <c r="J573" s="158"/>
      <c r="K573" s="158"/>
      <c r="L573" s="158"/>
      <c r="M573" s="158"/>
    </row>
    <row r="574" spans="1:13" ht="14.25" customHeight="1">
      <c r="A574" s="158"/>
      <c r="B574" s="158"/>
      <c r="C574" s="158"/>
      <c r="D574" s="158"/>
      <c r="E574" s="158"/>
      <c r="F574" s="158"/>
      <c r="G574" s="158"/>
      <c r="H574" s="158"/>
      <c r="I574" s="158"/>
      <c r="J574" s="158"/>
      <c r="K574" s="158"/>
      <c r="L574" s="158"/>
      <c r="M574" s="158"/>
    </row>
    <row r="575" spans="1:13" ht="14.25" customHeight="1">
      <c r="A575" s="158"/>
      <c r="B575" s="158"/>
      <c r="C575" s="158"/>
      <c r="D575" s="158"/>
      <c r="E575" s="158"/>
      <c r="F575" s="158"/>
      <c r="G575" s="158"/>
      <c r="H575" s="158"/>
      <c r="I575" s="158"/>
      <c r="J575" s="158"/>
      <c r="K575" s="158"/>
      <c r="L575" s="158"/>
      <c r="M575" s="158"/>
    </row>
    <row r="576" spans="1:13" ht="14.25" customHeight="1">
      <c r="A576" s="158"/>
      <c r="B576" s="158"/>
      <c r="C576" s="158"/>
      <c r="D576" s="158"/>
      <c r="E576" s="158"/>
      <c r="F576" s="158"/>
      <c r="G576" s="158"/>
      <c r="H576" s="158"/>
      <c r="I576" s="158"/>
      <c r="J576" s="158"/>
      <c r="K576" s="158"/>
      <c r="L576" s="158"/>
      <c r="M576" s="158"/>
    </row>
    <row r="577" spans="1:13" ht="14.25" customHeight="1">
      <c r="A577" s="158"/>
      <c r="B577" s="158"/>
      <c r="C577" s="158"/>
      <c r="D577" s="158"/>
      <c r="E577" s="158"/>
      <c r="F577" s="158"/>
      <c r="G577" s="158"/>
      <c r="H577" s="158"/>
      <c r="I577" s="158"/>
      <c r="J577" s="158"/>
      <c r="K577" s="158"/>
      <c r="L577" s="158"/>
      <c r="M577" s="158"/>
    </row>
    <row r="578" spans="1:13" ht="14.25" customHeight="1">
      <c r="A578" s="158"/>
      <c r="B578" s="158"/>
      <c r="C578" s="158"/>
      <c r="D578" s="158"/>
      <c r="E578" s="158"/>
      <c r="F578" s="158"/>
      <c r="G578" s="158"/>
      <c r="H578" s="158"/>
      <c r="I578" s="158"/>
      <c r="J578" s="158"/>
      <c r="K578" s="158"/>
      <c r="L578" s="158"/>
      <c r="M578" s="158"/>
    </row>
    <row r="579" spans="1:13" ht="14.25" customHeight="1">
      <c r="A579" s="158"/>
      <c r="B579" s="158"/>
      <c r="C579" s="158"/>
      <c r="D579" s="158"/>
      <c r="E579" s="158"/>
      <c r="F579" s="158"/>
      <c r="G579" s="158"/>
      <c r="H579" s="158"/>
      <c r="I579" s="158"/>
      <c r="J579" s="158"/>
      <c r="K579" s="158"/>
      <c r="L579" s="158"/>
      <c r="M579" s="158"/>
    </row>
    <row r="580" spans="1:13" ht="14.25" customHeight="1">
      <c r="A580" s="158"/>
      <c r="B580" s="158"/>
      <c r="C580" s="158"/>
      <c r="D580" s="158"/>
      <c r="E580" s="158"/>
      <c r="F580" s="158"/>
      <c r="G580" s="158"/>
      <c r="H580" s="158"/>
      <c r="I580" s="158"/>
      <c r="J580" s="158"/>
      <c r="K580" s="158"/>
      <c r="L580" s="158"/>
      <c r="M580" s="158"/>
    </row>
    <row r="581" spans="1:13" ht="14.25" customHeight="1">
      <c r="A581" s="158"/>
      <c r="B581" s="158"/>
      <c r="C581" s="158"/>
      <c r="D581" s="158"/>
      <c r="E581" s="158"/>
      <c r="F581" s="158"/>
      <c r="G581" s="158"/>
      <c r="H581" s="158"/>
      <c r="I581" s="158"/>
      <c r="J581" s="158"/>
      <c r="K581" s="158"/>
      <c r="L581" s="158"/>
      <c r="M581" s="158"/>
    </row>
    <row r="582" spans="1:13" ht="14.25" customHeight="1">
      <c r="A582" s="158"/>
      <c r="B582" s="158"/>
      <c r="C582" s="158"/>
      <c r="D582" s="158"/>
      <c r="E582" s="158"/>
      <c r="F582" s="158"/>
      <c r="G582" s="158"/>
      <c r="H582" s="158"/>
      <c r="I582" s="158"/>
      <c r="J582" s="158"/>
      <c r="K582" s="158"/>
      <c r="L582" s="158"/>
      <c r="M582" s="158"/>
    </row>
    <row r="583" spans="1:13" ht="14.25" customHeight="1">
      <c r="A583" s="158"/>
      <c r="B583" s="158"/>
      <c r="C583" s="158"/>
      <c r="D583" s="158"/>
      <c r="E583" s="158"/>
      <c r="F583" s="158"/>
      <c r="G583" s="158"/>
      <c r="H583" s="158"/>
      <c r="I583" s="158"/>
      <c r="J583" s="158"/>
      <c r="K583" s="158"/>
      <c r="L583" s="158"/>
      <c r="M583" s="158"/>
    </row>
    <row r="584" spans="1:13" ht="14.25" customHeight="1">
      <c r="A584" s="158"/>
      <c r="B584" s="158"/>
      <c r="C584" s="158"/>
      <c r="D584" s="158"/>
      <c r="E584" s="158"/>
      <c r="F584" s="158"/>
      <c r="G584" s="158"/>
      <c r="H584" s="158"/>
      <c r="I584" s="158"/>
      <c r="J584" s="158"/>
      <c r="K584" s="158"/>
      <c r="L584" s="158"/>
      <c r="M584" s="158"/>
    </row>
    <row r="585" spans="1:13" ht="14.25" customHeight="1">
      <c r="A585" s="158"/>
      <c r="B585" s="158"/>
      <c r="C585" s="158"/>
      <c r="D585" s="158"/>
      <c r="E585" s="158"/>
      <c r="F585" s="158"/>
      <c r="G585" s="158"/>
      <c r="H585" s="158"/>
      <c r="I585" s="158"/>
      <c r="J585" s="158"/>
      <c r="K585" s="158"/>
      <c r="L585" s="158"/>
      <c r="M585" s="158"/>
    </row>
    <row r="586" spans="1:13" ht="14.25" customHeight="1">
      <c r="A586" s="158"/>
      <c r="B586" s="158"/>
      <c r="C586" s="158"/>
      <c r="D586" s="158"/>
      <c r="E586" s="158"/>
      <c r="F586" s="158"/>
      <c r="G586" s="158"/>
      <c r="H586" s="158"/>
      <c r="I586" s="158"/>
      <c r="J586" s="158"/>
      <c r="K586" s="158"/>
      <c r="L586" s="158"/>
      <c r="M586" s="158"/>
    </row>
    <row r="587" spans="1:13" ht="14.25" customHeight="1">
      <c r="A587" s="158"/>
      <c r="B587" s="158"/>
      <c r="C587" s="158"/>
      <c r="D587" s="158"/>
      <c r="E587" s="158"/>
      <c r="F587" s="158"/>
      <c r="G587" s="158"/>
      <c r="H587" s="158"/>
      <c r="I587" s="158"/>
      <c r="J587" s="158"/>
      <c r="K587" s="158"/>
      <c r="L587" s="158"/>
      <c r="M587" s="158"/>
    </row>
    <row r="588" spans="1:13" ht="14.25" customHeight="1">
      <c r="A588" s="158"/>
      <c r="B588" s="158"/>
      <c r="C588" s="158"/>
      <c r="D588" s="158"/>
      <c r="E588" s="158"/>
      <c r="F588" s="158"/>
      <c r="G588" s="158"/>
      <c r="H588" s="158"/>
      <c r="I588" s="158"/>
      <c r="J588" s="158"/>
      <c r="K588" s="158"/>
      <c r="L588" s="158"/>
      <c r="M588" s="158"/>
    </row>
    <row r="589" spans="1:13" ht="14.25" customHeight="1">
      <c r="A589" s="158"/>
      <c r="B589" s="158"/>
      <c r="C589" s="158"/>
      <c r="D589" s="158"/>
      <c r="E589" s="158"/>
      <c r="F589" s="158"/>
      <c r="G589" s="158"/>
      <c r="H589" s="158"/>
      <c r="I589" s="158"/>
      <c r="J589" s="158"/>
      <c r="K589" s="158"/>
      <c r="L589" s="158"/>
      <c r="M589" s="158"/>
    </row>
    <row r="590" spans="1:13" ht="14.25" customHeight="1">
      <c r="A590" s="158"/>
      <c r="B590" s="158"/>
      <c r="C590" s="158"/>
      <c r="D590" s="158"/>
      <c r="E590" s="158"/>
      <c r="F590" s="158"/>
      <c r="G590" s="158"/>
      <c r="H590" s="158"/>
      <c r="I590" s="158"/>
      <c r="J590" s="158"/>
      <c r="K590" s="158"/>
      <c r="L590" s="158"/>
      <c r="M590" s="158"/>
    </row>
    <row r="591" spans="1:13" ht="14.25" customHeight="1">
      <c r="A591" s="158"/>
      <c r="B591" s="158"/>
      <c r="C591" s="158"/>
      <c r="D591" s="158"/>
      <c r="E591" s="158"/>
      <c r="F591" s="158"/>
      <c r="G591" s="158"/>
      <c r="H591" s="158"/>
      <c r="I591" s="158"/>
      <c r="J591" s="158"/>
      <c r="K591" s="158"/>
      <c r="L591" s="158"/>
      <c r="M591" s="158"/>
    </row>
    <row r="592" spans="1:13" ht="14.25" customHeight="1">
      <c r="A592" s="158"/>
      <c r="B592" s="158"/>
      <c r="C592" s="158"/>
      <c r="D592" s="158"/>
      <c r="E592" s="158"/>
      <c r="F592" s="158"/>
      <c r="G592" s="158"/>
      <c r="H592" s="158"/>
      <c r="I592" s="158"/>
      <c r="J592" s="158"/>
      <c r="K592" s="158"/>
      <c r="L592" s="158"/>
      <c r="M592" s="158"/>
    </row>
    <row r="593" spans="1:13" ht="14.25" customHeight="1">
      <c r="A593" s="158"/>
      <c r="B593" s="158"/>
      <c r="C593" s="158"/>
      <c r="D593" s="158"/>
      <c r="E593" s="158"/>
      <c r="F593" s="158"/>
      <c r="G593" s="158"/>
      <c r="H593" s="158"/>
      <c r="I593" s="158"/>
      <c r="J593" s="158"/>
      <c r="K593" s="158"/>
      <c r="L593" s="158"/>
      <c r="M593" s="158"/>
    </row>
    <row r="594" spans="1:13" ht="14.25" customHeight="1">
      <c r="A594" s="158"/>
      <c r="B594" s="158"/>
      <c r="C594" s="158"/>
      <c r="D594" s="158"/>
      <c r="E594" s="158"/>
      <c r="F594" s="158"/>
      <c r="G594" s="158"/>
      <c r="H594" s="158"/>
      <c r="I594" s="158"/>
      <c r="J594" s="158"/>
      <c r="K594" s="158"/>
      <c r="L594" s="158"/>
      <c r="M594" s="158"/>
    </row>
    <row r="595" spans="1:13" ht="14.25" customHeight="1">
      <c r="A595" s="158"/>
      <c r="B595" s="158"/>
      <c r="C595" s="158"/>
      <c r="D595" s="158"/>
      <c r="E595" s="158"/>
      <c r="F595" s="158"/>
      <c r="G595" s="158"/>
      <c r="H595" s="158"/>
      <c r="I595" s="158"/>
      <c r="J595" s="158"/>
      <c r="K595" s="158"/>
      <c r="L595" s="158"/>
      <c r="M595" s="158"/>
    </row>
    <row r="596" spans="1:13" ht="14.25" customHeight="1">
      <c r="A596" s="158"/>
      <c r="B596" s="158"/>
      <c r="C596" s="158"/>
      <c r="D596" s="158"/>
      <c r="E596" s="158"/>
      <c r="F596" s="158"/>
      <c r="G596" s="158"/>
      <c r="H596" s="158"/>
      <c r="I596" s="158"/>
      <c r="J596" s="158"/>
      <c r="K596" s="158"/>
      <c r="L596" s="158"/>
      <c r="M596" s="158"/>
    </row>
    <row r="597" spans="1:13" ht="14.25" customHeight="1">
      <c r="A597" s="158"/>
      <c r="B597" s="158"/>
      <c r="C597" s="158"/>
      <c r="D597" s="158"/>
      <c r="E597" s="158"/>
      <c r="F597" s="158"/>
      <c r="G597" s="158"/>
      <c r="H597" s="158"/>
      <c r="I597" s="158"/>
      <c r="J597" s="158"/>
      <c r="K597" s="158"/>
      <c r="L597" s="158"/>
      <c r="M597" s="158"/>
    </row>
    <row r="598" spans="1:13" ht="14.25" customHeight="1">
      <c r="A598" s="158"/>
      <c r="B598" s="158"/>
      <c r="C598" s="158"/>
      <c r="D598" s="158"/>
      <c r="E598" s="158"/>
      <c r="F598" s="158"/>
      <c r="G598" s="158"/>
      <c r="H598" s="158"/>
      <c r="I598" s="158"/>
      <c r="J598" s="158"/>
      <c r="K598" s="158"/>
      <c r="L598" s="158"/>
      <c r="M598" s="158"/>
    </row>
    <row r="599" spans="1:13" ht="14.25" customHeight="1">
      <c r="A599" s="158"/>
      <c r="B599" s="158"/>
      <c r="C599" s="158"/>
      <c r="D599" s="158"/>
      <c r="E599" s="158"/>
      <c r="F599" s="158"/>
      <c r="G599" s="158"/>
      <c r="H599" s="158"/>
      <c r="I599" s="158"/>
      <c r="J599" s="158"/>
      <c r="K599" s="158"/>
      <c r="L599" s="158"/>
      <c r="M599" s="158"/>
    </row>
    <row r="600" spans="1:13" ht="14.25" customHeight="1">
      <c r="A600" s="158"/>
      <c r="B600" s="158"/>
      <c r="C600" s="158"/>
      <c r="D600" s="158"/>
      <c r="E600" s="158"/>
      <c r="F600" s="158"/>
      <c r="G600" s="158"/>
      <c r="H600" s="158"/>
      <c r="I600" s="158"/>
      <c r="J600" s="158"/>
      <c r="K600" s="158"/>
      <c r="L600" s="158"/>
      <c r="M600" s="158"/>
    </row>
    <row r="601" spans="1:13" ht="14.25" customHeight="1">
      <c r="A601" s="158"/>
      <c r="B601" s="158"/>
      <c r="C601" s="158"/>
      <c r="D601" s="158"/>
      <c r="E601" s="158"/>
      <c r="F601" s="158"/>
      <c r="G601" s="158"/>
      <c r="H601" s="158"/>
      <c r="I601" s="158"/>
      <c r="J601" s="158"/>
      <c r="K601" s="158"/>
      <c r="L601" s="158"/>
      <c r="M601" s="158"/>
    </row>
    <row r="602" spans="1:13" ht="14.25" customHeight="1">
      <c r="A602" s="158"/>
      <c r="B602" s="158"/>
      <c r="C602" s="158"/>
      <c r="D602" s="158"/>
      <c r="E602" s="158"/>
      <c r="F602" s="158"/>
      <c r="G602" s="158"/>
      <c r="H602" s="158"/>
      <c r="I602" s="158"/>
      <c r="J602" s="158"/>
      <c r="K602" s="158"/>
      <c r="L602" s="158"/>
      <c r="M602" s="158"/>
    </row>
    <row r="603" spans="1:13" ht="14.25" customHeight="1">
      <c r="A603" s="158"/>
      <c r="B603" s="158"/>
      <c r="C603" s="158"/>
      <c r="D603" s="158"/>
      <c r="E603" s="158"/>
      <c r="F603" s="158"/>
      <c r="G603" s="158"/>
      <c r="H603" s="158"/>
      <c r="I603" s="158"/>
      <c r="J603" s="158"/>
      <c r="K603" s="158"/>
      <c r="L603" s="158"/>
      <c r="M603" s="158"/>
    </row>
    <row r="604" spans="1:13" ht="14.25" customHeight="1">
      <c r="A604" s="158"/>
      <c r="B604" s="158"/>
      <c r="C604" s="158"/>
      <c r="D604" s="158"/>
      <c r="E604" s="158"/>
      <c r="F604" s="158"/>
      <c r="G604" s="158"/>
      <c r="H604" s="158"/>
      <c r="I604" s="158"/>
      <c r="J604" s="158"/>
      <c r="K604" s="158"/>
      <c r="L604" s="158"/>
      <c r="M604" s="158"/>
    </row>
    <row r="605" spans="1:13" ht="14.25" customHeight="1">
      <c r="A605" s="158"/>
      <c r="B605" s="158"/>
      <c r="C605" s="158"/>
      <c r="D605" s="158"/>
      <c r="E605" s="158"/>
      <c r="F605" s="158"/>
      <c r="G605" s="158"/>
      <c r="H605" s="158"/>
      <c r="I605" s="158"/>
      <c r="J605" s="158"/>
      <c r="K605" s="158"/>
      <c r="L605" s="158"/>
      <c r="M605" s="158"/>
    </row>
    <row r="606" spans="1:13" ht="14.25" customHeight="1">
      <c r="A606" s="158"/>
      <c r="B606" s="158"/>
      <c r="C606" s="158"/>
      <c r="D606" s="158"/>
      <c r="E606" s="158"/>
      <c r="F606" s="158"/>
      <c r="G606" s="158"/>
      <c r="H606" s="158"/>
      <c r="I606" s="158"/>
      <c r="J606" s="158"/>
      <c r="K606" s="158"/>
      <c r="L606" s="158"/>
      <c r="M606" s="158"/>
    </row>
    <row r="607" spans="1:13" ht="14.25" customHeight="1">
      <c r="A607" s="158"/>
      <c r="B607" s="158"/>
      <c r="C607" s="158"/>
      <c r="D607" s="158"/>
      <c r="E607" s="158"/>
      <c r="F607" s="158"/>
      <c r="G607" s="158"/>
      <c r="H607" s="158"/>
      <c r="I607" s="158"/>
      <c r="J607" s="158"/>
      <c r="K607" s="158"/>
      <c r="L607" s="158"/>
      <c r="M607" s="158"/>
    </row>
    <row r="608" spans="1:13" ht="14.25" customHeight="1">
      <c r="A608" s="158"/>
      <c r="B608" s="158"/>
      <c r="C608" s="158"/>
      <c r="D608" s="158"/>
      <c r="E608" s="158"/>
      <c r="F608" s="158"/>
      <c r="G608" s="158"/>
      <c r="H608" s="158"/>
      <c r="I608" s="158"/>
      <c r="J608" s="158"/>
      <c r="K608" s="158"/>
      <c r="L608" s="158"/>
      <c r="M608" s="158"/>
    </row>
    <row r="609" spans="1:13" ht="14.25" customHeight="1">
      <c r="A609" s="158"/>
      <c r="B609" s="158"/>
      <c r="C609" s="158"/>
      <c r="D609" s="158"/>
      <c r="E609" s="158"/>
      <c r="F609" s="158"/>
      <c r="G609" s="158"/>
      <c r="H609" s="158"/>
      <c r="I609" s="158"/>
      <c r="J609" s="158"/>
      <c r="K609" s="158"/>
      <c r="L609" s="158"/>
      <c r="M609" s="158"/>
    </row>
    <row r="610" spans="1:13" ht="14.25" customHeight="1">
      <c r="A610" s="158"/>
      <c r="B610" s="158"/>
      <c r="C610" s="158"/>
      <c r="D610" s="158"/>
      <c r="E610" s="158"/>
      <c r="F610" s="158"/>
      <c r="G610" s="158"/>
      <c r="H610" s="158"/>
      <c r="I610" s="158"/>
      <c r="J610" s="158"/>
      <c r="K610" s="158"/>
      <c r="L610" s="158"/>
      <c r="M610" s="158"/>
    </row>
    <row r="611" spans="1:13" ht="14.25" customHeight="1">
      <c r="A611" s="158"/>
      <c r="B611" s="158"/>
      <c r="C611" s="158"/>
      <c r="D611" s="158"/>
      <c r="E611" s="158"/>
      <c r="F611" s="158"/>
      <c r="G611" s="158"/>
      <c r="H611" s="158"/>
      <c r="I611" s="158"/>
      <c r="J611" s="158"/>
      <c r="K611" s="158"/>
      <c r="L611" s="158"/>
      <c r="M611" s="158"/>
    </row>
    <row r="612" spans="1:13" ht="14.25" customHeight="1">
      <c r="A612" s="158"/>
      <c r="B612" s="158"/>
      <c r="C612" s="158"/>
      <c r="D612" s="158"/>
      <c r="E612" s="158"/>
      <c r="F612" s="158"/>
      <c r="G612" s="158"/>
      <c r="H612" s="158"/>
      <c r="I612" s="158"/>
      <c r="J612" s="158"/>
      <c r="K612" s="158"/>
      <c r="L612" s="158"/>
      <c r="M612" s="158"/>
    </row>
    <row r="613" spans="1:13" ht="14.25" customHeight="1">
      <c r="A613" s="158"/>
      <c r="B613" s="158"/>
      <c r="C613" s="158"/>
      <c r="D613" s="158"/>
      <c r="E613" s="158"/>
      <c r="F613" s="158"/>
      <c r="G613" s="158"/>
      <c r="H613" s="158"/>
      <c r="I613" s="158"/>
      <c r="J613" s="158"/>
      <c r="K613" s="158"/>
      <c r="L613" s="158"/>
      <c r="M613" s="158"/>
    </row>
    <row r="614" spans="1:13" ht="14.25" customHeight="1">
      <c r="A614" s="158"/>
      <c r="B614" s="158"/>
      <c r="C614" s="158"/>
      <c r="D614" s="158"/>
      <c r="E614" s="158"/>
      <c r="F614" s="158"/>
      <c r="G614" s="158"/>
      <c r="H614" s="158"/>
      <c r="I614" s="158"/>
      <c r="J614" s="158"/>
      <c r="K614" s="158"/>
      <c r="L614" s="158"/>
      <c r="M614" s="158"/>
    </row>
    <row r="615" spans="1:13" ht="14.25" customHeight="1">
      <c r="A615" s="158"/>
      <c r="B615" s="158"/>
      <c r="C615" s="158"/>
      <c r="D615" s="158"/>
      <c r="E615" s="158"/>
      <c r="F615" s="158"/>
      <c r="G615" s="158"/>
      <c r="H615" s="158"/>
      <c r="I615" s="158"/>
      <c r="J615" s="158"/>
      <c r="K615" s="158"/>
      <c r="L615" s="158"/>
      <c r="M615" s="158"/>
    </row>
    <row r="616" spans="1:13" ht="14.25" customHeight="1">
      <c r="A616" s="158"/>
      <c r="B616" s="158"/>
      <c r="C616" s="158"/>
      <c r="D616" s="158"/>
      <c r="E616" s="158"/>
      <c r="F616" s="158"/>
      <c r="G616" s="158"/>
      <c r="H616" s="158"/>
      <c r="I616" s="158"/>
      <c r="J616" s="158"/>
      <c r="K616" s="158"/>
      <c r="L616" s="158"/>
      <c r="M616" s="158"/>
    </row>
    <row r="617" spans="1:13" ht="14.25" customHeight="1">
      <c r="A617" s="158"/>
      <c r="B617" s="158"/>
      <c r="C617" s="158"/>
      <c r="D617" s="158"/>
      <c r="E617" s="158"/>
      <c r="F617" s="158"/>
      <c r="G617" s="158"/>
      <c r="H617" s="158"/>
      <c r="I617" s="158"/>
      <c r="J617" s="158"/>
      <c r="K617" s="158"/>
      <c r="L617" s="158"/>
      <c r="M617" s="158"/>
    </row>
    <row r="618" spans="1:13" ht="14.25" customHeight="1">
      <c r="A618" s="158"/>
      <c r="B618" s="158"/>
      <c r="C618" s="158"/>
      <c r="D618" s="158"/>
      <c r="E618" s="158"/>
      <c r="F618" s="158"/>
      <c r="G618" s="158"/>
      <c r="H618" s="158"/>
      <c r="I618" s="158"/>
      <c r="J618" s="158"/>
      <c r="K618" s="158"/>
      <c r="L618" s="158"/>
      <c r="M618" s="158"/>
    </row>
    <row r="619" spans="1:13" ht="14.25" customHeight="1">
      <c r="A619" s="158"/>
      <c r="B619" s="158"/>
      <c r="C619" s="158"/>
      <c r="D619" s="158"/>
      <c r="E619" s="158"/>
      <c r="F619" s="158"/>
      <c r="G619" s="158"/>
      <c r="H619" s="158"/>
      <c r="I619" s="158"/>
      <c r="J619" s="158"/>
      <c r="K619" s="158"/>
      <c r="L619" s="158"/>
      <c r="M619" s="158"/>
    </row>
    <row r="620" spans="1:13" ht="14.25" customHeight="1">
      <c r="A620" s="158"/>
      <c r="B620" s="158"/>
      <c r="C620" s="158"/>
      <c r="D620" s="158"/>
      <c r="E620" s="158"/>
      <c r="F620" s="158"/>
      <c r="G620" s="158"/>
      <c r="H620" s="158"/>
      <c r="I620" s="158"/>
      <c r="J620" s="158"/>
      <c r="K620" s="158"/>
      <c r="L620" s="158"/>
      <c r="M620" s="158"/>
    </row>
    <row r="621" spans="1:13" ht="14.25" customHeight="1">
      <c r="A621" s="158"/>
      <c r="B621" s="158"/>
      <c r="C621" s="158"/>
      <c r="D621" s="158"/>
      <c r="E621" s="158"/>
      <c r="F621" s="158"/>
      <c r="G621" s="158"/>
      <c r="H621" s="158"/>
      <c r="I621" s="158"/>
      <c r="J621" s="158"/>
      <c r="K621" s="158"/>
      <c r="L621" s="158"/>
      <c r="M621" s="158"/>
    </row>
    <row r="622" spans="1:13" ht="14.25" customHeight="1">
      <c r="A622" s="158"/>
      <c r="B622" s="158"/>
      <c r="C622" s="158"/>
      <c r="D622" s="158"/>
      <c r="E622" s="158"/>
      <c r="F622" s="158"/>
      <c r="G622" s="158"/>
      <c r="H622" s="158"/>
      <c r="I622" s="158"/>
      <c r="J622" s="158"/>
      <c r="K622" s="158"/>
      <c r="L622" s="158"/>
      <c r="M622" s="158"/>
    </row>
    <row r="623" spans="1:13" ht="14.25" customHeight="1">
      <c r="A623" s="158"/>
      <c r="B623" s="158"/>
      <c r="C623" s="158"/>
      <c r="D623" s="158"/>
      <c r="E623" s="158"/>
      <c r="F623" s="158"/>
      <c r="G623" s="158"/>
      <c r="H623" s="158"/>
      <c r="I623" s="158"/>
      <c r="J623" s="158"/>
      <c r="K623" s="158"/>
      <c r="L623" s="158"/>
      <c r="M623" s="158"/>
    </row>
    <row r="624" spans="1:13" ht="14.25" customHeight="1">
      <c r="A624" s="158"/>
      <c r="B624" s="158"/>
      <c r="C624" s="158"/>
      <c r="D624" s="158"/>
      <c r="E624" s="158"/>
      <c r="F624" s="158"/>
      <c r="G624" s="158"/>
      <c r="H624" s="158"/>
      <c r="I624" s="158"/>
      <c r="J624" s="158"/>
      <c r="K624" s="158"/>
      <c r="L624" s="158"/>
      <c r="M624" s="158"/>
    </row>
    <row r="625" spans="1:13" ht="14.25" customHeight="1">
      <c r="A625" s="158"/>
      <c r="B625" s="158"/>
      <c r="C625" s="158"/>
      <c r="D625" s="158"/>
      <c r="E625" s="158"/>
      <c r="F625" s="158"/>
      <c r="G625" s="158"/>
      <c r="H625" s="158"/>
      <c r="I625" s="158"/>
      <c r="J625" s="158"/>
      <c r="K625" s="158"/>
      <c r="L625" s="158"/>
      <c r="M625" s="158"/>
    </row>
    <row r="626" spans="1:13" ht="14.25" customHeight="1">
      <c r="A626" s="158"/>
      <c r="B626" s="158"/>
      <c r="C626" s="158"/>
      <c r="D626" s="158"/>
      <c r="E626" s="158"/>
      <c r="F626" s="158"/>
      <c r="G626" s="158"/>
      <c r="H626" s="158"/>
      <c r="I626" s="158"/>
      <c r="J626" s="158"/>
      <c r="K626" s="158"/>
      <c r="L626" s="158"/>
      <c r="M626" s="158"/>
    </row>
    <row r="627" spans="1:13" ht="14.25" customHeight="1">
      <c r="A627" s="158"/>
      <c r="B627" s="158"/>
      <c r="C627" s="158"/>
      <c r="D627" s="158"/>
      <c r="E627" s="158"/>
      <c r="F627" s="158"/>
      <c r="G627" s="158"/>
      <c r="H627" s="158"/>
      <c r="I627" s="158"/>
      <c r="J627" s="158"/>
      <c r="K627" s="158"/>
      <c r="L627" s="158"/>
      <c r="M627" s="158"/>
    </row>
    <row r="628" spans="1:13" ht="14.25" customHeight="1">
      <c r="A628" s="158"/>
      <c r="B628" s="158"/>
      <c r="C628" s="158"/>
      <c r="D628" s="158"/>
      <c r="E628" s="158"/>
      <c r="F628" s="158"/>
      <c r="G628" s="158"/>
      <c r="H628" s="158"/>
      <c r="I628" s="158"/>
      <c r="J628" s="158"/>
      <c r="K628" s="158"/>
      <c r="L628" s="158"/>
      <c r="M628" s="158"/>
    </row>
    <row r="629" spans="1:13" ht="14.25" customHeight="1">
      <c r="A629" s="158"/>
      <c r="B629" s="158"/>
      <c r="C629" s="158"/>
      <c r="D629" s="158"/>
      <c r="E629" s="158"/>
      <c r="F629" s="158"/>
      <c r="G629" s="158"/>
      <c r="H629" s="158"/>
      <c r="I629" s="158"/>
      <c r="J629" s="158"/>
      <c r="K629" s="158"/>
      <c r="L629" s="158"/>
      <c r="M629" s="158"/>
    </row>
    <row r="630" spans="1:13" ht="14.25" customHeight="1">
      <c r="A630" s="158"/>
      <c r="B630" s="158"/>
      <c r="C630" s="158"/>
      <c r="D630" s="158"/>
      <c r="E630" s="158"/>
      <c r="F630" s="158"/>
      <c r="G630" s="158"/>
      <c r="H630" s="158"/>
      <c r="I630" s="158"/>
      <c r="J630" s="158"/>
      <c r="K630" s="158"/>
      <c r="L630" s="158"/>
      <c r="M630" s="158"/>
    </row>
    <row r="631" spans="1:13" ht="14.25" customHeight="1">
      <c r="A631" s="158"/>
      <c r="B631" s="158"/>
      <c r="C631" s="158"/>
      <c r="D631" s="158"/>
      <c r="E631" s="158"/>
      <c r="F631" s="158"/>
      <c r="G631" s="158"/>
      <c r="H631" s="158"/>
      <c r="I631" s="158"/>
      <c r="J631" s="158"/>
      <c r="K631" s="158"/>
      <c r="L631" s="158"/>
      <c r="M631" s="158"/>
    </row>
    <row r="632" spans="1:13" ht="14.25" customHeight="1">
      <c r="A632" s="158"/>
      <c r="B632" s="158"/>
      <c r="C632" s="158"/>
      <c r="D632" s="158"/>
      <c r="E632" s="158"/>
      <c r="F632" s="158"/>
      <c r="G632" s="158"/>
      <c r="H632" s="158"/>
      <c r="I632" s="158"/>
      <c r="J632" s="158"/>
      <c r="K632" s="158"/>
      <c r="L632" s="158"/>
      <c r="M632" s="158"/>
    </row>
    <row r="633" spans="1:13" ht="14.25" customHeight="1">
      <c r="A633" s="158"/>
      <c r="B633" s="158"/>
      <c r="C633" s="158"/>
      <c r="D633" s="158"/>
      <c r="E633" s="158"/>
      <c r="F633" s="158"/>
      <c r="G633" s="158"/>
      <c r="H633" s="158"/>
      <c r="I633" s="158"/>
      <c r="J633" s="158"/>
      <c r="K633" s="158"/>
      <c r="L633" s="158"/>
      <c r="M633" s="158"/>
    </row>
    <row r="634" spans="1:13" ht="14.25" customHeight="1">
      <c r="A634" s="158"/>
      <c r="B634" s="158"/>
      <c r="C634" s="158"/>
      <c r="D634" s="158"/>
      <c r="E634" s="158"/>
      <c r="F634" s="158"/>
      <c r="G634" s="158"/>
      <c r="H634" s="158"/>
      <c r="I634" s="158"/>
      <c r="J634" s="158"/>
      <c r="K634" s="158"/>
      <c r="L634" s="158"/>
      <c r="M634" s="158"/>
    </row>
    <row r="635" spans="1:13" ht="14.25" customHeight="1">
      <c r="A635" s="158"/>
      <c r="B635" s="158"/>
      <c r="C635" s="158"/>
      <c r="D635" s="158"/>
      <c r="E635" s="158"/>
      <c r="F635" s="158"/>
      <c r="G635" s="158"/>
      <c r="H635" s="158"/>
      <c r="I635" s="158"/>
      <c r="J635" s="158"/>
      <c r="K635" s="158"/>
      <c r="L635" s="158"/>
      <c r="M635" s="158"/>
    </row>
    <row r="636" spans="1:13" ht="14.25" customHeight="1">
      <c r="A636" s="158"/>
      <c r="B636" s="158"/>
      <c r="C636" s="158"/>
      <c r="D636" s="158"/>
      <c r="E636" s="158"/>
      <c r="F636" s="158"/>
      <c r="G636" s="158"/>
      <c r="H636" s="158"/>
      <c r="I636" s="158"/>
      <c r="J636" s="158"/>
      <c r="K636" s="158"/>
      <c r="L636" s="158"/>
      <c r="M636" s="158"/>
    </row>
    <row r="637" spans="1:13" ht="14.25" customHeight="1">
      <c r="A637" s="158"/>
      <c r="B637" s="158"/>
      <c r="C637" s="158"/>
      <c r="D637" s="158"/>
      <c r="E637" s="158"/>
      <c r="F637" s="158"/>
      <c r="G637" s="158"/>
      <c r="H637" s="158"/>
      <c r="I637" s="158"/>
      <c r="J637" s="158"/>
      <c r="K637" s="158"/>
      <c r="L637" s="158"/>
      <c r="M637" s="158"/>
    </row>
    <row r="638" spans="1:13" ht="14.25" customHeight="1">
      <c r="A638" s="158"/>
      <c r="B638" s="158"/>
      <c r="C638" s="158"/>
      <c r="D638" s="158"/>
      <c r="E638" s="158"/>
      <c r="F638" s="158"/>
      <c r="G638" s="158"/>
      <c r="H638" s="158"/>
      <c r="I638" s="158"/>
      <c r="J638" s="158"/>
      <c r="K638" s="158"/>
      <c r="L638" s="158"/>
      <c r="M638" s="158"/>
    </row>
    <row r="639" spans="1:13" ht="14.25" customHeight="1">
      <c r="A639" s="158"/>
      <c r="B639" s="158"/>
      <c r="C639" s="158"/>
      <c r="D639" s="158"/>
      <c r="E639" s="158"/>
      <c r="F639" s="158"/>
      <c r="G639" s="158"/>
      <c r="H639" s="158"/>
      <c r="I639" s="158"/>
      <c r="J639" s="158"/>
      <c r="K639" s="158"/>
      <c r="L639" s="158"/>
      <c r="M639" s="158"/>
    </row>
    <row r="640" spans="1:13" ht="14.25" customHeight="1">
      <c r="A640" s="158"/>
      <c r="B640" s="158"/>
      <c r="C640" s="158"/>
      <c r="D640" s="158"/>
      <c r="E640" s="158"/>
      <c r="F640" s="158"/>
      <c r="G640" s="158"/>
      <c r="H640" s="158"/>
      <c r="I640" s="158"/>
      <c r="J640" s="158"/>
      <c r="K640" s="158"/>
      <c r="L640" s="158"/>
      <c r="M640" s="158"/>
    </row>
    <row r="641" spans="1:13" ht="14.25" customHeight="1">
      <c r="A641" s="158"/>
      <c r="B641" s="158"/>
      <c r="C641" s="158"/>
      <c r="D641" s="158"/>
      <c r="E641" s="158"/>
      <c r="F641" s="158"/>
      <c r="G641" s="158"/>
      <c r="H641" s="158"/>
      <c r="I641" s="158"/>
      <c r="J641" s="158"/>
      <c r="K641" s="158"/>
      <c r="L641" s="158"/>
      <c r="M641" s="158"/>
    </row>
    <row r="642" spans="1:13" ht="14.25" customHeight="1">
      <c r="A642" s="158"/>
      <c r="B642" s="158"/>
      <c r="C642" s="158"/>
      <c r="D642" s="158"/>
      <c r="E642" s="158"/>
      <c r="F642" s="158"/>
      <c r="G642" s="158"/>
      <c r="H642" s="158"/>
      <c r="I642" s="158"/>
      <c r="J642" s="158"/>
      <c r="K642" s="158"/>
      <c r="L642" s="158"/>
      <c r="M642" s="158"/>
    </row>
    <row r="643" spans="1:13" ht="14.25" customHeight="1">
      <c r="A643" s="158"/>
      <c r="B643" s="158"/>
      <c r="C643" s="158"/>
      <c r="D643" s="158"/>
      <c r="E643" s="158"/>
      <c r="F643" s="158"/>
      <c r="G643" s="158"/>
      <c r="H643" s="158"/>
      <c r="I643" s="158"/>
      <c r="J643" s="158"/>
      <c r="K643" s="158"/>
      <c r="L643" s="158"/>
      <c r="M643" s="158"/>
    </row>
    <row r="644" spans="1:13" ht="14.25" customHeight="1">
      <c r="A644" s="158"/>
      <c r="B644" s="158"/>
      <c r="C644" s="158"/>
      <c r="D644" s="158"/>
      <c r="E644" s="158"/>
      <c r="F644" s="158"/>
      <c r="G644" s="158"/>
      <c r="H644" s="158"/>
      <c r="I644" s="158"/>
      <c r="J644" s="158"/>
      <c r="K644" s="158"/>
      <c r="L644" s="158"/>
      <c r="M644" s="158"/>
    </row>
    <row r="645" spans="1:13" ht="14.25" customHeight="1">
      <c r="A645" s="158"/>
      <c r="B645" s="158"/>
      <c r="C645" s="158"/>
      <c r="D645" s="158"/>
      <c r="E645" s="158"/>
      <c r="F645" s="158"/>
      <c r="G645" s="158"/>
      <c r="H645" s="158"/>
      <c r="I645" s="158"/>
      <c r="J645" s="158"/>
      <c r="K645" s="158"/>
      <c r="L645" s="158"/>
      <c r="M645" s="158"/>
    </row>
    <row r="646" spans="1:13" ht="14.25" customHeight="1">
      <c r="A646" s="158"/>
      <c r="B646" s="158"/>
      <c r="C646" s="158"/>
      <c r="D646" s="158"/>
      <c r="E646" s="158"/>
      <c r="F646" s="158"/>
      <c r="G646" s="158"/>
      <c r="H646" s="158"/>
      <c r="I646" s="158"/>
      <c r="J646" s="158"/>
      <c r="K646" s="158"/>
      <c r="L646" s="158"/>
      <c r="M646" s="158"/>
    </row>
    <row r="647" spans="1:13" ht="14.25" customHeight="1">
      <c r="A647" s="158"/>
      <c r="B647" s="158"/>
      <c r="C647" s="158"/>
      <c r="D647" s="158"/>
      <c r="E647" s="158"/>
      <c r="F647" s="158"/>
      <c r="G647" s="158"/>
      <c r="H647" s="158"/>
      <c r="I647" s="158"/>
      <c r="J647" s="158"/>
      <c r="K647" s="158"/>
      <c r="L647" s="158"/>
      <c r="M647" s="158"/>
    </row>
    <row r="648" spans="1:13" ht="14.25" customHeight="1">
      <c r="A648" s="158"/>
      <c r="B648" s="158"/>
      <c r="C648" s="158"/>
      <c r="D648" s="158"/>
      <c r="E648" s="158"/>
      <c r="F648" s="158"/>
      <c r="G648" s="158"/>
      <c r="H648" s="158"/>
      <c r="I648" s="158"/>
      <c r="J648" s="158"/>
      <c r="K648" s="158"/>
      <c r="L648" s="158"/>
      <c r="M648" s="158"/>
    </row>
    <row r="649" spans="1:13" ht="14.25" customHeight="1">
      <c r="A649" s="158"/>
      <c r="B649" s="158"/>
      <c r="C649" s="158"/>
      <c r="D649" s="158"/>
      <c r="E649" s="158"/>
      <c r="F649" s="158"/>
      <c r="G649" s="158"/>
      <c r="H649" s="158"/>
      <c r="I649" s="158"/>
      <c r="J649" s="158"/>
      <c r="K649" s="158"/>
      <c r="L649" s="158"/>
      <c r="M649" s="158"/>
    </row>
    <row r="650" spans="1:13" ht="14.25" customHeight="1">
      <c r="A650" s="158"/>
      <c r="B650" s="158"/>
      <c r="C650" s="158"/>
      <c r="D650" s="158"/>
      <c r="E650" s="158"/>
      <c r="F650" s="158"/>
      <c r="G650" s="158"/>
      <c r="H650" s="158"/>
      <c r="I650" s="158"/>
      <c r="J650" s="158"/>
      <c r="K650" s="158"/>
      <c r="L650" s="158"/>
      <c r="M650" s="158"/>
    </row>
    <row r="651" spans="1:13" ht="14.25" customHeight="1">
      <c r="A651" s="158"/>
      <c r="B651" s="158"/>
      <c r="C651" s="158"/>
      <c r="D651" s="158"/>
      <c r="E651" s="158"/>
      <c r="F651" s="158"/>
      <c r="G651" s="158"/>
      <c r="H651" s="158"/>
      <c r="I651" s="158"/>
      <c r="J651" s="158"/>
      <c r="K651" s="158"/>
      <c r="L651" s="158"/>
      <c r="M651" s="158"/>
    </row>
    <row r="652" spans="1:13" ht="14.25" customHeight="1">
      <c r="A652" s="158"/>
      <c r="B652" s="158"/>
      <c r="C652" s="158"/>
      <c r="D652" s="158"/>
      <c r="E652" s="158"/>
      <c r="F652" s="158"/>
      <c r="G652" s="158"/>
      <c r="H652" s="158"/>
      <c r="I652" s="158"/>
      <c r="J652" s="158"/>
      <c r="K652" s="158"/>
      <c r="L652" s="158"/>
      <c r="M652" s="158"/>
    </row>
    <row r="653" spans="1:13" ht="14.25" customHeight="1">
      <c r="A653" s="158"/>
      <c r="B653" s="158"/>
      <c r="C653" s="158"/>
      <c r="D653" s="158"/>
      <c r="E653" s="158"/>
      <c r="F653" s="158"/>
      <c r="G653" s="158"/>
      <c r="H653" s="158"/>
      <c r="I653" s="158"/>
      <c r="J653" s="158"/>
      <c r="K653" s="158"/>
      <c r="L653" s="158"/>
      <c r="M653" s="158"/>
    </row>
    <row r="654" spans="1:13" ht="14.25" customHeight="1">
      <c r="A654" s="158"/>
      <c r="B654" s="158"/>
      <c r="C654" s="158"/>
      <c r="D654" s="158"/>
      <c r="E654" s="158"/>
      <c r="F654" s="158"/>
      <c r="G654" s="158"/>
      <c r="H654" s="158"/>
      <c r="I654" s="158"/>
      <c r="J654" s="158"/>
      <c r="K654" s="158"/>
      <c r="L654" s="158"/>
      <c r="M654" s="158"/>
    </row>
    <row r="655" spans="1:13" ht="14.25" customHeight="1">
      <c r="A655" s="158"/>
      <c r="B655" s="158"/>
      <c r="C655" s="158"/>
      <c r="D655" s="158"/>
      <c r="E655" s="158"/>
      <c r="F655" s="158"/>
      <c r="G655" s="158"/>
      <c r="H655" s="158"/>
      <c r="I655" s="158"/>
      <c r="J655" s="158"/>
      <c r="K655" s="158"/>
      <c r="L655" s="158"/>
      <c r="M655" s="158"/>
    </row>
    <row r="656" spans="1:13" ht="14.25" customHeight="1">
      <c r="A656" s="158"/>
      <c r="B656" s="158"/>
      <c r="C656" s="158"/>
      <c r="D656" s="158"/>
      <c r="E656" s="158"/>
      <c r="F656" s="158"/>
      <c r="G656" s="158"/>
      <c r="H656" s="158"/>
      <c r="I656" s="158"/>
      <c r="J656" s="158"/>
      <c r="K656" s="158"/>
      <c r="L656" s="158"/>
      <c r="M656" s="158"/>
    </row>
    <row r="657" spans="1:13" ht="14.25" customHeight="1">
      <c r="A657" s="158"/>
      <c r="B657" s="158"/>
      <c r="C657" s="158"/>
      <c r="D657" s="158"/>
      <c r="E657" s="158"/>
      <c r="F657" s="158"/>
      <c r="G657" s="158"/>
      <c r="H657" s="158"/>
      <c r="I657" s="158"/>
      <c r="J657" s="158"/>
      <c r="K657" s="158"/>
      <c r="L657" s="158"/>
      <c r="M657" s="158"/>
    </row>
    <row r="658" spans="1:13" ht="14.25" customHeight="1">
      <c r="A658" s="158"/>
      <c r="B658" s="158"/>
      <c r="C658" s="158"/>
      <c r="D658" s="158"/>
      <c r="E658" s="158"/>
      <c r="F658" s="158"/>
      <c r="G658" s="158"/>
      <c r="H658" s="158"/>
      <c r="I658" s="158"/>
      <c r="J658" s="158"/>
      <c r="K658" s="158"/>
      <c r="L658" s="158"/>
      <c r="M658" s="158"/>
    </row>
    <row r="659" spans="1:13" ht="14.25" customHeight="1">
      <c r="A659" s="158"/>
      <c r="B659" s="158"/>
      <c r="C659" s="158"/>
      <c r="D659" s="158"/>
      <c r="E659" s="158"/>
      <c r="F659" s="158"/>
      <c r="G659" s="158"/>
      <c r="H659" s="158"/>
      <c r="I659" s="158"/>
      <c r="J659" s="158"/>
      <c r="K659" s="158"/>
      <c r="L659" s="158"/>
      <c r="M659" s="158"/>
    </row>
    <row r="660" spans="1:13" ht="14.25" customHeight="1">
      <c r="A660" s="158"/>
      <c r="B660" s="158"/>
      <c r="C660" s="158"/>
      <c r="D660" s="158"/>
      <c r="E660" s="158"/>
      <c r="F660" s="158"/>
      <c r="G660" s="158"/>
      <c r="H660" s="158"/>
      <c r="I660" s="158"/>
      <c r="J660" s="158"/>
      <c r="K660" s="158"/>
      <c r="L660" s="158"/>
      <c r="M660" s="158"/>
    </row>
    <row r="661" spans="1:13" ht="14.25" customHeight="1">
      <c r="A661" s="158"/>
      <c r="B661" s="158"/>
      <c r="C661" s="158"/>
      <c r="D661" s="158"/>
      <c r="E661" s="158"/>
      <c r="F661" s="158"/>
      <c r="G661" s="158"/>
      <c r="H661" s="158"/>
      <c r="I661" s="158"/>
      <c r="J661" s="158"/>
      <c r="K661" s="158"/>
      <c r="L661" s="158"/>
      <c r="M661" s="158"/>
    </row>
    <row r="662" spans="1:13" ht="14.25" customHeight="1">
      <c r="A662" s="158"/>
      <c r="B662" s="158"/>
      <c r="C662" s="158"/>
      <c r="D662" s="158"/>
      <c r="E662" s="158"/>
      <c r="F662" s="158"/>
      <c r="G662" s="158"/>
      <c r="H662" s="158"/>
      <c r="I662" s="158"/>
      <c r="J662" s="158"/>
      <c r="K662" s="158"/>
      <c r="L662" s="158"/>
      <c r="M662" s="158"/>
    </row>
    <row r="663" spans="1:13" ht="14.25" customHeight="1">
      <c r="A663" s="158"/>
      <c r="B663" s="158"/>
      <c r="C663" s="158"/>
      <c r="D663" s="158"/>
      <c r="E663" s="158"/>
      <c r="F663" s="158"/>
      <c r="G663" s="158"/>
      <c r="H663" s="158"/>
      <c r="I663" s="158"/>
      <c r="J663" s="158"/>
      <c r="K663" s="158"/>
      <c r="L663" s="158"/>
      <c r="M663" s="158"/>
    </row>
    <row r="664" spans="1:13" ht="14.25" customHeight="1">
      <c r="A664" s="158"/>
      <c r="B664" s="158"/>
      <c r="C664" s="158"/>
      <c r="D664" s="158"/>
      <c r="E664" s="158"/>
      <c r="F664" s="158"/>
      <c r="G664" s="158"/>
      <c r="H664" s="158"/>
      <c r="I664" s="158"/>
      <c r="J664" s="158"/>
      <c r="K664" s="158"/>
      <c r="L664" s="158"/>
      <c r="M664" s="158"/>
    </row>
    <row r="665" spans="1:13" ht="14.25" customHeight="1">
      <c r="A665" s="158"/>
      <c r="B665" s="158"/>
      <c r="C665" s="158"/>
      <c r="D665" s="158"/>
      <c r="E665" s="158"/>
      <c r="F665" s="158"/>
      <c r="G665" s="158"/>
      <c r="H665" s="158"/>
      <c r="I665" s="158"/>
      <c r="J665" s="158"/>
      <c r="K665" s="158"/>
      <c r="L665" s="158"/>
      <c r="M665" s="158"/>
    </row>
    <row r="666" spans="1:13" ht="14.25" customHeight="1">
      <c r="A666" s="158"/>
      <c r="B666" s="158"/>
      <c r="C666" s="158"/>
      <c r="D666" s="158"/>
      <c r="E666" s="158"/>
      <c r="F666" s="158"/>
      <c r="G666" s="158"/>
      <c r="H666" s="158"/>
      <c r="I666" s="158"/>
      <c r="J666" s="158"/>
      <c r="K666" s="158"/>
      <c r="L666" s="158"/>
      <c r="M666" s="158"/>
    </row>
    <row r="667" spans="1:13" ht="14.25" customHeight="1">
      <c r="A667" s="158"/>
      <c r="B667" s="158"/>
      <c r="C667" s="158"/>
      <c r="D667" s="158"/>
      <c r="E667" s="158"/>
      <c r="F667" s="158"/>
      <c r="G667" s="158"/>
      <c r="H667" s="158"/>
      <c r="I667" s="158"/>
      <c r="J667" s="158"/>
      <c r="K667" s="158"/>
      <c r="L667" s="158"/>
      <c r="M667" s="158"/>
    </row>
    <row r="668" spans="1:13" ht="14.25" customHeight="1">
      <c r="A668" s="158"/>
      <c r="B668" s="158"/>
      <c r="C668" s="158"/>
      <c r="D668" s="158"/>
      <c r="E668" s="158"/>
      <c r="F668" s="158"/>
      <c r="G668" s="158"/>
      <c r="H668" s="158"/>
      <c r="I668" s="158"/>
      <c r="J668" s="158"/>
      <c r="K668" s="158"/>
      <c r="L668" s="158"/>
      <c r="M668" s="158"/>
    </row>
    <row r="669" spans="1:13" ht="14.25" customHeight="1">
      <c r="A669" s="158"/>
      <c r="B669" s="158"/>
      <c r="C669" s="158"/>
      <c r="D669" s="158"/>
      <c r="E669" s="158"/>
      <c r="F669" s="158"/>
      <c r="G669" s="158"/>
      <c r="H669" s="158"/>
      <c r="I669" s="158"/>
      <c r="J669" s="158"/>
      <c r="K669" s="158"/>
      <c r="L669" s="158"/>
      <c r="M669" s="158"/>
    </row>
    <row r="670" spans="1:13" ht="14.25" customHeight="1">
      <c r="A670" s="158"/>
      <c r="B670" s="158"/>
      <c r="C670" s="158"/>
      <c r="D670" s="158"/>
      <c r="E670" s="158"/>
      <c r="F670" s="158"/>
      <c r="G670" s="158"/>
      <c r="H670" s="158"/>
      <c r="I670" s="158"/>
      <c r="J670" s="158"/>
      <c r="K670" s="158"/>
      <c r="L670" s="158"/>
      <c r="M670" s="158"/>
    </row>
    <row r="671" spans="1:13" ht="14.25" customHeight="1">
      <c r="A671" s="158"/>
      <c r="B671" s="158"/>
      <c r="C671" s="158"/>
      <c r="D671" s="158"/>
      <c r="E671" s="158"/>
      <c r="F671" s="158"/>
      <c r="G671" s="158"/>
      <c r="H671" s="158"/>
      <c r="I671" s="158"/>
      <c r="J671" s="158"/>
      <c r="K671" s="158"/>
      <c r="L671" s="158"/>
      <c r="M671" s="158"/>
    </row>
    <row r="672" spans="1:13" ht="14.25" customHeight="1">
      <c r="A672" s="158"/>
      <c r="B672" s="158"/>
      <c r="C672" s="158"/>
      <c r="D672" s="158"/>
      <c r="E672" s="158"/>
      <c r="F672" s="158"/>
      <c r="G672" s="158"/>
      <c r="H672" s="158"/>
      <c r="I672" s="158"/>
      <c r="J672" s="158"/>
      <c r="K672" s="158"/>
      <c r="L672" s="158"/>
      <c r="M672" s="158"/>
    </row>
    <row r="673" spans="1:13" ht="14.25" customHeight="1">
      <c r="A673" s="158"/>
      <c r="B673" s="158"/>
      <c r="C673" s="158"/>
      <c r="D673" s="158"/>
      <c r="E673" s="158"/>
      <c r="F673" s="158"/>
      <c r="G673" s="158"/>
      <c r="H673" s="158"/>
      <c r="I673" s="158"/>
      <c r="J673" s="158"/>
      <c r="K673" s="158"/>
      <c r="L673" s="158"/>
      <c r="M673" s="158"/>
    </row>
    <row r="674" spans="1:13" ht="14.25" customHeight="1">
      <c r="A674" s="158"/>
      <c r="B674" s="158"/>
      <c r="C674" s="158"/>
      <c r="D674" s="158"/>
      <c r="E674" s="158"/>
      <c r="F674" s="158"/>
      <c r="G674" s="158"/>
      <c r="H674" s="158"/>
      <c r="I674" s="158"/>
      <c r="J674" s="158"/>
      <c r="K674" s="158"/>
      <c r="L674" s="158"/>
      <c r="M674" s="158"/>
    </row>
    <row r="675" spans="1:13" ht="14.25" customHeight="1">
      <c r="A675" s="158"/>
      <c r="B675" s="158"/>
      <c r="C675" s="158"/>
      <c r="D675" s="158"/>
      <c r="E675" s="158"/>
      <c r="F675" s="158"/>
      <c r="G675" s="158"/>
      <c r="H675" s="158"/>
      <c r="I675" s="158"/>
      <c r="J675" s="158"/>
      <c r="K675" s="158"/>
      <c r="L675" s="158"/>
      <c r="M675" s="158"/>
    </row>
    <row r="676" spans="1:13" ht="14.25" customHeight="1">
      <c r="A676" s="158"/>
      <c r="B676" s="158"/>
      <c r="C676" s="158"/>
      <c r="D676" s="158"/>
      <c r="E676" s="158"/>
      <c r="F676" s="158"/>
      <c r="G676" s="158"/>
      <c r="H676" s="158"/>
      <c r="I676" s="158"/>
      <c r="J676" s="158"/>
      <c r="K676" s="158"/>
      <c r="L676" s="158"/>
      <c r="M676" s="158"/>
    </row>
    <row r="677" spans="1:13" ht="14.25" customHeight="1">
      <c r="A677" s="158"/>
      <c r="B677" s="158"/>
      <c r="C677" s="158"/>
      <c r="D677" s="158"/>
      <c r="E677" s="158"/>
      <c r="F677" s="158"/>
      <c r="G677" s="158"/>
      <c r="H677" s="158"/>
      <c r="I677" s="158"/>
      <c r="J677" s="158"/>
      <c r="K677" s="158"/>
      <c r="L677" s="158"/>
      <c r="M677" s="158"/>
    </row>
    <row r="678" spans="1:13" ht="14.25" customHeight="1">
      <c r="A678" s="158"/>
      <c r="B678" s="158"/>
      <c r="C678" s="158"/>
      <c r="D678" s="158"/>
      <c r="E678" s="158"/>
      <c r="F678" s="158"/>
      <c r="G678" s="158"/>
      <c r="H678" s="158"/>
      <c r="I678" s="158"/>
      <c r="J678" s="158"/>
      <c r="K678" s="158"/>
      <c r="L678" s="158"/>
      <c r="M678" s="158"/>
    </row>
    <row r="679" spans="1:13" ht="14.25" customHeight="1">
      <c r="A679" s="158"/>
      <c r="B679" s="158"/>
      <c r="C679" s="158"/>
      <c r="D679" s="158"/>
      <c r="E679" s="158"/>
      <c r="F679" s="158"/>
      <c r="G679" s="158"/>
      <c r="H679" s="158"/>
      <c r="I679" s="158"/>
      <c r="J679" s="158"/>
      <c r="K679" s="158"/>
      <c r="L679" s="158"/>
      <c r="M679" s="158"/>
    </row>
    <row r="680" spans="1:13" ht="14.25" customHeight="1">
      <c r="A680" s="158"/>
      <c r="B680" s="158"/>
      <c r="C680" s="158"/>
      <c r="D680" s="158"/>
      <c r="E680" s="158"/>
      <c r="F680" s="158"/>
      <c r="G680" s="158"/>
      <c r="H680" s="158"/>
      <c r="I680" s="158"/>
      <c r="J680" s="158"/>
      <c r="K680" s="158"/>
      <c r="L680" s="158"/>
      <c r="M680" s="158"/>
    </row>
    <row r="681" spans="1:13" ht="14.25" customHeight="1">
      <c r="A681" s="158"/>
      <c r="B681" s="158"/>
      <c r="C681" s="158"/>
      <c r="D681" s="158"/>
      <c r="E681" s="158"/>
      <c r="F681" s="158"/>
      <c r="G681" s="158"/>
      <c r="H681" s="158"/>
      <c r="I681" s="158"/>
      <c r="J681" s="158"/>
      <c r="K681" s="158"/>
      <c r="L681" s="158"/>
      <c r="M681" s="158"/>
    </row>
    <row r="682" spans="1:13" ht="14.25" customHeight="1">
      <c r="A682" s="158"/>
      <c r="B682" s="158"/>
      <c r="C682" s="158"/>
      <c r="D682" s="158"/>
      <c r="E682" s="158"/>
      <c r="F682" s="158"/>
      <c r="G682" s="158"/>
      <c r="H682" s="158"/>
      <c r="I682" s="158"/>
      <c r="J682" s="158"/>
      <c r="K682" s="158"/>
      <c r="L682" s="158"/>
      <c r="M682" s="158"/>
    </row>
    <row r="683" spans="1:13" ht="14.25" customHeight="1">
      <c r="A683" s="158"/>
      <c r="B683" s="158"/>
      <c r="C683" s="158"/>
      <c r="D683" s="158"/>
      <c r="E683" s="158"/>
      <c r="F683" s="158"/>
      <c r="G683" s="158"/>
      <c r="H683" s="158"/>
      <c r="I683" s="158"/>
      <c r="J683" s="158"/>
      <c r="K683" s="158"/>
      <c r="L683" s="158"/>
      <c r="M683" s="158"/>
    </row>
    <row r="684" spans="1:13" ht="14.25" customHeight="1">
      <c r="A684" s="158"/>
      <c r="B684" s="158"/>
      <c r="C684" s="158"/>
      <c r="D684" s="158"/>
      <c r="E684" s="158"/>
      <c r="F684" s="158"/>
      <c r="G684" s="158"/>
      <c r="H684" s="158"/>
      <c r="I684" s="158"/>
      <c r="J684" s="158"/>
      <c r="K684" s="158"/>
      <c r="L684" s="158"/>
      <c r="M684" s="158"/>
    </row>
    <row r="685" spans="1:13" ht="14.25" customHeight="1">
      <c r="A685" s="158"/>
      <c r="B685" s="158"/>
      <c r="C685" s="158"/>
      <c r="D685" s="158"/>
      <c r="E685" s="158"/>
      <c r="F685" s="158"/>
      <c r="G685" s="158"/>
      <c r="H685" s="158"/>
      <c r="I685" s="158"/>
      <c r="J685" s="158"/>
      <c r="K685" s="158"/>
      <c r="L685" s="158"/>
      <c r="M685" s="158"/>
    </row>
    <row r="686" spans="1:13" ht="14.25" customHeight="1">
      <c r="A686" s="158"/>
      <c r="B686" s="158"/>
      <c r="C686" s="158"/>
      <c r="D686" s="158"/>
      <c r="E686" s="158"/>
      <c r="F686" s="158"/>
      <c r="G686" s="158"/>
      <c r="H686" s="158"/>
      <c r="I686" s="158"/>
      <c r="J686" s="158"/>
      <c r="K686" s="158"/>
      <c r="L686" s="158"/>
      <c r="M686" s="158"/>
    </row>
    <row r="687" spans="1:13" ht="14.25" customHeight="1">
      <c r="A687" s="158"/>
      <c r="B687" s="158"/>
      <c r="C687" s="158"/>
      <c r="D687" s="158"/>
      <c r="E687" s="158"/>
      <c r="F687" s="158"/>
      <c r="G687" s="158"/>
      <c r="H687" s="158"/>
      <c r="I687" s="158"/>
      <c r="J687" s="158"/>
      <c r="K687" s="158"/>
      <c r="L687" s="158"/>
      <c r="M687" s="158"/>
    </row>
    <row r="688" spans="1:13" ht="14.25" customHeight="1">
      <c r="A688" s="158"/>
      <c r="B688" s="158"/>
      <c r="C688" s="158"/>
      <c r="D688" s="158"/>
      <c r="E688" s="158"/>
      <c r="F688" s="158"/>
      <c r="G688" s="158"/>
      <c r="H688" s="158"/>
      <c r="I688" s="158"/>
      <c r="J688" s="158"/>
      <c r="K688" s="158"/>
      <c r="L688" s="158"/>
      <c r="M688" s="158"/>
    </row>
    <row r="689" spans="1:13" ht="14.25" customHeight="1">
      <c r="A689" s="158"/>
      <c r="B689" s="158"/>
      <c r="C689" s="158"/>
      <c r="D689" s="158"/>
      <c r="E689" s="158"/>
      <c r="F689" s="158"/>
      <c r="G689" s="158"/>
      <c r="H689" s="158"/>
      <c r="I689" s="158"/>
      <c r="J689" s="158"/>
      <c r="K689" s="158"/>
      <c r="L689" s="158"/>
      <c r="M689" s="158"/>
    </row>
    <row r="690" spans="1:13" ht="14.25" customHeight="1">
      <c r="A690" s="158"/>
      <c r="B690" s="158"/>
      <c r="C690" s="158"/>
      <c r="D690" s="158"/>
      <c r="E690" s="158"/>
      <c r="F690" s="158"/>
      <c r="G690" s="158"/>
      <c r="H690" s="158"/>
      <c r="I690" s="158"/>
      <c r="J690" s="158"/>
      <c r="K690" s="158"/>
      <c r="L690" s="158"/>
      <c r="M690" s="158"/>
    </row>
    <row r="691" spans="1:13" ht="14.25" customHeight="1">
      <c r="A691" s="158"/>
      <c r="B691" s="158"/>
      <c r="C691" s="158"/>
      <c r="D691" s="158"/>
      <c r="E691" s="158"/>
      <c r="F691" s="158"/>
      <c r="G691" s="158"/>
      <c r="H691" s="158"/>
      <c r="I691" s="158"/>
      <c r="J691" s="158"/>
      <c r="K691" s="158"/>
      <c r="L691" s="158"/>
      <c r="M691" s="158"/>
    </row>
    <row r="692" spans="1:13" ht="14.25" customHeight="1">
      <c r="A692" s="158"/>
      <c r="B692" s="158"/>
      <c r="C692" s="158"/>
      <c r="D692" s="158"/>
      <c r="E692" s="158"/>
      <c r="F692" s="158"/>
      <c r="G692" s="158"/>
      <c r="H692" s="158"/>
      <c r="I692" s="158"/>
      <c r="J692" s="158"/>
      <c r="K692" s="158"/>
      <c r="L692" s="158"/>
      <c r="M692" s="158"/>
    </row>
    <row r="693" spans="1:13" ht="14.25" customHeight="1">
      <c r="A693" s="158"/>
      <c r="B693" s="158"/>
      <c r="C693" s="158"/>
      <c r="D693" s="158"/>
      <c r="E693" s="158"/>
      <c r="F693" s="158"/>
      <c r="G693" s="158"/>
      <c r="H693" s="158"/>
      <c r="I693" s="158"/>
      <c r="J693" s="158"/>
      <c r="K693" s="158"/>
      <c r="L693" s="158"/>
      <c r="M693" s="158"/>
    </row>
    <row r="694" spans="1:13" ht="14.25" customHeight="1">
      <c r="A694" s="158"/>
      <c r="B694" s="158"/>
      <c r="C694" s="158"/>
      <c r="D694" s="158"/>
      <c r="E694" s="158"/>
      <c r="F694" s="158"/>
      <c r="G694" s="158"/>
      <c r="H694" s="158"/>
      <c r="I694" s="158"/>
      <c r="J694" s="158"/>
      <c r="K694" s="158"/>
      <c r="L694" s="158"/>
      <c r="M694" s="158"/>
    </row>
    <row r="695" spans="1:13" ht="14.25" customHeight="1">
      <c r="A695" s="158"/>
      <c r="B695" s="158"/>
      <c r="C695" s="158"/>
      <c r="D695" s="158"/>
      <c r="E695" s="158"/>
      <c r="F695" s="158"/>
      <c r="G695" s="158"/>
      <c r="H695" s="158"/>
      <c r="I695" s="158"/>
      <c r="J695" s="158"/>
      <c r="K695" s="158"/>
      <c r="L695" s="158"/>
      <c r="M695" s="158"/>
    </row>
    <row r="696" spans="1:13" ht="14.25" customHeight="1">
      <c r="A696" s="158"/>
      <c r="B696" s="158"/>
      <c r="C696" s="158"/>
      <c r="D696" s="158"/>
      <c r="E696" s="158"/>
      <c r="F696" s="158"/>
      <c r="G696" s="158"/>
      <c r="H696" s="158"/>
      <c r="I696" s="158"/>
      <c r="J696" s="158"/>
      <c r="K696" s="158"/>
      <c r="L696" s="158"/>
      <c r="M696" s="158"/>
    </row>
    <row r="697" spans="1:13" ht="14.25" customHeight="1">
      <c r="A697" s="158"/>
      <c r="B697" s="158"/>
      <c r="C697" s="158"/>
      <c r="D697" s="158"/>
      <c r="E697" s="158"/>
      <c r="F697" s="158"/>
      <c r="G697" s="158"/>
      <c r="H697" s="158"/>
      <c r="I697" s="158"/>
      <c r="J697" s="158"/>
      <c r="K697" s="158"/>
      <c r="L697" s="158"/>
      <c r="M697" s="158"/>
    </row>
    <row r="698" spans="1:13" ht="14.25" customHeight="1">
      <c r="A698" s="158"/>
      <c r="B698" s="158"/>
      <c r="C698" s="158"/>
      <c r="D698" s="158"/>
      <c r="E698" s="158"/>
      <c r="F698" s="158"/>
      <c r="G698" s="158"/>
      <c r="H698" s="158"/>
      <c r="I698" s="158"/>
      <c r="J698" s="158"/>
      <c r="K698" s="158"/>
      <c r="L698" s="158"/>
      <c r="M698" s="158"/>
    </row>
    <row r="699" spans="1:13" ht="14.25" customHeight="1">
      <c r="A699" s="158"/>
      <c r="B699" s="158"/>
      <c r="C699" s="158"/>
      <c r="D699" s="158"/>
      <c r="E699" s="158"/>
      <c r="F699" s="158"/>
      <c r="G699" s="158"/>
      <c r="H699" s="158"/>
      <c r="I699" s="158"/>
      <c r="J699" s="158"/>
      <c r="K699" s="158"/>
      <c r="L699" s="158"/>
      <c r="M699" s="158"/>
    </row>
    <row r="700" spans="1:13" ht="14.25" customHeight="1">
      <c r="A700" s="158"/>
      <c r="B700" s="158"/>
      <c r="C700" s="158"/>
      <c r="D700" s="158"/>
      <c r="E700" s="158"/>
      <c r="F700" s="158"/>
      <c r="G700" s="158"/>
      <c r="H700" s="158"/>
      <c r="I700" s="158"/>
      <c r="J700" s="158"/>
      <c r="K700" s="158"/>
      <c r="L700" s="158"/>
      <c r="M700" s="158"/>
    </row>
    <row r="701" spans="1:13" ht="14.25" customHeight="1">
      <c r="A701" s="158"/>
      <c r="B701" s="158"/>
      <c r="C701" s="158"/>
      <c r="D701" s="158"/>
      <c r="E701" s="158"/>
      <c r="F701" s="158"/>
      <c r="G701" s="158"/>
      <c r="H701" s="158"/>
      <c r="I701" s="158"/>
      <c r="J701" s="158"/>
      <c r="K701" s="158"/>
      <c r="L701" s="158"/>
      <c r="M701" s="158"/>
    </row>
    <row r="702" spans="1:13" ht="14.25" customHeight="1">
      <c r="A702" s="158"/>
      <c r="B702" s="158"/>
      <c r="C702" s="158"/>
      <c r="D702" s="158"/>
      <c r="E702" s="158"/>
      <c r="F702" s="158"/>
      <c r="G702" s="158"/>
      <c r="H702" s="158"/>
      <c r="I702" s="158"/>
      <c r="J702" s="158"/>
      <c r="K702" s="158"/>
      <c r="L702" s="158"/>
      <c r="M702" s="158"/>
    </row>
    <row r="703" spans="1:13" ht="14.25" customHeight="1">
      <c r="A703" s="158"/>
      <c r="B703" s="158"/>
      <c r="C703" s="158"/>
      <c r="D703" s="158"/>
      <c r="E703" s="158"/>
      <c r="F703" s="158"/>
      <c r="G703" s="158"/>
      <c r="H703" s="158"/>
      <c r="I703" s="158"/>
      <c r="J703" s="158"/>
      <c r="K703" s="158"/>
      <c r="L703" s="158"/>
      <c r="M703" s="158"/>
    </row>
    <row r="704" spans="1:13" ht="14.25" customHeight="1">
      <c r="A704" s="158"/>
      <c r="B704" s="158"/>
      <c r="C704" s="158"/>
      <c r="D704" s="158"/>
      <c r="E704" s="158"/>
      <c r="F704" s="158"/>
      <c r="G704" s="158"/>
      <c r="H704" s="158"/>
      <c r="I704" s="158"/>
      <c r="J704" s="158"/>
      <c r="K704" s="158"/>
      <c r="L704" s="158"/>
      <c r="M704" s="158"/>
    </row>
    <row r="705" spans="1:13" ht="14.25" customHeight="1">
      <c r="A705" s="158"/>
      <c r="B705" s="158"/>
      <c r="C705" s="158"/>
      <c r="D705" s="158"/>
      <c r="E705" s="158"/>
      <c r="F705" s="158"/>
      <c r="G705" s="158"/>
      <c r="H705" s="158"/>
      <c r="I705" s="158"/>
      <c r="J705" s="158"/>
      <c r="K705" s="158"/>
      <c r="L705" s="158"/>
      <c r="M705" s="158"/>
    </row>
    <row r="706" spans="1:13" ht="14.25" customHeight="1">
      <c r="A706" s="158"/>
      <c r="B706" s="158"/>
      <c r="C706" s="158"/>
      <c r="D706" s="158"/>
      <c r="E706" s="158"/>
      <c r="F706" s="158"/>
      <c r="G706" s="158"/>
      <c r="H706" s="158"/>
      <c r="I706" s="158"/>
      <c r="J706" s="158"/>
      <c r="K706" s="158"/>
      <c r="L706" s="158"/>
      <c r="M706" s="158"/>
    </row>
    <row r="707" spans="1:13" ht="14.25" customHeight="1">
      <c r="A707" s="158"/>
      <c r="B707" s="158"/>
      <c r="C707" s="158"/>
      <c r="D707" s="158"/>
      <c r="E707" s="158"/>
      <c r="F707" s="158"/>
      <c r="G707" s="158"/>
      <c r="H707" s="158"/>
      <c r="I707" s="158"/>
      <c r="J707" s="158"/>
      <c r="K707" s="158"/>
      <c r="L707" s="158"/>
      <c r="M707" s="158"/>
    </row>
    <row r="708" spans="1:13" ht="14.25" customHeight="1">
      <c r="A708" s="158"/>
      <c r="B708" s="158"/>
      <c r="C708" s="158"/>
      <c r="D708" s="158"/>
      <c r="E708" s="158"/>
      <c r="F708" s="158"/>
      <c r="G708" s="158"/>
      <c r="H708" s="158"/>
      <c r="I708" s="158"/>
      <c r="J708" s="158"/>
      <c r="K708" s="158"/>
      <c r="L708" s="158"/>
      <c r="M708" s="158"/>
    </row>
    <row r="709" spans="1:13" ht="14.25" customHeight="1">
      <c r="A709" s="158"/>
      <c r="B709" s="158"/>
      <c r="C709" s="158"/>
      <c r="D709" s="158"/>
      <c r="E709" s="158"/>
      <c r="F709" s="158"/>
      <c r="G709" s="158"/>
      <c r="H709" s="158"/>
      <c r="I709" s="158"/>
      <c r="J709" s="158"/>
      <c r="K709" s="158"/>
      <c r="L709" s="158"/>
      <c r="M709" s="158"/>
    </row>
    <row r="710" spans="1:13" ht="14.25" customHeight="1">
      <c r="A710" s="158"/>
      <c r="B710" s="158"/>
      <c r="C710" s="158"/>
      <c r="D710" s="158"/>
      <c r="E710" s="158"/>
      <c r="F710" s="158"/>
      <c r="G710" s="158"/>
      <c r="H710" s="158"/>
      <c r="I710" s="158"/>
      <c r="J710" s="158"/>
      <c r="K710" s="158"/>
      <c r="L710" s="158"/>
      <c r="M710" s="158"/>
    </row>
    <row r="711" spans="1:13" ht="14.25" customHeight="1">
      <c r="A711" s="158"/>
      <c r="B711" s="158"/>
      <c r="C711" s="158"/>
      <c r="D711" s="158"/>
      <c r="E711" s="158"/>
      <c r="F711" s="158"/>
      <c r="G711" s="158"/>
      <c r="H711" s="158"/>
      <c r="I711" s="158"/>
      <c r="J711" s="158"/>
      <c r="K711" s="158"/>
      <c r="L711" s="158"/>
      <c r="M711" s="158"/>
    </row>
    <row r="712" spans="1:13" ht="14.25" customHeight="1">
      <c r="A712" s="158"/>
      <c r="B712" s="158"/>
      <c r="C712" s="158"/>
      <c r="D712" s="158"/>
      <c r="E712" s="158"/>
      <c r="F712" s="158"/>
      <c r="G712" s="158"/>
      <c r="H712" s="158"/>
      <c r="I712" s="158"/>
      <c r="J712" s="158"/>
      <c r="K712" s="158"/>
      <c r="L712" s="158"/>
      <c r="M712" s="158"/>
    </row>
    <row r="713" spans="1:13" ht="14.25" customHeight="1">
      <c r="A713" s="158"/>
      <c r="B713" s="158"/>
      <c r="C713" s="158"/>
      <c r="D713" s="158"/>
      <c r="E713" s="158"/>
      <c r="F713" s="158"/>
      <c r="G713" s="158"/>
      <c r="H713" s="158"/>
      <c r="I713" s="158"/>
      <c r="J713" s="158"/>
      <c r="K713" s="158"/>
      <c r="L713" s="158"/>
      <c r="M713" s="158"/>
    </row>
    <row r="714" spans="1:13" ht="14.25" customHeight="1">
      <c r="A714" s="158"/>
      <c r="B714" s="158"/>
      <c r="C714" s="158"/>
      <c r="D714" s="158"/>
      <c r="E714" s="158"/>
      <c r="F714" s="158"/>
      <c r="G714" s="158"/>
      <c r="H714" s="158"/>
      <c r="I714" s="158"/>
      <c r="J714" s="158"/>
      <c r="K714" s="158"/>
      <c r="L714" s="158"/>
      <c r="M714" s="158"/>
    </row>
    <row r="715" spans="1:13" ht="14.25" customHeight="1">
      <c r="A715" s="158"/>
      <c r="B715" s="158"/>
      <c r="C715" s="158"/>
      <c r="D715" s="158"/>
      <c r="E715" s="158"/>
      <c r="F715" s="158"/>
      <c r="G715" s="158"/>
      <c r="H715" s="158"/>
      <c r="I715" s="158"/>
      <c r="J715" s="158"/>
      <c r="K715" s="158"/>
      <c r="L715" s="158"/>
      <c r="M715" s="158"/>
    </row>
    <row r="716" spans="1:13" ht="14.25" customHeight="1">
      <c r="A716" s="158"/>
      <c r="B716" s="158"/>
      <c r="C716" s="158"/>
      <c r="D716" s="158"/>
      <c r="E716" s="158"/>
      <c r="F716" s="158"/>
      <c r="G716" s="158"/>
      <c r="H716" s="158"/>
      <c r="I716" s="158"/>
      <c r="J716" s="158"/>
      <c r="K716" s="158"/>
      <c r="L716" s="158"/>
      <c r="M716" s="158"/>
    </row>
    <row r="717" spans="1:13" ht="14.25" customHeight="1">
      <c r="A717" s="158"/>
      <c r="B717" s="158"/>
      <c r="C717" s="158"/>
      <c r="D717" s="158"/>
      <c r="E717" s="158"/>
      <c r="F717" s="158"/>
      <c r="G717" s="158"/>
      <c r="H717" s="158"/>
      <c r="I717" s="158"/>
      <c r="J717" s="158"/>
      <c r="K717" s="158"/>
      <c r="L717" s="158"/>
      <c r="M717" s="158"/>
    </row>
    <row r="718" spans="1:13" ht="14.25" customHeight="1">
      <c r="A718" s="158"/>
      <c r="B718" s="158"/>
      <c r="C718" s="158"/>
      <c r="D718" s="158"/>
      <c r="E718" s="158"/>
      <c r="F718" s="158"/>
      <c r="G718" s="158"/>
      <c r="H718" s="158"/>
      <c r="I718" s="158"/>
      <c r="J718" s="158"/>
      <c r="K718" s="158"/>
      <c r="L718" s="158"/>
      <c r="M718" s="158"/>
    </row>
    <row r="719" spans="1:13" ht="14.25" customHeight="1">
      <c r="A719" s="158"/>
      <c r="B719" s="158"/>
      <c r="C719" s="158"/>
      <c r="D719" s="158"/>
      <c r="E719" s="158"/>
      <c r="F719" s="158"/>
      <c r="G719" s="158"/>
      <c r="H719" s="158"/>
      <c r="I719" s="158"/>
      <c r="J719" s="158"/>
      <c r="K719" s="158"/>
      <c r="L719" s="158"/>
      <c r="M719" s="158"/>
    </row>
    <row r="720" spans="1:13" ht="14.25" customHeight="1">
      <c r="A720" s="158"/>
      <c r="B720" s="158"/>
      <c r="C720" s="158"/>
      <c r="D720" s="158"/>
      <c r="E720" s="158"/>
      <c r="F720" s="158"/>
      <c r="G720" s="158"/>
      <c r="H720" s="158"/>
      <c r="I720" s="158"/>
      <c r="J720" s="158"/>
      <c r="K720" s="158"/>
      <c r="L720" s="158"/>
      <c r="M720" s="158"/>
    </row>
    <row r="721" spans="1:13" ht="14.25" customHeight="1">
      <c r="A721" s="158"/>
      <c r="B721" s="158"/>
      <c r="C721" s="158"/>
      <c r="D721" s="158"/>
      <c r="E721" s="158"/>
      <c r="F721" s="158"/>
      <c r="G721" s="158"/>
      <c r="H721" s="158"/>
      <c r="I721" s="158"/>
      <c r="J721" s="158"/>
      <c r="K721" s="158"/>
      <c r="L721" s="158"/>
      <c r="M721" s="158"/>
    </row>
    <row r="722" spans="1:13" ht="14.25" customHeight="1">
      <c r="A722" s="158"/>
      <c r="B722" s="158"/>
      <c r="C722" s="158"/>
      <c r="D722" s="158"/>
      <c r="E722" s="158"/>
      <c r="F722" s="158"/>
      <c r="G722" s="158"/>
      <c r="H722" s="158"/>
      <c r="I722" s="158"/>
      <c r="J722" s="158"/>
      <c r="K722" s="158"/>
      <c r="L722" s="158"/>
      <c r="M722" s="158"/>
    </row>
    <row r="723" spans="1:13" ht="14.25" customHeight="1">
      <c r="A723" s="158"/>
      <c r="B723" s="158"/>
      <c r="C723" s="158"/>
      <c r="D723" s="158"/>
      <c r="E723" s="158"/>
      <c r="F723" s="158"/>
      <c r="G723" s="158"/>
      <c r="H723" s="158"/>
      <c r="I723" s="158"/>
      <c r="J723" s="158"/>
      <c r="K723" s="158"/>
      <c r="L723" s="158"/>
      <c r="M723" s="158"/>
    </row>
    <row r="724" spans="1:13" ht="14.25" customHeight="1">
      <c r="A724" s="158"/>
      <c r="B724" s="158"/>
      <c r="C724" s="158"/>
      <c r="D724" s="158"/>
      <c r="E724" s="158"/>
      <c r="F724" s="158"/>
      <c r="G724" s="158"/>
      <c r="H724" s="158"/>
      <c r="I724" s="158"/>
      <c r="J724" s="158"/>
      <c r="K724" s="158"/>
      <c r="L724" s="158"/>
      <c r="M724" s="158"/>
    </row>
    <row r="725" spans="1:13" ht="14.25" customHeight="1">
      <c r="A725" s="158"/>
      <c r="B725" s="158"/>
      <c r="C725" s="158"/>
      <c r="D725" s="158"/>
      <c r="E725" s="158"/>
      <c r="F725" s="158"/>
      <c r="G725" s="158"/>
      <c r="H725" s="158"/>
      <c r="I725" s="158"/>
      <c r="J725" s="158"/>
      <c r="K725" s="158"/>
      <c r="L725" s="158"/>
      <c r="M725" s="158"/>
    </row>
    <row r="726" spans="1:13" ht="14.25" customHeight="1">
      <c r="A726" s="158"/>
      <c r="B726" s="158"/>
      <c r="C726" s="158"/>
      <c r="D726" s="158"/>
      <c r="E726" s="158"/>
      <c r="F726" s="158"/>
      <c r="G726" s="158"/>
      <c r="H726" s="158"/>
      <c r="I726" s="158"/>
      <c r="J726" s="158"/>
      <c r="K726" s="158"/>
      <c r="L726" s="158"/>
      <c r="M726" s="158"/>
    </row>
    <row r="727" spans="1:13" ht="14.25" customHeight="1">
      <c r="A727" s="158"/>
      <c r="B727" s="158"/>
      <c r="C727" s="158"/>
      <c r="D727" s="158"/>
      <c r="E727" s="158"/>
      <c r="F727" s="158"/>
      <c r="G727" s="158"/>
      <c r="H727" s="158"/>
      <c r="I727" s="158"/>
      <c r="J727" s="158"/>
      <c r="K727" s="158"/>
      <c r="L727" s="158"/>
      <c r="M727" s="158"/>
    </row>
    <row r="728" spans="1:13" ht="14.25" customHeight="1">
      <c r="A728" s="158"/>
      <c r="B728" s="158"/>
      <c r="C728" s="158"/>
      <c r="D728" s="158"/>
      <c r="E728" s="158"/>
      <c r="F728" s="158"/>
      <c r="G728" s="158"/>
      <c r="H728" s="158"/>
      <c r="I728" s="158"/>
      <c r="J728" s="158"/>
      <c r="K728" s="158"/>
      <c r="L728" s="158"/>
      <c r="M728" s="158"/>
    </row>
    <row r="729" spans="1:13" ht="14.25" customHeight="1">
      <c r="A729" s="158"/>
      <c r="B729" s="158"/>
      <c r="C729" s="158"/>
      <c r="D729" s="158"/>
      <c r="E729" s="158"/>
      <c r="F729" s="158"/>
      <c r="G729" s="158"/>
      <c r="H729" s="158"/>
      <c r="I729" s="158"/>
      <c r="J729" s="158"/>
      <c r="K729" s="158"/>
      <c r="L729" s="158"/>
      <c r="M729" s="158"/>
    </row>
    <row r="730" spans="1:13" ht="14.25" customHeight="1">
      <c r="A730" s="158"/>
      <c r="B730" s="158"/>
      <c r="C730" s="158"/>
      <c r="D730" s="158"/>
      <c r="E730" s="158"/>
      <c r="F730" s="158"/>
      <c r="G730" s="158"/>
      <c r="H730" s="158"/>
      <c r="I730" s="158"/>
      <c r="J730" s="158"/>
      <c r="K730" s="158"/>
      <c r="L730" s="158"/>
      <c r="M730" s="158"/>
    </row>
    <row r="731" spans="1:13" ht="14.25" customHeight="1">
      <c r="A731" s="158"/>
      <c r="B731" s="158"/>
      <c r="C731" s="158"/>
      <c r="D731" s="158"/>
      <c r="E731" s="158"/>
      <c r="F731" s="158"/>
      <c r="G731" s="158"/>
      <c r="H731" s="158"/>
      <c r="I731" s="158"/>
      <c r="J731" s="158"/>
      <c r="K731" s="158"/>
      <c r="L731" s="158"/>
      <c r="M731" s="158"/>
    </row>
    <row r="732" spans="1:13" ht="14.25" customHeight="1">
      <c r="A732" s="158"/>
      <c r="B732" s="158"/>
      <c r="C732" s="158"/>
      <c r="D732" s="158"/>
      <c r="E732" s="158"/>
      <c r="F732" s="158"/>
      <c r="G732" s="158"/>
      <c r="H732" s="158"/>
      <c r="I732" s="158"/>
      <c r="J732" s="158"/>
      <c r="K732" s="158"/>
      <c r="L732" s="158"/>
      <c r="M732" s="158"/>
    </row>
    <row r="733" spans="1:13" ht="14.25" customHeight="1">
      <c r="A733" s="158"/>
      <c r="B733" s="158"/>
      <c r="C733" s="158"/>
      <c r="D733" s="158"/>
      <c r="E733" s="158"/>
      <c r="F733" s="158"/>
      <c r="G733" s="158"/>
      <c r="H733" s="158"/>
      <c r="I733" s="158"/>
      <c r="J733" s="158"/>
      <c r="K733" s="158"/>
      <c r="L733" s="158"/>
      <c r="M733" s="158"/>
    </row>
    <row r="734" spans="1:13" ht="14.25" customHeight="1">
      <c r="A734" s="158"/>
      <c r="B734" s="158"/>
      <c r="C734" s="158"/>
      <c r="D734" s="158"/>
      <c r="E734" s="158"/>
      <c r="F734" s="158"/>
      <c r="G734" s="158"/>
      <c r="H734" s="158"/>
      <c r="I734" s="158"/>
      <c r="J734" s="158"/>
      <c r="K734" s="158"/>
      <c r="L734" s="158"/>
      <c r="M734" s="158"/>
    </row>
    <row r="735" spans="1:13" ht="14.25" customHeight="1">
      <c r="A735" s="158"/>
      <c r="B735" s="158"/>
      <c r="C735" s="158"/>
      <c r="D735" s="158"/>
      <c r="E735" s="158"/>
      <c r="F735" s="158"/>
      <c r="G735" s="158"/>
      <c r="H735" s="158"/>
      <c r="I735" s="158"/>
      <c r="J735" s="158"/>
      <c r="K735" s="158"/>
      <c r="L735" s="158"/>
      <c r="M735" s="158"/>
    </row>
    <row r="736" spans="1:13" ht="14.25" customHeight="1">
      <c r="A736" s="158"/>
      <c r="B736" s="158"/>
      <c r="C736" s="158"/>
      <c r="D736" s="158"/>
      <c r="E736" s="158"/>
      <c r="F736" s="158"/>
      <c r="G736" s="158"/>
      <c r="H736" s="158"/>
      <c r="I736" s="158"/>
      <c r="J736" s="158"/>
      <c r="K736" s="158"/>
      <c r="L736" s="158"/>
      <c r="M736" s="158"/>
    </row>
    <row r="737" spans="1:13" ht="14.25" customHeight="1">
      <c r="A737" s="158"/>
      <c r="B737" s="158"/>
      <c r="C737" s="158"/>
      <c r="D737" s="158"/>
      <c r="E737" s="158"/>
      <c r="F737" s="158"/>
      <c r="G737" s="158"/>
      <c r="H737" s="158"/>
      <c r="I737" s="158"/>
      <c r="J737" s="158"/>
      <c r="K737" s="158"/>
      <c r="L737" s="158"/>
      <c r="M737" s="158"/>
    </row>
    <row r="738" spans="1:13" ht="14.25" customHeight="1">
      <c r="A738" s="158"/>
      <c r="B738" s="158"/>
      <c r="C738" s="158"/>
      <c r="D738" s="158"/>
      <c r="E738" s="158"/>
      <c r="F738" s="158"/>
      <c r="G738" s="158"/>
      <c r="H738" s="158"/>
      <c r="I738" s="158"/>
      <c r="J738" s="158"/>
      <c r="K738" s="158"/>
      <c r="L738" s="158"/>
      <c r="M738" s="158"/>
    </row>
    <row r="739" spans="1:13" ht="14.25" customHeight="1">
      <c r="A739" s="158"/>
      <c r="B739" s="158"/>
      <c r="C739" s="158"/>
      <c r="D739" s="158"/>
      <c r="E739" s="158"/>
      <c r="F739" s="158"/>
      <c r="G739" s="158"/>
      <c r="H739" s="158"/>
      <c r="I739" s="158"/>
      <c r="J739" s="158"/>
      <c r="K739" s="158"/>
      <c r="L739" s="158"/>
      <c r="M739" s="158"/>
    </row>
    <row r="740" spans="1:13" ht="14.25" customHeight="1">
      <c r="A740" s="158"/>
      <c r="B740" s="158"/>
      <c r="C740" s="158"/>
      <c r="D740" s="158"/>
      <c r="E740" s="158"/>
      <c r="F740" s="158"/>
      <c r="G740" s="158"/>
      <c r="H740" s="158"/>
      <c r="I740" s="158"/>
      <c r="J740" s="158"/>
      <c r="K740" s="158"/>
      <c r="L740" s="158"/>
      <c r="M740" s="158"/>
    </row>
    <row r="741" spans="1:13" ht="14.25" customHeight="1">
      <c r="A741" s="158"/>
      <c r="B741" s="158"/>
      <c r="C741" s="158"/>
      <c r="D741" s="158"/>
      <c r="E741" s="158"/>
      <c r="F741" s="158"/>
      <c r="G741" s="158"/>
      <c r="H741" s="158"/>
      <c r="I741" s="158"/>
      <c r="J741" s="158"/>
      <c r="K741" s="158"/>
      <c r="L741" s="158"/>
      <c r="M741" s="158"/>
    </row>
    <row r="742" spans="1:13" ht="14.25" customHeight="1">
      <c r="A742" s="158"/>
      <c r="B742" s="158"/>
      <c r="C742" s="158"/>
      <c r="D742" s="158"/>
      <c r="E742" s="158"/>
      <c r="F742" s="158"/>
      <c r="G742" s="158"/>
      <c r="H742" s="158"/>
      <c r="I742" s="158"/>
      <c r="J742" s="158"/>
      <c r="K742" s="158"/>
      <c r="L742" s="158"/>
      <c r="M742" s="158"/>
    </row>
    <row r="743" spans="1:13" ht="14.25" customHeight="1">
      <c r="A743" s="158"/>
      <c r="B743" s="158"/>
      <c r="C743" s="158"/>
      <c r="D743" s="158"/>
      <c r="E743" s="158"/>
      <c r="F743" s="158"/>
      <c r="G743" s="158"/>
      <c r="H743" s="158"/>
      <c r="I743" s="158"/>
      <c r="J743" s="158"/>
      <c r="K743" s="158"/>
      <c r="L743" s="158"/>
      <c r="M743" s="158"/>
    </row>
    <row r="744" spans="1:13" ht="14.25" customHeight="1">
      <c r="A744" s="158"/>
      <c r="B744" s="158"/>
      <c r="C744" s="158"/>
      <c r="D744" s="158"/>
      <c r="E744" s="158"/>
      <c r="F744" s="158"/>
      <c r="G744" s="158"/>
      <c r="H744" s="158"/>
      <c r="I744" s="158"/>
      <c r="J744" s="158"/>
      <c r="K744" s="158"/>
      <c r="L744" s="158"/>
      <c r="M744" s="158"/>
    </row>
    <row r="745" spans="1:13" ht="14.25" customHeight="1">
      <c r="A745" s="158"/>
      <c r="B745" s="158"/>
      <c r="C745" s="158"/>
      <c r="D745" s="158"/>
      <c r="E745" s="158"/>
      <c r="F745" s="158"/>
      <c r="G745" s="158"/>
      <c r="H745" s="158"/>
      <c r="I745" s="158"/>
      <c r="J745" s="158"/>
      <c r="K745" s="158"/>
      <c r="L745" s="158"/>
      <c r="M745" s="158"/>
    </row>
    <row r="746" spans="1:13" ht="14.25" customHeight="1">
      <c r="A746" s="158"/>
      <c r="B746" s="158"/>
      <c r="C746" s="158"/>
      <c r="D746" s="158"/>
      <c r="E746" s="158"/>
      <c r="F746" s="158"/>
      <c r="G746" s="158"/>
      <c r="H746" s="158"/>
      <c r="I746" s="158"/>
      <c r="J746" s="158"/>
      <c r="K746" s="158"/>
      <c r="L746" s="158"/>
      <c r="M746" s="158"/>
    </row>
    <row r="747" spans="1:13" ht="14.25" customHeight="1">
      <c r="A747" s="158"/>
      <c r="B747" s="158"/>
      <c r="C747" s="158"/>
      <c r="D747" s="158"/>
      <c r="E747" s="158"/>
      <c r="F747" s="158"/>
      <c r="G747" s="158"/>
      <c r="H747" s="158"/>
      <c r="I747" s="158"/>
      <c r="J747" s="158"/>
      <c r="K747" s="158"/>
      <c r="L747" s="158"/>
      <c r="M747" s="158"/>
    </row>
    <row r="748" spans="1:13" ht="14.25" customHeight="1">
      <c r="A748" s="158"/>
      <c r="B748" s="158"/>
      <c r="C748" s="158"/>
      <c r="D748" s="158"/>
      <c r="E748" s="158"/>
      <c r="F748" s="158"/>
      <c r="G748" s="158"/>
      <c r="H748" s="158"/>
      <c r="I748" s="158"/>
      <c r="J748" s="158"/>
      <c r="K748" s="158"/>
      <c r="L748" s="158"/>
      <c r="M748" s="158"/>
    </row>
    <row r="749" spans="1:13" ht="14.25" customHeight="1">
      <c r="A749" s="158"/>
      <c r="B749" s="158"/>
      <c r="C749" s="158"/>
      <c r="D749" s="158"/>
      <c r="E749" s="158"/>
      <c r="F749" s="158"/>
      <c r="G749" s="158"/>
      <c r="H749" s="158"/>
      <c r="I749" s="158"/>
      <c r="J749" s="158"/>
      <c r="K749" s="158"/>
      <c r="L749" s="158"/>
      <c r="M749" s="158"/>
    </row>
    <row r="750" spans="1:13" ht="14.25" customHeight="1">
      <c r="A750" s="158"/>
      <c r="B750" s="158"/>
      <c r="C750" s="158"/>
      <c r="D750" s="158"/>
      <c r="E750" s="158"/>
      <c r="F750" s="158"/>
      <c r="G750" s="158"/>
      <c r="H750" s="158"/>
      <c r="I750" s="158"/>
      <c r="J750" s="158"/>
      <c r="K750" s="158"/>
      <c r="L750" s="158"/>
      <c r="M750" s="158"/>
    </row>
    <row r="751" spans="1:13" ht="14.25" customHeight="1">
      <c r="A751" s="158"/>
      <c r="B751" s="158"/>
      <c r="C751" s="158"/>
      <c r="D751" s="158"/>
      <c r="E751" s="158"/>
      <c r="F751" s="158"/>
      <c r="G751" s="158"/>
      <c r="H751" s="158"/>
      <c r="I751" s="158"/>
      <c r="J751" s="158"/>
      <c r="K751" s="158"/>
      <c r="L751" s="158"/>
      <c r="M751" s="158"/>
    </row>
    <row r="752" spans="1:13" ht="14.25" customHeight="1">
      <c r="A752" s="158"/>
      <c r="B752" s="158"/>
      <c r="C752" s="158"/>
      <c r="D752" s="158"/>
      <c r="E752" s="158"/>
      <c r="F752" s="158"/>
      <c r="G752" s="158"/>
      <c r="H752" s="158"/>
      <c r="I752" s="158"/>
      <c r="J752" s="158"/>
      <c r="K752" s="158"/>
      <c r="L752" s="158"/>
      <c r="M752" s="158"/>
    </row>
    <row r="753" spans="1:13" ht="14.25" customHeight="1">
      <c r="A753" s="158"/>
      <c r="B753" s="158"/>
      <c r="C753" s="158"/>
      <c r="D753" s="158"/>
      <c r="E753" s="158"/>
      <c r="F753" s="158"/>
      <c r="G753" s="158"/>
      <c r="H753" s="158"/>
      <c r="I753" s="158"/>
      <c r="J753" s="158"/>
      <c r="K753" s="158"/>
      <c r="L753" s="158"/>
      <c r="M753" s="158"/>
    </row>
    <row r="754" spans="1:13" ht="14.25" customHeight="1">
      <c r="A754" s="158"/>
      <c r="B754" s="158"/>
      <c r="C754" s="158"/>
      <c r="D754" s="158"/>
      <c r="E754" s="158"/>
      <c r="F754" s="158"/>
      <c r="G754" s="158"/>
      <c r="H754" s="158"/>
      <c r="I754" s="158"/>
      <c r="J754" s="158"/>
      <c r="K754" s="158"/>
      <c r="L754" s="158"/>
      <c r="M754" s="158"/>
    </row>
    <row r="755" spans="1:13" ht="14.25" customHeight="1">
      <c r="A755" s="158"/>
      <c r="B755" s="158"/>
      <c r="C755" s="158"/>
      <c r="D755" s="158"/>
      <c r="E755" s="158"/>
      <c r="F755" s="158"/>
      <c r="G755" s="158"/>
      <c r="H755" s="158"/>
      <c r="I755" s="158"/>
      <c r="J755" s="158"/>
      <c r="K755" s="158"/>
      <c r="L755" s="158"/>
      <c r="M755" s="158"/>
    </row>
    <row r="756" spans="1:13" ht="14.25" customHeight="1">
      <c r="A756" s="158"/>
      <c r="B756" s="158"/>
      <c r="C756" s="158"/>
      <c r="D756" s="158"/>
      <c r="E756" s="158"/>
      <c r="F756" s="158"/>
      <c r="G756" s="158"/>
      <c r="H756" s="158"/>
      <c r="I756" s="158"/>
      <c r="J756" s="158"/>
      <c r="K756" s="158"/>
      <c r="L756" s="158"/>
      <c r="M756" s="158"/>
    </row>
    <row r="757" spans="1:13" ht="14.25" customHeight="1">
      <c r="A757" s="158"/>
      <c r="B757" s="158"/>
      <c r="C757" s="158"/>
      <c r="D757" s="158"/>
      <c r="E757" s="158"/>
      <c r="F757" s="158"/>
      <c r="G757" s="158"/>
      <c r="H757" s="158"/>
      <c r="I757" s="158"/>
      <c r="J757" s="158"/>
      <c r="K757" s="158"/>
      <c r="L757" s="158"/>
      <c r="M757" s="158"/>
    </row>
    <row r="758" spans="1:13" ht="14.25" customHeight="1">
      <c r="A758" s="158"/>
      <c r="B758" s="158"/>
      <c r="C758" s="158"/>
      <c r="D758" s="158"/>
      <c r="E758" s="158"/>
      <c r="F758" s="158"/>
      <c r="G758" s="158"/>
      <c r="H758" s="158"/>
      <c r="I758" s="158"/>
      <c r="J758" s="158"/>
      <c r="K758" s="158"/>
      <c r="L758" s="158"/>
      <c r="M758" s="158"/>
    </row>
    <row r="759" spans="1:13" ht="14.25" customHeight="1">
      <c r="A759" s="158"/>
      <c r="B759" s="158"/>
      <c r="C759" s="158"/>
      <c r="D759" s="158"/>
      <c r="E759" s="158"/>
      <c r="F759" s="158"/>
      <c r="G759" s="158"/>
      <c r="H759" s="158"/>
      <c r="I759" s="158"/>
      <c r="J759" s="158"/>
      <c r="K759" s="158"/>
      <c r="L759" s="158"/>
      <c r="M759" s="158"/>
    </row>
    <row r="760" spans="1:13" ht="14.25" customHeight="1">
      <c r="A760" s="158"/>
      <c r="B760" s="158"/>
      <c r="C760" s="158"/>
      <c r="D760" s="158"/>
      <c r="E760" s="158"/>
      <c r="F760" s="158"/>
      <c r="G760" s="158"/>
      <c r="H760" s="158"/>
      <c r="I760" s="158"/>
      <c r="J760" s="158"/>
      <c r="K760" s="158"/>
      <c r="L760" s="158"/>
      <c r="M760" s="158"/>
    </row>
    <row r="761" spans="1:13" ht="14.25" customHeight="1">
      <c r="A761" s="158"/>
      <c r="B761" s="158"/>
      <c r="C761" s="158"/>
      <c r="D761" s="158"/>
      <c r="E761" s="158"/>
      <c r="F761" s="158"/>
      <c r="G761" s="158"/>
      <c r="H761" s="158"/>
      <c r="I761" s="158"/>
      <c r="J761" s="158"/>
      <c r="K761" s="158"/>
      <c r="L761" s="158"/>
      <c r="M761" s="158"/>
    </row>
    <row r="762" spans="1:13" ht="14.25" customHeight="1">
      <c r="A762" s="158"/>
      <c r="B762" s="158"/>
      <c r="C762" s="158"/>
      <c r="D762" s="158"/>
      <c r="E762" s="158"/>
      <c r="F762" s="158"/>
      <c r="G762" s="158"/>
      <c r="H762" s="158"/>
      <c r="I762" s="158"/>
      <c r="J762" s="158"/>
      <c r="K762" s="158"/>
      <c r="L762" s="158"/>
      <c r="M762" s="158"/>
    </row>
    <row r="763" spans="1:13" ht="14.25" customHeight="1">
      <c r="A763" s="158"/>
      <c r="B763" s="158"/>
      <c r="C763" s="158"/>
      <c r="D763" s="158"/>
      <c r="E763" s="158"/>
      <c r="F763" s="158"/>
      <c r="G763" s="158"/>
      <c r="H763" s="158"/>
      <c r="I763" s="158"/>
      <c r="J763" s="158"/>
      <c r="K763" s="158"/>
      <c r="L763" s="158"/>
      <c r="M763" s="158"/>
    </row>
    <row r="764" spans="1:13" ht="14.25" customHeight="1">
      <c r="A764" s="158"/>
      <c r="B764" s="158"/>
      <c r="C764" s="158"/>
      <c r="D764" s="158"/>
      <c r="E764" s="158"/>
      <c r="F764" s="158"/>
      <c r="G764" s="158"/>
      <c r="H764" s="158"/>
      <c r="I764" s="158"/>
      <c r="J764" s="158"/>
      <c r="K764" s="158"/>
      <c r="L764" s="158"/>
      <c r="M764" s="158"/>
    </row>
    <row r="765" spans="1:13" ht="14.25" customHeight="1">
      <c r="A765" s="158"/>
      <c r="B765" s="158"/>
      <c r="C765" s="158"/>
      <c r="D765" s="158"/>
      <c r="E765" s="158"/>
      <c r="F765" s="158"/>
      <c r="G765" s="158"/>
      <c r="H765" s="158"/>
      <c r="I765" s="158"/>
      <c r="J765" s="158"/>
      <c r="K765" s="158"/>
      <c r="L765" s="158"/>
      <c r="M765" s="158"/>
    </row>
    <row r="766" spans="1:13" ht="14.25" customHeight="1">
      <c r="A766" s="158"/>
      <c r="B766" s="158"/>
      <c r="C766" s="158"/>
      <c r="D766" s="158"/>
      <c r="E766" s="158"/>
      <c r="F766" s="158"/>
      <c r="G766" s="158"/>
      <c r="H766" s="158"/>
      <c r="I766" s="158"/>
      <c r="J766" s="158"/>
      <c r="K766" s="158"/>
      <c r="L766" s="158"/>
      <c r="M766" s="158"/>
    </row>
    <row r="767" spans="1:13" ht="14.25" customHeight="1">
      <c r="A767" s="158"/>
      <c r="B767" s="158"/>
      <c r="C767" s="158"/>
      <c r="D767" s="158"/>
      <c r="E767" s="158"/>
      <c r="F767" s="158"/>
      <c r="G767" s="158"/>
      <c r="H767" s="158"/>
      <c r="I767" s="158"/>
      <c r="J767" s="158"/>
      <c r="K767" s="158"/>
      <c r="L767" s="158"/>
      <c r="M767" s="158"/>
    </row>
    <row r="768" spans="1:13" ht="14.25" customHeight="1">
      <c r="A768" s="158"/>
      <c r="B768" s="158"/>
      <c r="C768" s="158"/>
      <c r="D768" s="158"/>
      <c r="E768" s="158"/>
      <c r="F768" s="158"/>
      <c r="G768" s="158"/>
      <c r="H768" s="158"/>
      <c r="I768" s="158"/>
      <c r="J768" s="158"/>
      <c r="K768" s="158"/>
      <c r="L768" s="158"/>
      <c r="M768" s="158"/>
    </row>
    <row r="769" spans="1:13" ht="14.25" customHeight="1">
      <c r="A769" s="158"/>
      <c r="B769" s="158"/>
      <c r="C769" s="158"/>
      <c r="D769" s="158"/>
      <c r="E769" s="158"/>
      <c r="F769" s="158"/>
      <c r="G769" s="158"/>
      <c r="H769" s="158"/>
      <c r="I769" s="158"/>
      <c r="J769" s="158"/>
      <c r="K769" s="158"/>
      <c r="L769" s="158"/>
      <c r="M769" s="158"/>
    </row>
    <row r="770" spans="1:13" ht="14.25" customHeight="1">
      <c r="A770" s="158"/>
      <c r="B770" s="158"/>
      <c r="C770" s="158"/>
      <c r="D770" s="158"/>
      <c r="E770" s="158"/>
      <c r="F770" s="158"/>
      <c r="G770" s="158"/>
      <c r="H770" s="158"/>
      <c r="I770" s="158"/>
      <c r="J770" s="158"/>
      <c r="K770" s="158"/>
      <c r="L770" s="158"/>
      <c r="M770" s="158"/>
    </row>
    <row r="771" spans="1:13" ht="14.25" customHeight="1">
      <c r="A771" s="158"/>
      <c r="B771" s="158"/>
      <c r="C771" s="158"/>
      <c r="D771" s="158"/>
      <c r="E771" s="158"/>
      <c r="F771" s="158"/>
      <c r="G771" s="158"/>
      <c r="H771" s="158"/>
      <c r="I771" s="158"/>
      <c r="J771" s="158"/>
      <c r="K771" s="158"/>
      <c r="L771" s="158"/>
      <c r="M771" s="158"/>
    </row>
    <row r="772" spans="1:13" ht="14.25" customHeight="1">
      <c r="A772" s="158"/>
      <c r="B772" s="158"/>
      <c r="C772" s="158"/>
      <c r="D772" s="158"/>
      <c r="E772" s="158"/>
      <c r="F772" s="158"/>
      <c r="G772" s="158"/>
      <c r="H772" s="158"/>
      <c r="I772" s="158"/>
      <c r="J772" s="158"/>
      <c r="K772" s="158"/>
      <c r="L772" s="158"/>
      <c r="M772" s="158"/>
    </row>
    <row r="773" spans="1:13" ht="14.25" customHeight="1">
      <c r="A773" s="158"/>
      <c r="B773" s="158"/>
      <c r="C773" s="158"/>
      <c r="D773" s="158"/>
      <c r="E773" s="158"/>
      <c r="F773" s="158"/>
      <c r="G773" s="158"/>
      <c r="H773" s="158"/>
      <c r="I773" s="158"/>
      <c r="J773" s="158"/>
      <c r="K773" s="158"/>
      <c r="L773" s="158"/>
      <c r="M773" s="158"/>
    </row>
    <row r="774" spans="1:13" ht="14.25" customHeight="1">
      <c r="A774" s="158"/>
      <c r="B774" s="158"/>
      <c r="C774" s="158"/>
      <c r="D774" s="158"/>
      <c r="E774" s="158"/>
      <c r="F774" s="158"/>
      <c r="G774" s="158"/>
      <c r="H774" s="158"/>
      <c r="I774" s="158"/>
      <c r="J774" s="158"/>
      <c r="K774" s="158"/>
      <c r="L774" s="158"/>
      <c r="M774" s="158"/>
    </row>
    <row r="775" spans="1:13" ht="14.25" customHeight="1">
      <c r="A775" s="158"/>
      <c r="B775" s="158"/>
      <c r="C775" s="158"/>
      <c r="D775" s="158"/>
      <c r="E775" s="158"/>
      <c r="F775" s="158"/>
      <c r="G775" s="158"/>
      <c r="H775" s="158"/>
      <c r="I775" s="158"/>
      <c r="J775" s="158"/>
      <c r="K775" s="158"/>
      <c r="L775" s="158"/>
      <c r="M775" s="158"/>
    </row>
    <row r="776" spans="1:13" ht="14.25" customHeight="1">
      <c r="A776" s="158"/>
      <c r="B776" s="158"/>
      <c r="C776" s="158"/>
      <c r="D776" s="158"/>
      <c r="E776" s="158"/>
      <c r="F776" s="158"/>
      <c r="G776" s="158"/>
      <c r="H776" s="158"/>
      <c r="I776" s="158"/>
      <c r="J776" s="158"/>
      <c r="K776" s="158"/>
      <c r="L776" s="158"/>
      <c r="M776" s="158"/>
    </row>
    <row r="777" spans="1:13" ht="14.25" customHeight="1">
      <c r="A777" s="158"/>
      <c r="B777" s="158"/>
      <c r="C777" s="158"/>
      <c r="D777" s="158"/>
      <c r="E777" s="158"/>
      <c r="F777" s="158"/>
      <c r="G777" s="158"/>
      <c r="H777" s="158"/>
      <c r="I777" s="158"/>
      <c r="J777" s="158"/>
      <c r="K777" s="158"/>
      <c r="L777" s="158"/>
      <c r="M777" s="158"/>
    </row>
    <row r="778" spans="1:13" ht="14.25" customHeight="1">
      <c r="A778" s="158"/>
      <c r="B778" s="158"/>
      <c r="C778" s="158"/>
      <c r="D778" s="158"/>
      <c r="E778" s="158"/>
      <c r="F778" s="158"/>
      <c r="G778" s="158"/>
      <c r="H778" s="158"/>
      <c r="I778" s="158"/>
      <c r="J778" s="158"/>
      <c r="K778" s="158"/>
      <c r="L778" s="158"/>
      <c r="M778" s="158"/>
    </row>
    <row r="779" spans="1:13" ht="14.25" customHeight="1">
      <c r="A779" s="158"/>
      <c r="B779" s="158"/>
      <c r="C779" s="158"/>
      <c r="D779" s="158"/>
      <c r="E779" s="158"/>
      <c r="F779" s="158"/>
      <c r="G779" s="158"/>
      <c r="H779" s="158"/>
      <c r="I779" s="158"/>
      <c r="J779" s="158"/>
      <c r="K779" s="158"/>
      <c r="L779" s="158"/>
      <c r="M779" s="158"/>
    </row>
    <row r="780" spans="1:13" ht="14.25" customHeight="1">
      <c r="A780" s="158"/>
      <c r="B780" s="158"/>
      <c r="C780" s="158"/>
      <c r="D780" s="158"/>
      <c r="E780" s="158"/>
      <c r="F780" s="158"/>
      <c r="G780" s="158"/>
      <c r="H780" s="158"/>
      <c r="I780" s="158"/>
      <c r="J780" s="158"/>
      <c r="K780" s="158"/>
      <c r="L780" s="158"/>
      <c r="M780" s="158"/>
    </row>
    <row r="781" spans="1:13" ht="14.25" customHeight="1">
      <c r="A781" s="158"/>
      <c r="B781" s="158"/>
      <c r="C781" s="158"/>
      <c r="D781" s="158"/>
      <c r="E781" s="158"/>
      <c r="F781" s="158"/>
      <c r="G781" s="158"/>
      <c r="H781" s="158"/>
      <c r="I781" s="158"/>
      <c r="J781" s="158"/>
      <c r="K781" s="158"/>
      <c r="L781" s="158"/>
      <c r="M781" s="158"/>
    </row>
    <row r="782" spans="1:13" ht="14.25" customHeight="1">
      <c r="A782" s="158"/>
      <c r="B782" s="158"/>
      <c r="C782" s="158"/>
      <c r="D782" s="158"/>
      <c r="E782" s="158"/>
      <c r="F782" s="158"/>
      <c r="G782" s="158"/>
      <c r="H782" s="158"/>
      <c r="I782" s="158"/>
      <c r="J782" s="158"/>
      <c r="K782" s="158"/>
      <c r="L782" s="158"/>
      <c r="M782" s="158"/>
    </row>
    <row r="783" spans="1:13" ht="14.25" customHeight="1">
      <c r="A783" s="158"/>
      <c r="B783" s="158"/>
      <c r="C783" s="158"/>
      <c r="D783" s="158"/>
      <c r="E783" s="158"/>
      <c r="F783" s="158"/>
      <c r="G783" s="158"/>
      <c r="H783" s="158"/>
      <c r="I783" s="158"/>
      <c r="J783" s="158"/>
      <c r="K783" s="158"/>
      <c r="L783" s="158"/>
      <c r="M783" s="158"/>
    </row>
    <row r="784" spans="1:13" ht="14.25" customHeight="1">
      <c r="A784" s="158"/>
      <c r="B784" s="158"/>
      <c r="C784" s="158"/>
      <c r="D784" s="158"/>
      <c r="E784" s="158"/>
      <c r="F784" s="158"/>
      <c r="G784" s="158"/>
      <c r="H784" s="158"/>
      <c r="I784" s="158"/>
      <c r="J784" s="158"/>
      <c r="K784" s="158"/>
      <c r="L784" s="158"/>
      <c r="M784" s="158"/>
    </row>
    <row r="785" spans="1:13" ht="14.25" customHeight="1">
      <c r="A785" s="158"/>
      <c r="B785" s="158"/>
      <c r="C785" s="158"/>
      <c r="D785" s="158"/>
      <c r="E785" s="158"/>
      <c r="F785" s="158"/>
      <c r="G785" s="158"/>
      <c r="H785" s="158"/>
      <c r="I785" s="158"/>
      <c r="J785" s="158"/>
      <c r="K785" s="158"/>
      <c r="L785" s="158"/>
      <c r="M785" s="158"/>
    </row>
    <row r="786" spans="1:13" ht="14.25" customHeight="1">
      <c r="A786" s="158"/>
      <c r="B786" s="158"/>
      <c r="C786" s="158"/>
      <c r="D786" s="158"/>
      <c r="E786" s="158"/>
      <c r="F786" s="158"/>
      <c r="G786" s="158"/>
      <c r="H786" s="158"/>
      <c r="I786" s="158"/>
      <c r="J786" s="158"/>
      <c r="K786" s="158"/>
      <c r="L786" s="158"/>
      <c r="M786" s="158"/>
    </row>
    <row r="787" spans="1:13" ht="14.25" customHeight="1">
      <c r="A787" s="158"/>
      <c r="B787" s="158"/>
      <c r="C787" s="158"/>
      <c r="D787" s="158"/>
      <c r="E787" s="158"/>
      <c r="F787" s="158"/>
      <c r="G787" s="158"/>
      <c r="H787" s="158"/>
      <c r="I787" s="158"/>
      <c r="J787" s="158"/>
      <c r="K787" s="158"/>
      <c r="L787" s="158"/>
      <c r="M787" s="158"/>
    </row>
    <row r="788" spans="1:13" ht="14.25" customHeight="1">
      <c r="A788" s="158"/>
      <c r="B788" s="158"/>
      <c r="C788" s="158"/>
      <c r="D788" s="158"/>
      <c r="E788" s="158"/>
      <c r="F788" s="158"/>
      <c r="G788" s="158"/>
      <c r="H788" s="158"/>
      <c r="I788" s="158"/>
      <c r="J788" s="158"/>
      <c r="K788" s="158"/>
      <c r="L788" s="158"/>
      <c r="M788" s="158"/>
    </row>
    <row r="789" spans="1:13" ht="14.25" customHeight="1">
      <c r="A789" s="158"/>
      <c r="B789" s="158"/>
      <c r="C789" s="158"/>
      <c r="D789" s="158"/>
      <c r="E789" s="158"/>
      <c r="F789" s="158"/>
      <c r="G789" s="158"/>
      <c r="H789" s="158"/>
      <c r="I789" s="158"/>
      <c r="J789" s="158"/>
      <c r="K789" s="158"/>
      <c r="L789" s="158"/>
      <c r="M789" s="158"/>
    </row>
    <row r="790" spans="1:13" ht="14.25" customHeight="1">
      <c r="A790" s="158"/>
      <c r="B790" s="158"/>
      <c r="C790" s="158"/>
      <c r="D790" s="158"/>
      <c r="E790" s="158"/>
      <c r="F790" s="158"/>
      <c r="G790" s="158"/>
      <c r="H790" s="158"/>
      <c r="I790" s="158"/>
      <c r="J790" s="158"/>
      <c r="K790" s="158"/>
      <c r="L790" s="158"/>
      <c r="M790" s="158"/>
    </row>
    <row r="791" spans="1:13" ht="14.25" customHeight="1">
      <c r="A791" s="158"/>
      <c r="B791" s="158"/>
      <c r="C791" s="158"/>
      <c r="D791" s="158"/>
      <c r="E791" s="158"/>
      <c r="F791" s="158"/>
      <c r="G791" s="158"/>
      <c r="H791" s="158"/>
      <c r="I791" s="158"/>
      <c r="J791" s="158"/>
      <c r="K791" s="158"/>
      <c r="L791" s="158"/>
      <c r="M791" s="158"/>
    </row>
    <row r="792" spans="1:13" ht="14.25" customHeight="1">
      <c r="A792" s="158"/>
      <c r="B792" s="158"/>
      <c r="C792" s="158"/>
      <c r="D792" s="158"/>
      <c r="E792" s="158"/>
      <c r="F792" s="158"/>
      <c r="G792" s="158"/>
      <c r="H792" s="158"/>
      <c r="I792" s="158"/>
      <c r="J792" s="158"/>
      <c r="K792" s="158"/>
      <c r="L792" s="158"/>
      <c r="M792" s="158"/>
    </row>
    <row r="793" spans="1:13" ht="14.25" customHeight="1">
      <c r="A793" s="158"/>
      <c r="B793" s="158"/>
      <c r="C793" s="158"/>
      <c r="D793" s="158"/>
      <c r="E793" s="158"/>
      <c r="F793" s="158"/>
      <c r="G793" s="158"/>
      <c r="H793" s="158"/>
      <c r="I793" s="158"/>
      <c r="J793" s="158"/>
      <c r="K793" s="158"/>
      <c r="L793" s="158"/>
      <c r="M793" s="158"/>
    </row>
    <row r="794" spans="1:13" ht="14.25" customHeight="1">
      <c r="A794" s="158"/>
      <c r="B794" s="158"/>
      <c r="C794" s="158"/>
      <c r="D794" s="158"/>
      <c r="E794" s="158"/>
      <c r="F794" s="158"/>
      <c r="G794" s="158"/>
      <c r="H794" s="158"/>
      <c r="I794" s="158"/>
      <c r="J794" s="158"/>
      <c r="K794" s="158"/>
      <c r="L794" s="158"/>
      <c r="M794" s="158"/>
    </row>
    <row r="795" spans="1:13" ht="14.25" customHeight="1">
      <c r="A795" s="158"/>
      <c r="B795" s="158"/>
      <c r="C795" s="158"/>
      <c r="D795" s="158"/>
      <c r="E795" s="158"/>
      <c r="F795" s="158"/>
      <c r="G795" s="158"/>
      <c r="H795" s="158"/>
      <c r="I795" s="158"/>
      <c r="J795" s="158"/>
      <c r="K795" s="158"/>
      <c r="L795" s="158"/>
      <c r="M795" s="158"/>
    </row>
    <row r="796" spans="1:13" ht="14.25" customHeight="1">
      <c r="A796" s="158"/>
      <c r="B796" s="158"/>
      <c r="C796" s="158"/>
      <c r="D796" s="158"/>
      <c r="E796" s="158"/>
      <c r="F796" s="158"/>
      <c r="G796" s="158"/>
      <c r="H796" s="158"/>
      <c r="I796" s="158"/>
      <c r="J796" s="158"/>
      <c r="K796" s="158"/>
      <c r="L796" s="158"/>
      <c r="M796" s="158"/>
    </row>
    <row r="797" spans="1:13" ht="14.25" customHeight="1">
      <c r="A797" s="158"/>
      <c r="B797" s="158"/>
      <c r="C797" s="158"/>
      <c r="D797" s="158"/>
      <c r="E797" s="158"/>
      <c r="F797" s="158"/>
      <c r="G797" s="158"/>
      <c r="H797" s="158"/>
      <c r="I797" s="158"/>
      <c r="J797" s="158"/>
      <c r="K797" s="158"/>
      <c r="L797" s="158"/>
      <c r="M797" s="158"/>
    </row>
    <row r="798" spans="1:13" ht="14.25" customHeight="1">
      <c r="A798" s="158"/>
      <c r="B798" s="158"/>
      <c r="C798" s="158"/>
      <c r="D798" s="158"/>
      <c r="E798" s="158"/>
      <c r="F798" s="158"/>
      <c r="G798" s="158"/>
      <c r="H798" s="158"/>
      <c r="I798" s="158"/>
      <c r="J798" s="158"/>
      <c r="K798" s="158"/>
      <c r="L798" s="158"/>
      <c r="M798" s="158"/>
    </row>
    <row r="799" spans="1:13" ht="14.25" customHeight="1">
      <c r="A799" s="158"/>
      <c r="B799" s="158"/>
      <c r="C799" s="158"/>
      <c r="D799" s="158"/>
      <c r="E799" s="158"/>
      <c r="F799" s="158"/>
      <c r="G799" s="158"/>
      <c r="H799" s="158"/>
      <c r="I799" s="158"/>
      <c r="J799" s="158"/>
      <c r="K799" s="158"/>
      <c r="L799" s="158"/>
      <c r="M799" s="158"/>
    </row>
    <row r="800" spans="1:13" ht="14.25" customHeight="1">
      <c r="A800" s="158"/>
      <c r="B800" s="158"/>
      <c r="C800" s="158"/>
      <c r="D800" s="158"/>
      <c r="E800" s="158"/>
      <c r="F800" s="158"/>
      <c r="G800" s="158"/>
      <c r="H800" s="158"/>
      <c r="I800" s="158"/>
      <c r="J800" s="158"/>
      <c r="K800" s="158"/>
      <c r="L800" s="158"/>
      <c r="M800" s="158"/>
    </row>
    <row r="801" spans="1:13" ht="14.25" customHeight="1">
      <c r="A801" s="158"/>
      <c r="B801" s="158"/>
      <c r="C801" s="158"/>
      <c r="D801" s="158"/>
      <c r="E801" s="158"/>
      <c r="F801" s="158"/>
      <c r="G801" s="158"/>
      <c r="H801" s="158"/>
      <c r="I801" s="158"/>
      <c r="J801" s="158"/>
      <c r="K801" s="158"/>
      <c r="L801" s="158"/>
      <c r="M801" s="158"/>
    </row>
    <row r="802" spans="1:13" ht="14.25" customHeight="1">
      <c r="A802" s="158"/>
      <c r="B802" s="158"/>
      <c r="C802" s="158"/>
      <c r="D802" s="158"/>
      <c r="E802" s="158"/>
      <c r="F802" s="158"/>
      <c r="G802" s="158"/>
      <c r="H802" s="158"/>
      <c r="I802" s="158"/>
      <c r="J802" s="158"/>
      <c r="K802" s="158"/>
      <c r="L802" s="158"/>
      <c r="M802" s="158"/>
    </row>
    <row r="803" spans="1:13" ht="14.25" customHeight="1">
      <c r="A803" s="158"/>
      <c r="B803" s="158"/>
      <c r="C803" s="158"/>
      <c r="D803" s="158"/>
      <c r="E803" s="158"/>
      <c r="F803" s="158"/>
      <c r="G803" s="158"/>
      <c r="H803" s="158"/>
      <c r="I803" s="158"/>
      <c r="J803" s="158"/>
      <c r="K803" s="158"/>
      <c r="L803" s="158"/>
      <c r="M803" s="158"/>
    </row>
    <row r="804" spans="1:13" ht="14.25" customHeight="1">
      <c r="A804" s="158"/>
      <c r="B804" s="158"/>
      <c r="C804" s="158"/>
      <c r="D804" s="158"/>
      <c r="E804" s="158"/>
      <c r="F804" s="158"/>
      <c r="G804" s="158"/>
      <c r="H804" s="158"/>
      <c r="I804" s="158"/>
      <c r="J804" s="158"/>
      <c r="K804" s="158"/>
      <c r="L804" s="158"/>
      <c r="M804" s="158"/>
    </row>
    <row r="805" spans="1:13" ht="14.25" customHeight="1">
      <c r="A805" s="158"/>
      <c r="B805" s="158"/>
      <c r="C805" s="158"/>
      <c r="D805" s="158"/>
      <c r="E805" s="158"/>
      <c r="F805" s="158"/>
      <c r="G805" s="158"/>
      <c r="H805" s="158"/>
      <c r="I805" s="158"/>
      <c r="J805" s="158"/>
      <c r="K805" s="158"/>
      <c r="L805" s="158"/>
      <c r="M805" s="158"/>
    </row>
    <row r="806" spans="1:13" ht="14.25" customHeight="1">
      <c r="A806" s="158"/>
      <c r="B806" s="158"/>
      <c r="C806" s="158"/>
      <c r="D806" s="158"/>
      <c r="E806" s="158"/>
      <c r="F806" s="158"/>
      <c r="G806" s="158"/>
      <c r="H806" s="158"/>
      <c r="I806" s="158"/>
      <c r="J806" s="158"/>
      <c r="K806" s="158"/>
      <c r="L806" s="158"/>
      <c r="M806" s="158"/>
    </row>
    <row r="807" spans="1:13" ht="14.25" customHeight="1">
      <c r="A807" s="158"/>
      <c r="B807" s="158"/>
      <c r="C807" s="158"/>
      <c r="D807" s="158"/>
      <c r="E807" s="158"/>
      <c r="F807" s="158"/>
      <c r="G807" s="158"/>
      <c r="H807" s="158"/>
      <c r="I807" s="158"/>
      <c r="J807" s="158"/>
      <c r="K807" s="158"/>
      <c r="L807" s="158"/>
      <c r="M807" s="158"/>
    </row>
    <row r="808" spans="1:13" ht="14.25" customHeight="1">
      <c r="A808" s="158"/>
      <c r="B808" s="158"/>
      <c r="C808" s="158"/>
      <c r="D808" s="158"/>
      <c r="E808" s="158"/>
      <c r="F808" s="158"/>
      <c r="G808" s="158"/>
      <c r="H808" s="158"/>
      <c r="I808" s="158"/>
      <c r="J808" s="158"/>
      <c r="K808" s="158"/>
      <c r="L808" s="158"/>
      <c r="M808" s="158"/>
    </row>
    <row r="809" spans="1:13" ht="14.25" customHeight="1">
      <c r="A809" s="158"/>
      <c r="B809" s="158"/>
      <c r="C809" s="158"/>
      <c r="D809" s="158"/>
      <c r="E809" s="158"/>
      <c r="F809" s="158"/>
      <c r="G809" s="158"/>
      <c r="H809" s="158"/>
      <c r="I809" s="158"/>
      <c r="J809" s="158"/>
      <c r="K809" s="158"/>
      <c r="L809" s="158"/>
      <c r="M809" s="158"/>
    </row>
    <row r="810" spans="1:13" ht="14.25" customHeight="1">
      <c r="A810" s="158"/>
      <c r="B810" s="158"/>
      <c r="C810" s="158"/>
      <c r="D810" s="158"/>
      <c r="E810" s="158"/>
      <c r="F810" s="158"/>
      <c r="G810" s="158"/>
      <c r="H810" s="158"/>
      <c r="I810" s="158"/>
      <c r="J810" s="158"/>
      <c r="K810" s="158"/>
      <c r="L810" s="158"/>
      <c r="M810" s="158"/>
    </row>
    <row r="811" spans="1:13" ht="14.25" customHeight="1">
      <c r="A811" s="158"/>
      <c r="B811" s="158"/>
      <c r="C811" s="158"/>
      <c r="D811" s="158"/>
      <c r="E811" s="158"/>
      <c r="F811" s="158"/>
      <c r="G811" s="158"/>
      <c r="H811" s="158"/>
      <c r="I811" s="158"/>
      <c r="J811" s="158"/>
      <c r="K811" s="158"/>
      <c r="L811" s="158"/>
      <c r="M811" s="158"/>
    </row>
    <row r="812" spans="1:13" ht="14.25" customHeight="1">
      <c r="A812" s="158"/>
      <c r="B812" s="158"/>
      <c r="C812" s="158"/>
      <c r="D812" s="158"/>
      <c r="E812" s="158"/>
      <c r="F812" s="158"/>
      <c r="G812" s="158"/>
      <c r="H812" s="158"/>
      <c r="I812" s="158"/>
      <c r="J812" s="158"/>
      <c r="K812" s="158"/>
      <c r="L812" s="158"/>
      <c r="M812" s="158"/>
    </row>
    <row r="813" spans="1:13" ht="14.25" customHeight="1">
      <c r="A813" s="158"/>
      <c r="B813" s="158"/>
      <c r="C813" s="158"/>
      <c r="D813" s="158"/>
      <c r="E813" s="158"/>
      <c r="F813" s="158"/>
      <c r="G813" s="158"/>
      <c r="H813" s="158"/>
      <c r="I813" s="158"/>
      <c r="J813" s="158"/>
      <c r="K813" s="158"/>
      <c r="L813" s="158"/>
      <c r="M813" s="158"/>
    </row>
    <row r="814" spans="1:13" ht="14.25" customHeight="1">
      <c r="A814" s="158"/>
      <c r="B814" s="158"/>
      <c r="C814" s="158"/>
      <c r="D814" s="158"/>
      <c r="E814" s="158"/>
      <c r="F814" s="158"/>
      <c r="G814" s="158"/>
      <c r="H814" s="158"/>
      <c r="I814" s="158"/>
      <c r="J814" s="158"/>
      <c r="K814" s="158"/>
      <c r="L814" s="158"/>
      <c r="M814" s="158"/>
    </row>
    <row r="815" spans="1:13" ht="14.25" customHeight="1">
      <c r="A815" s="158"/>
      <c r="B815" s="158"/>
      <c r="C815" s="158"/>
      <c r="D815" s="158"/>
      <c r="E815" s="158"/>
      <c r="F815" s="158"/>
      <c r="G815" s="158"/>
      <c r="H815" s="158"/>
      <c r="I815" s="158"/>
      <c r="J815" s="158"/>
      <c r="K815" s="158"/>
      <c r="L815" s="158"/>
      <c r="M815" s="158"/>
    </row>
    <row r="816" spans="1:13" ht="14.25" customHeight="1">
      <c r="A816" s="158"/>
      <c r="B816" s="158"/>
      <c r="C816" s="158"/>
      <c r="D816" s="158"/>
      <c r="E816" s="158"/>
      <c r="F816" s="158"/>
      <c r="G816" s="158"/>
      <c r="H816" s="158"/>
      <c r="I816" s="158"/>
      <c r="J816" s="158"/>
      <c r="K816" s="158"/>
      <c r="L816" s="158"/>
      <c r="M816" s="158"/>
    </row>
    <row r="817" spans="1:13" ht="14.25" customHeight="1">
      <c r="A817" s="158"/>
      <c r="B817" s="158"/>
      <c r="C817" s="158"/>
      <c r="D817" s="158"/>
      <c r="E817" s="158"/>
      <c r="F817" s="158"/>
      <c r="G817" s="158"/>
      <c r="H817" s="158"/>
      <c r="I817" s="158"/>
      <c r="J817" s="158"/>
      <c r="K817" s="158"/>
      <c r="L817" s="158"/>
      <c r="M817" s="158"/>
    </row>
    <row r="818" spans="1:13" ht="14.25" customHeight="1">
      <c r="A818" s="158"/>
      <c r="B818" s="158"/>
      <c r="C818" s="158"/>
      <c r="D818" s="158"/>
      <c r="E818" s="158"/>
      <c r="F818" s="158"/>
      <c r="G818" s="158"/>
      <c r="H818" s="158"/>
      <c r="I818" s="158"/>
      <c r="J818" s="158"/>
      <c r="K818" s="158"/>
      <c r="L818" s="158"/>
      <c r="M818" s="158"/>
    </row>
    <row r="819" spans="1:13" ht="14.25" customHeight="1">
      <c r="A819" s="158"/>
      <c r="B819" s="158"/>
      <c r="C819" s="158"/>
      <c r="D819" s="158"/>
      <c r="E819" s="158"/>
      <c r="F819" s="158"/>
      <c r="G819" s="158"/>
      <c r="H819" s="158"/>
      <c r="I819" s="158"/>
      <c r="J819" s="158"/>
      <c r="K819" s="158"/>
      <c r="L819" s="158"/>
      <c r="M819" s="158"/>
    </row>
    <row r="820" spans="1:13" ht="14.25" customHeight="1">
      <c r="A820" s="158"/>
      <c r="B820" s="158"/>
      <c r="C820" s="158"/>
      <c r="D820" s="158"/>
      <c r="E820" s="158"/>
      <c r="F820" s="158"/>
      <c r="G820" s="158"/>
      <c r="H820" s="158"/>
      <c r="I820" s="158"/>
      <c r="J820" s="158"/>
      <c r="K820" s="158"/>
      <c r="L820" s="158"/>
      <c r="M820" s="158"/>
    </row>
    <row r="821" spans="1:13" ht="14.25" customHeight="1">
      <c r="A821" s="158"/>
      <c r="B821" s="158"/>
      <c r="C821" s="158"/>
      <c r="D821" s="158"/>
      <c r="E821" s="158"/>
      <c r="F821" s="158"/>
      <c r="G821" s="158"/>
      <c r="H821" s="158"/>
      <c r="I821" s="158"/>
      <c r="J821" s="158"/>
      <c r="K821" s="158"/>
      <c r="L821" s="158"/>
      <c r="M821" s="158"/>
    </row>
    <row r="822" spans="1:13" ht="14.25" customHeight="1">
      <c r="A822" s="158"/>
      <c r="B822" s="158"/>
      <c r="C822" s="158"/>
      <c r="D822" s="158"/>
      <c r="E822" s="158"/>
      <c r="F822" s="158"/>
      <c r="G822" s="158"/>
      <c r="H822" s="158"/>
      <c r="I822" s="158"/>
      <c r="J822" s="158"/>
      <c r="K822" s="158"/>
      <c r="L822" s="158"/>
      <c r="M822" s="158"/>
    </row>
    <row r="823" spans="1:13" ht="14.25" customHeight="1">
      <c r="A823" s="158"/>
      <c r="B823" s="158"/>
      <c r="C823" s="158"/>
      <c r="D823" s="158"/>
      <c r="E823" s="158"/>
      <c r="F823" s="158"/>
      <c r="G823" s="158"/>
      <c r="H823" s="158"/>
      <c r="I823" s="158"/>
      <c r="J823" s="158"/>
      <c r="K823" s="158"/>
      <c r="L823" s="158"/>
      <c r="M823" s="158"/>
    </row>
    <row r="824" spans="1:13" ht="14.25" customHeight="1">
      <c r="A824" s="158"/>
      <c r="B824" s="158"/>
      <c r="C824" s="158"/>
      <c r="D824" s="158"/>
      <c r="E824" s="158"/>
      <c r="F824" s="158"/>
      <c r="G824" s="158"/>
      <c r="H824" s="158"/>
      <c r="I824" s="158"/>
      <c r="J824" s="158"/>
      <c r="K824" s="158"/>
      <c r="L824" s="158"/>
      <c r="M824" s="158"/>
    </row>
    <row r="825" spans="1:13" ht="14.25" customHeight="1">
      <c r="A825" s="158"/>
      <c r="B825" s="158"/>
      <c r="C825" s="158"/>
      <c r="D825" s="158"/>
      <c r="E825" s="158"/>
      <c r="F825" s="158"/>
      <c r="G825" s="158"/>
      <c r="H825" s="158"/>
      <c r="I825" s="158"/>
      <c r="J825" s="158"/>
      <c r="K825" s="158"/>
      <c r="L825" s="158"/>
      <c r="M825" s="158"/>
    </row>
    <row r="826" spans="1:13" ht="14.25" customHeight="1">
      <c r="A826" s="158"/>
      <c r="B826" s="158"/>
      <c r="C826" s="158"/>
      <c r="D826" s="158"/>
      <c r="E826" s="158"/>
      <c r="F826" s="158"/>
      <c r="G826" s="158"/>
      <c r="H826" s="158"/>
      <c r="I826" s="158"/>
      <c r="J826" s="158"/>
      <c r="K826" s="158"/>
      <c r="L826" s="158"/>
      <c r="M826" s="158"/>
    </row>
    <row r="827" spans="1:13" ht="14.25" customHeight="1">
      <c r="A827" s="158"/>
      <c r="B827" s="158"/>
      <c r="C827" s="158"/>
      <c r="D827" s="158"/>
      <c r="E827" s="158"/>
      <c r="F827" s="158"/>
      <c r="G827" s="158"/>
      <c r="H827" s="158"/>
      <c r="I827" s="158"/>
      <c r="J827" s="158"/>
      <c r="K827" s="158"/>
      <c r="L827" s="158"/>
      <c r="M827" s="158"/>
    </row>
    <row r="828" spans="1:13" ht="14.25" customHeight="1">
      <c r="A828" s="158"/>
      <c r="B828" s="158"/>
      <c r="C828" s="158"/>
      <c r="D828" s="158"/>
      <c r="E828" s="158"/>
      <c r="F828" s="158"/>
      <c r="G828" s="158"/>
      <c r="H828" s="158"/>
      <c r="I828" s="158"/>
      <c r="J828" s="158"/>
      <c r="K828" s="158"/>
      <c r="L828" s="158"/>
      <c r="M828" s="158"/>
    </row>
    <row r="829" spans="1:13" ht="14.25" customHeight="1">
      <c r="A829" s="158"/>
      <c r="B829" s="158"/>
      <c r="C829" s="158"/>
      <c r="D829" s="158"/>
      <c r="E829" s="158"/>
      <c r="F829" s="158"/>
      <c r="G829" s="158"/>
      <c r="H829" s="158"/>
      <c r="I829" s="158"/>
      <c r="J829" s="158"/>
      <c r="K829" s="158"/>
      <c r="L829" s="158"/>
      <c r="M829" s="158"/>
    </row>
    <row r="830" spans="1:13" ht="14.25" customHeight="1">
      <c r="A830" s="158"/>
      <c r="B830" s="158"/>
      <c r="C830" s="158"/>
      <c r="D830" s="158"/>
      <c r="E830" s="158"/>
      <c r="F830" s="158"/>
      <c r="G830" s="158"/>
      <c r="H830" s="158"/>
      <c r="I830" s="158"/>
      <c r="J830" s="158"/>
      <c r="K830" s="158"/>
      <c r="L830" s="158"/>
      <c r="M830" s="158"/>
    </row>
    <row r="831" spans="1:13" ht="14.25" customHeight="1">
      <c r="A831" s="158"/>
      <c r="B831" s="158"/>
      <c r="C831" s="158"/>
      <c r="D831" s="158"/>
      <c r="E831" s="158"/>
      <c r="F831" s="158"/>
      <c r="G831" s="158"/>
      <c r="H831" s="158"/>
      <c r="I831" s="158"/>
      <c r="J831" s="158"/>
      <c r="K831" s="158"/>
      <c r="L831" s="158"/>
      <c r="M831" s="158"/>
    </row>
    <row r="832" spans="1:13" ht="14.25" customHeight="1">
      <c r="A832" s="158"/>
      <c r="B832" s="158"/>
      <c r="C832" s="158"/>
      <c r="D832" s="158"/>
      <c r="E832" s="158"/>
      <c r="F832" s="158"/>
      <c r="G832" s="158"/>
      <c r="H832" s="158"/>
      <c r="I832" s="158"/>
      <c r="J832" s="158"/>
      <c r="K832" s="158"/>
      <c r="L832" s="158"/>
      <c r="M832" s="158"/>
    </row>
    <row r="833" spans="1:13" ht="14.25" customHeight="1">
      <c r="A833" s="158"/>
      <c r="B833" s="158"/>
      <c r="C833" s="158"/>
      <c r="D833" s="158"/>
      <c r="E833" s="158"/>
      <c r="F833" s="158"/>
      <c r="G833" s="158"/>
      <c r="H833" s="158"/>
      <c r="I833" s="158"/>
      <c r="J833" s="158"/>
      <c r="K833" s="158"/>
      <c r="L833" s="158"/>
      <c r="M833" s="158"/>
    </row>
    <row r="834" spans="1:13" ht="14.25" customHeight="1">
      <c r="A834" s="158"/>
      <c r="B834" s="158"/>
      <c r="C834" s="158"/>
      <c r="D834" s="158"/>
      <c r="E834" s="158"/>
      <c r="F834" s="158"/>
      <c r="G834" s="158"/>
      <c r="H834" s="158"/>
      <c r="I834" s="158"/>
      <c r="J834" s="158"/>
      <c r="K834" s="158"/>
      <c r="L834" s="158"/>
      <c r="M834" s="158"/>
    </row>
    <row r="835" spans="1:13" ht="14.25" customHeight="1">
      <c r="A835" s="158"/>
      <c r="B835" s="158"/>
      <c r="C835" s="158"/>
      <c r="D835" s="158"/>
      <c r="E835" s="158"/>
      <c r="F835" s="158"/>
      <c r="G835" s="158"/>
      <c r="H835" s="158"/>
      <c r="I835" s="158"/>
      <c r="J835" s="158"/>
      <c r="K835" s="158"/>
      <c r="L835" s="158"/>
      <c r="M835" s="158"/>
    </row>
    <row r="836" spans="1:13" ht="14.25" customHeight="1">
      <c r="A836" s="158"/>
      <c r="B836" s="158"/>
      <c r="C836" s="158"/>
      <c r="D836" s="158"/>
      <c r="E836" s="158"/>
      <c r="F836" s="158"/>
      <c r="G836" s="158"/>
      <c r="H836" s="158"/>
      <c r="I836" s="158"/>
      <c r="J836" s="158"/>
      <c r="K836" s="158"/>
      <c r="L836" s="158"/>
      <c r="M836" s="158"/>
    </row>
    <row r="837" spans="1:13" ht="14.25" customHeight="1">
      <c r="A837" s="158"/>
      <c r="B837" s="158"/>
      <c r="C837" s="158"/>
      <c r="D837" s="158"/>
      <c r="E837" s="158"/>
      <c r="F837" s="158"/>
      <c r="G837" s="158"/>
      <c r="H837" s="158"/>
      <c r="I837" s="158"/>
      <c r="J837" s="158"/>
      <c r="K837" s="158"/>
      <c r="L837" s="158"/>
      <c r="M837" s="158"/>
    </row>
    <row r="838" spans="1:13" ht="14.25" customHeight="1">
      <c r="A838" s="158"/>
      <c r="B838" s="158"/>
      <c r="C838" s="158"/>
      <c r="D838" s="158"/>
      <c r="E838" s="158"/>
      <c r="F838" s="158"/>
      <c r="G838" s="158"/>
      <c r="H838" s="158"/>
      <c r="I838" s="158"/>
      <c r="J838" s="158"/>
      <c r="K838" s="158"/>
      <c r="L838" s="158"/>
      <c r="M838" s="158"/>
    </row>
    <row r="839" spans="1:13" ht="14.25" customHeight="1">
      <c r="A839" s="158"/>
      <c r="B839" s="158"/>
      <c r="C839" s="158"/>
      <c r="D839" s="158"/>
      <c r="E839" s="158"/>
      <c r="F839" s="158"/>
      <c r="G839" s="158"/>
      <c r="H839" s="158"/>
      <c r="I839" s="158"/>
      <c r="J839" s="158"/>
      <c r="K839" s="158"/>
      <c r="L839" s="158"/>
      <c r="M839" s="158"/>
    </row>
    <row r="840" spans="1:13" ht="14.25" customHeight="1">
      <c r="A840" s="158"/>
      <c r="B840" s="158"/>
      <c r="C840" s="158"/>
      <c r="D840" s="158"/>
      <c r="E840" s="158"/>
      <c r="F840" s="158"/>
      <c r="G840" s="158"/>
      <c r="H840" s="158"/>
      <c r="I840" s="158"/>
      <c r="J840" s="158"/>
      <c r="K840" s="158"/>
      <c r="L840" s="158"/>
      <c r="M840" s="158"/>
    </row>
    <row r="841" spans="1:13" ht="14.25" customHeight="1">
      <c r="A841" s="158"/>
      <c r="B841" s="158"/>
      <c r="C841" s="158"/>
      <c r="D841" s="158"/>
      <c r="E841" s="158"/>
      <c r="F841" s="158"/>
      <c r="G841" s="158"/>
      <c r="H841" s="158"/>
      <c r="I841" s="158"/>
      <c r="J841" s="158"/>
      <c r="K841" s="158"/>
      <c r="L841" s="158"/>
      <c r="M841" s="158"/>
    </row>
    <row r="842" spans="1:13" ht="14.25" customHeight="1">
      <c r="A842" s="158"/>
      <c r="B842" s="158"/>
      <c r="C842" s="158"/>
      <c r="D842" s="158"/>
      <c r="E842" s="158"/>
      <c r="F842" s="158"/>
      <c r="G842" s="158"/>
      <c r="H842" s="158"/>
      <c r="I842" s="158"/>
      <c r="J842" s="158"/>
      <c r="K842" s="158"/>
      <c r="L842" s="158"/>
      <c r="M842" s="158"/>
    </row>
    <row r="843" spans="1:13" ht="14.25" customHeight="1">
      <c r="A843" s="158"/>
      <c r="B843" s="158"/>
      <c r="C843" s="158"/>
      <c r="D843" s="158"/>
      <c r="E843" s="158"/>
      <c r="F843" s="158"/>
      <c r="G843" s="158"/>
      <c r="H843" s="158"/>
      <c r="I843" s="158"/>
      <c r="J843" s="158"/>
      <c r="K843" s="158"/>
      <c r="L843" s="158"/>
      <c r="M843" s="158"/>
    </row>
    <row r="844" spans="1:13" ht="14.25" customHeight="1">
      <c r="A844" s="158"/>
      <c r="B844" s="158"/>
      <c r="C844" s="158"/>
      <c r="D844" s="158"/>
      <c r="E844" s="158"/>
      <c r="F844" s="158"/>
      <c r="G844" s="158"/>
      <c r="H844" s="158"/>
      <c r="I844" s="158"/>
      <c r="J844" s="158"/>
      <c r="K844" s="158"/>
      <c r="L844" s="158"/>
      <c r="M844" s="158"/>
    </row>
    <row r="845" spans="1:13" ht="14.25" customHeight="1">
      <c r="A845" s="158"/>
      <c r="B845" s="158"/>
      <c r="C845" s="158"/>
      <c r="D845" s="158"/>
      <c r="E845" s="158"/>
      <c r="F845" s="158"/>
      <c r="G845" s="158"/>
      <c r="H845" s="158"/>
      <c r="I845" s="158"/>
      <c r="J845" s="158"/>
      <c r="K845" s="158"/>
      <c r="L845" s="158"/>
      <c r="M845" s="158"/>
    </row>
    <row r="846" spans="1:13" ht="14.25" customHeight="1">
      <c r="A846" s="158"/>
      <c r="B846" s="158"/>
      <c r="C846" s="158"/>
      <c r="D846" s="158"/>
      <c r="E846" s="158"/>
      <c r="F846" s="158"/>
      <c r="G846" s="158"/>
      <c r="H846" s="158"/>
      <c r="I846" s="158"/>
      <c r="J846" s="158"/>
      <c r="K846" s="158"/>
      <c r="L846" s="158"/>
      <c r="M846" s="158"/>
    </row>
    <row r="847" spans="1:13" ht="14.25" customHeight="1">
      <c r="A847" s="158"/>
      <c r="B847" s="158"/>
      <c r="C847" s="158"/>
      <c r="D847" s="158"/>
      <c r="E847" s="158"/>
      <c r="F847" s="158"/>
      <c r="G847" s="158"/>
      <c r="H847" s="158"/>
      <c r="I847" s="158"/>
      <c r="J847" s="158"/>
      <c r="K847" s="158"/>
      <c r="L847" s="158"/>
      <c r="M847" s="158"/>
    </row>
    <row r="848" spans="1:13" ht="14.25" customHeight="1">
      <c r="A848" s="158"/>
      <c r="B848" s="158"/>
      <c r="C848" s="158"/>
      <c r="D848" s="158"/>
      <c r="E848" s="158"/>
      <c r="F848" s="158"/>
      <c r="G848" s="158"/>
      <c r="H848" s="158"/>
      <c r="I848" s="158"/>
      <c r="J848" s="158"/>
      <c r="K848" s="158"/>
      <c r="L848" s="158"/>
      <c r="M848" s="158"/>
    </row>
    <row r="849" spans="1:13" ht="14.25" customHeight="1">
      <c r="A849" s="158"/>
      <c r="B849" s="158"/>
      <c r="C849" s="158"/>
      <c r="D849" s="158"/>
      <c r="E849" s="158"/>
      <c r="F849" s="158"/>
      <c r="G849" s="158"/>
      <c r="H849" s="158"/>
      <c r="I849" s="158"/>
      <c r="J849" s="158"/>
      <c r="K849" s="158"/>
      <c r="L849" s="158"/>
      <c r="M849" s="158"/>
    </row>
    <row r="850" spans="1:13" ht="14.25" customHeight="1">
      <c r="A850" s="158"/>
      <c r="B850" s="158"/>
      <c r="C850" s="158"/>
      <c r="D850" s="158"/>
      <c r="E850" s="158"/>
      <c r="F850" s="158"/>
      <c r="G850" s="158"/>
      <c r="H850" s="158"/>
      <c r="I850" s="158"/>
      <c r="J850" s="158"/>
      <c r="K850" s="158"/>
      <c r="L850" s="158"/>
      <c r="M850" s="158"/>
    </row>
    <row r="851" spans="1:13" ht="14.25" customHeight="1">
      <c r="A851" s="158"/>
      <c r="B851" s="158"/>
      <c r="C851" s="158"/>
      <c r="D851" s="158"/>
      <c r="E851" s="158"/>
      <c r="F851" s="158"/>
      <c r="G851" s="158"/>
      <c r="H851" s="158"/>
      <c r="I851" s="158"/>
      <c r="J851" s="158"/>
      <c r="K851" s="158"/>
      <c r="L851" s="158"/>
      <c r="M851" s="158"/>
    </row>
    <row r="852" spans="1:13" ht="14.25" customHeight="1">
      <c r="A852" s="158"/>
      <c r="B852" s="158"/>
      <c r="C852" s="158"/>
      <c r="D852" s="158"/>
      <c r="E852" s="158"/>
      <c r="F852" s="158"/>
      <c r="G852" s="158"/>
      <c r="H852" s="158"/>
      <c r="I852" s="158"/>
      <c r="J852" s="158"/>
      <c r="K852" s="158"/>
      <c r="L852" s="158"/>
      <c r="M852" s="158"/>
    </row>
    <row r="853" spans="1:13" ht="14.25" customHeight="1">
      <c r="A853" s="158"/>
      <c r="B853" s="158"/>
      <c r="C853" s="158"/>
      <c r="D853" s="158"/>
      <c r="E853" s="158"/>
      <c r="F853" s="158"/>
      <c r="G853" s="158"/>
      <c r="H853" s="158"/>
      <c r="I853" s="158"/>
      <c r="J853" s="158"/>
      <c r="K853" s="158"/>
      <c r="L853" s="158"/>
      <c r="M853" s="158"/>
    </row>
    <row r="854" spans="1:13" ht="14.25" customHeight="1">
      <c r="A854" s="158"/>
      <c r="B854" s="158"/>
      <c r="C854" s="158"/>
      <c r="D854" s="158"/>
      <c r="E854" s="158"/>
      <c r="F854" s="158"/>
      <c r="G854" s="158"/>
      <c r="H854" s="158"/>
      <c r="I854" s="158"/>
      <c r="J854" s="158"/>
      <c r="K854" s="158"/>
      <c r="L854" s="158"/>
      <c r="M854" s="158"/>
    </row>
    <row r="855" spans="1:13" ht="14.25" customHeight="1">
      <c r="A855" s="158"/>
      <c r="B855" s="158"/>
      <c r="C855" s="158"/>
      <c r="D855" s="158"/>
      <c r="E855" s="158"/>
      <c r="F855" s="158"/>
      <c r="G855" s="158"/>
      <c r="H855" s="158"/>
      <c r="I855" s="158"/>
      <c r="J855" s="158"/>
      <c r="K855" s="158"/>
      <c r="L855" s="158"/>
      <c r="M855" s="158"/>
    </row>
    <row r="856" spans="1:13" ht="14.25" customHeight="1">
      <c r="A856" s="158"/>
      <c r="B856" s="158"/>
      <c r="C856" s="158"/>
      <c r="D856" s="158"/>
      <c r="E856" s="158"/>
      <c r="F856" s="158"/>
      <c r="G856" s="158"/>
      <c r="H856" s="158"/>
      <c r="I856" s="158"/>
      <c r="J856" s="158"/>
      <c r="K856" s="158"/>
      <c r="L856" s="158"/>
      <c r="M856" s="158"/>
    </row>
    <row r="857" spans="1:13" ht="14.25" customHeight="1">
      <c r="A857" s="158"/>
      <c r="B857" s="158"/>
      <c r="C857" s="158"/>
      <c r="D857" s="158"/>
      <c r="E857" s="158"/>
      <c r="F857" s="158"/>
      <c r="G857" s="158"/>
      <c r="H857" s="158"/>
      <c r="I857" s="158"/>
      <c r="J857" s="158"/>
      <c r="K857" s="158"/>
      <c r="L857" s="158"/>
      <c r="M857" s="158"/>
    </row>
    <row r="858" spans="1:13" ht="14.25" customHeight="1">
      <c r="A858" s="158"/>
      <c r="B858" s="158"/>
      <c r="C858" s="158"/>
      <c r="D858" s="158"/>
      <c r="E858" s="158"/>
      <c r="F858" s="158"/>
      <c r="G858" s="158"/>
      <c r="H858" s="158"/>
      <c r="I858" s="158"/>
      <c r="J858" s="158"/>
      <c r="K858" s="158"/>
      <c r="L858" s="158"/>
      <c r="M858" s="158"/>
    </row>
    <row r="859" spans="1:13" ht="14.25" customHeight="1">
      <c r="A859" s="158"/>
      <c r="B859" s="158"/>
      <c r="C859" s="158"/>
      <c r="D859" s="158"/>
      <c r="E859" s="158"/>
      <c r="F859" s="158"/>
      <c r="G859" s="158"/>
      <c r="H859" s="158"/>
      <c r="I859" s="158"/>
      <c r="J859" s="158"/>
      <c r="K859" s="158"/>
      <c r="L859" s="158"/>
      <c r="M859" s="158"/>
    </row>
    <row r="860" spans="1:13" ht="14.25" customHeight="1">
      <c r="A860" s="158"/>
      <c r="B860" s="158"/>
      <c r="C860" s="158"/>
      <c r="D860" s="158"/>
      <c r="E860" s="158"/>
      <c r="F860" s="158"/>
      <c r="G860" s="158"/>
      <c r="H860" s="158"/>
      <c r="I860" s="158"/>
      <c r="J860" s="158"/>
      <c r="K860" s="158"/>
      <c r="L860" s="158"/>
      <c r="M860" s="158"/>
    </row>
    <row r="861" spans="1:13" ht="14.25" customHeight="1">
      <c r="A861" s="158"/>
      <c r="B861" s="158"/>
      <c r="C861" s="158"/>
      <c r="D861" s="158"/>
      <c r="E861" s="158"/>
      <c r="F861" s="158"/>
      <c r="G861" s="158"/>
      <c r="H861" s="158"/>
      <c r="I861" s="158"/>
      <c r="J861" s="158"/>
      <c r="K861" s="158"/>
      <c r="L861" s="158"/>
      <c r="M861" s="158"/>
    </row>
    <row r="862" spans="1:13" ht="14.25" customHeight="1">
      <c r="A862" s="158"/>
      <c r="B862" s="158"/>
      <c r="C862" s="158"/>
      <c r="D862" s="158"/>
      <c r="E862" s="158"/>
      <c r="F862" s="158"/>
      <c r="G862" s="158"/>
      <c r="H862" s="158"/>
      <c r="I862" s="158"/>
      <c r="J862" s="158"/>
      <c r="K862" s="158"/>
      <c r="L862" s="158"/>
      <c r="M862" s="158"/>
    </row>
    <row r="863" spans="1:13" ht="14.25" customHeight="1">
      <c r="A863" s="158"/>
      <c r="B863" s="158"/>
      <c r="C863" s="158"/>
      <c r="D863" s="158"/>
      <c r="E863" s="158"/>
      <c r="F863" s="158"/>
      <c r="G863" s="158"/>
      <c r="H863" s="158"/>
      <c r="I863" s="158"/>
      <c r="J863" s="158"/>
      <c r="K863" s="158"/>
      <c r="L863" s="158"/>
      <c r="M863" s="158"/>
    </row>
    <row r="864" spans="1:13" ht="14.25" customHeight="1">
      <c r="A864" s="158"/>
      <c r="B864" s="158"/>
      <c r="C864" s="158"/>
      <c r="D864" s="158"/>
      <c r="E864" s="158"/>
      <c r="F864" s="158"/>
      <c r="G864" s="158"/>
      <c r="H864" s="158"/>
      <c r="I864" s="158"/>
      <c r="J864" s="158"/>
      <c r="K864" s="158"/>
      <c r="L864" s="158"/>
      <c r="M864" s="158"/>
    </row>
    <row r="865" spans="1:13" ht="14.25" customHeight="1">
      <c r="A865" s="158"/>
      <c r="B865" s="158"/>
      <c r="C865" s="158"/>
      <c r="D865" s="158"/>
      <c r="E865" s="158"/>
      <c r="F865" s="158"/>
      <c r="G865" s="158"/>
      <c r="H865" s="158"/>
      <c r="I865" s="158"/>
      <c r="J865" s="158"/>
      <c r="K865" s="158"/>
      <c r="L865" s="158"/>
      <c r="M865" s="158"/>
    </row>
    <row r="866" spans="1:13" ht="14.25" customHeight="1">
      <c r="A866" s="158"/>
      <c r="B866" s="158"/>
      <c r="C866" s="158"/>
      <c r="D866" s="158"/>
      <c r="E866" s="158"/>
      <c r="F866" s="158"/>
      <c r="G866" s="158"/>
      <c r="H866" s="158"/>
      <c r="I866" s="158"/>
      <c r="J866" s="158"/>
      <c r="K866" s="158"/>
      <c r="L866" s="158"/>
      <c r="M866" s="158"/>
    </row>
    <row r="867" spans="1:13" ht="14.25" customHeight="1">
      <c r="A867" s="158"/>
      <c r="B867" s="158"/>
      <c r="C867" s="158"/>
      <c r="D867" s="158"/>
      <c r="E867" s="158"/>
      <c r="F867" s="158"/>
      <c r="G867" s="158"/>
      <c r="H867" s="158"/>
      <c r="I867" s="158"/>
      <c r="J867" s="158"/>
      <c r="K867" s="158"/>
      <c r="L867" s="158"/>
      <c r="M867" s="158"/>
    </row>
    <row r="868" spans="1:13" ht="14.25" customHeight="1">
      <c r="A868" s="158"/>
      <c r="B868" s="158"/>
      <c r="C868" s="158"/>
      <c r="D868" s="158"/>
      <c r="E868" s="158"/>
      <c r="F868" s="158"/>
      <c r="G868" s="158"/>
      <c r="H868" s="158"/>
      <c r="I868" s="158"/>
      <c r="J868" s="158"/>
      <c r="K868" s="158"/>
      <c r="L868" s="158"/>
      <c r="M868" s="158"/>
    </row>
    <row r="869" spans="1:13" ht="14.25" customHeight="1">
      <c r="A869" s="158"/>
      <c r="B869" s="158"/>
      <c r="C869" s="158"/>
      <c r="D869" s="158"/>
      <c r="E869" s="158"/>
      <c r="F869" s="158"/>
      <c r="G869" s="158"/>
      <c r="H869" s="158"/>
      <c r="I869" s="158"/>
      <c r="J869" s="158"/>
      <c r="K869" s="158"/>
      <c r="L869" s="158"/>
      <c r="M869" s="158"/>
    </row>
    <row r="870" spans="1:13" ht="14.25" customHeight="1">
      <c r="A870" s="158"/>
      <c r="B870" s="158"/>
      <c r="C870" s="158"/>
      <c r="D870" s="158"/>
      <c r="E870" s="158"/>
      <c r="F870" s="158"/>
      <c r="G870" s="158"/>
      <c r="H870" s="158"/>
      <c r="I870" s="158"/>
      <c r="J870" s="158"/>
      <c r="K870" s="158"/>
      <c r="L870" s="158"/>
      <c r="M870" s="158"/>
    </row>
    <row r="871" spans="1:13" ht="14.25" customHeight="1">
      <c r="A871" s="158"/>
      <c r="B871" s="158"/>
      <c r="C871" s="158"/>
      <c r="D871" s="158"/>
      <c r="E871" s="158"/>
      <c r="F871" s="158"/>
      <c r="G871" s="158"/>
      <c r="H871" s="158"/>
      <c r="I871" s="158"/>
      <c r="J871" s="158"/>
      <c r="K871" s="158"/>
      <c r="L871" s="158"/>
      <c r="M871" s="158"/>
    </row>
    <row r="872" spans="1:13" ht="14.25" customHeight="1">
      <c r="A872" s="158"/>
      <c r="B872" s="158"/>
      <c r="C872" s="158"/>
      <c r="D872" s="158"/>
      <c r="E872" s="158"/>
      <c r="F872" s="158"/>
      <c r="G872" s="158"/>
      <c r="H872" s="158"/>
      <c r="I872" s="158"/>
      <c r="J872" s="158"/>
      <c r="K872" s="158"/>
      <c r="L872" s="158"/>
      <c r="M872" s="158"/>
    </row>
    <row r="873" spans="1:13" ht="14.25" customHeight="1">
      <c r="A873" s="158"/>
      <c r="B873" s="158"/>
      <c r="C873" s="158"/>
      <c r="D873" s="158"/>
      <c r="E873" s="158"/>
      <c r="F873" s="158"/>
      <c r="G873" s="158"/>
      <c r="H873" s="158"/>
      <c r="I873" s="158"/>
      <c r="J873" s="158"/>
      <c r="K873" s="158"/>
      <c r="L873" s="158"/>
      <c r="M873" s="158"/>
    </row>
    <row r="874" spans="1:13" ht="14.25" customHeight="1">
      <c r="A874" s="158"/>
      <c r="B874" s="158"/>
      <c r="C874" s="158"/>
      <c r="D874" s="158"/>
      <c r="E874" s="158"/>
      <c r="F874" s="158"/>
      <c r="G874" s="158"/>
      <c r="H874" s="158"/>
      <c r="I874" s="158"/>
      <c r="J874" s="158"/>
      <c r="K874" s="158"/>
      <c r="L874" s="158"/>
      <c r="M874" s="158"/>
    </row>
    <row r="875" spans="1:13" ht="14.25" customHeight="1">
      <c r="A875" s="158"/>
      <c r="B875" s="158"/>
      <c r="C875" s="158"/>
      <c r="D875" s="158"/>
      <c r="E875" s="158"/>
      <c r="F875" s="158"/>
      <c r="G875" s="158"/>
      <c r="H875" s="158"/>
      <c r="I875" s="158"/>
      <c r="J875" s="158"/>
      <c r="K875" s="158"/>
      <c r="L875" s="158"/>
      <c r="M875" s="158"/>
    </row>
    <row r="876" spans="1:13" ht="14.25" customHeight="1">
      <c r="A876" s="158"/>
      <c r="B876" s="158"/>
      <c r="C876" s="158"/>
      <c r="D876" s="158"/>
      <c r="E876" s="158"/>
      <c r="F876" s="158"/>
      <c r="G876" s="158"/>
      <c r="H876" s="158"/>
      <c r="I876" s="158"/>
      <c r="J876" s="158"/>
      <c r="K876" s="158"/>
      <c r="L876" s="158"/>
      <c r="M876" s="158"/>
    </row>
    <row r="877" spans="1:13" ht="14.25" customHeight="1">
      <c r="A877" s="158"/>
      <c r="B877" s="158"/>
      <c r="C877" s="158"/>
      <c r="D877" s="158"/>
      <c r="E877" s="158"/>
      <c r="F877" s="158"/>
      <c r="G877" s="158"/>
      <c r="H877" s="158"/>
      <c r="I877" s="158"/>
      <c r="J877" s="158"/>
      <c r="K877" s="158"/>
      <c r="L877" s="158"/>
      <c r="M877" s="158"/>
    </row>
    <row r="878" spans="1:13" ht="14.25" customHeight="1">
      <c r="A878" s="158"/>
      <c r="B878" s="158"/>
      <c r="C878" s="158"/>
      <c r="D878" s="158"/>
      <c r="E878" s="158"/>
      <c r="F878" s="158"/>
      <c r="G878" s="158"/>
      <c r="H878" s="158"/>
      <c r="I878" s="158"/>
      <c r="J878" s="158"/>
      <c r="K878" s="158"/>
      <c r="L878" s="158"/>
      <c r="M878" s="158"/>
    </row>
    <row r="879" spans="1:13" ht="14.25" customHeight="1">
      <c r="A879" s="158"/>
      <c r="B879" s="158"/>
      <c r="C879" s="158"/>
      <c r="D879" s="158"/>
      <c r="E879" s="158"/>
      <c r="F879" s="158"/>
      <c r="G879" s="158"/>
      <c r="H879" s="158"/>
      <c r="I879" s="158"/>
      <c r="J879" s="158"/>
      <c r="K879" s="158"/>
      <c r="L879" s="158"/>
      <c r="M879" s="158"/>
    </row>
    <row r="880" spans="1:13" ht="14.25" customHeight="1">
      <c r="A880" s="158"/>
      <c r="B880" s="158"/>
      <c r="C880" s="158"/>
      <c r="D880" s="158"/>
      <c r="E880" s="158"/>
      <c r="F880" s="158"/>
      <c r="G880" s="158"/>
      <c r="H880" s="158"/>
      <c r="I880" s="158"/>
      <c r="J880" s="158"/>
      <c r="K880" s="158"/>
      <c r="L880" s="158"/>
      <c r="M880" s="158"/>
    </row>
    <row r="881" spans="1:13" ht="14.25" customHeight="1">
      <c r="A881" s="158"/>
      <c r="B881" s="158"/>
      <c r="C881" s="158"/>
      <c r="D881" s="158"/>
      <c r="E881" s="158"/>
      <c r="F881" s="158"/>
      <c r="G881" s="158"/>
      <c r="H881" s="158"/>
      <c r="I881" s="158"/>
      <c r="J881" s="158"/>
      <c r="K881" s="158"/>
      <c r="L881" s="158"/>
      <c r="M881" s="158"/>
    </row>
    <row r="882" spans="1:13" ht="14.25" customHeight="1">
      <c r="A882" s="158"/>
      <c r="B882" s="158"/>
      <c r="C882" s="158"/>
      <c r="D882" s="158"/>
      <c r="E882" s="158"/>
      <c r="F882" s="158"/>
      <c r="G882" s="158"/>
      <c r="H882" s="158"/>
      <c r="I882" s="158"/>
      <c r="J882" s="158"/>
      <c r="K882" s="158"/>
      <c r="L882" s="158"/>
      <c r="M882" s="158"/>
    </row>
    <row r="883" spans="1:13" ht="14.25" customHeight="1">
      <c r="A883" s="158"/>
      <c r="B883" s="158"/>
      <c r="C883" s="158"/>
      <c r="D883" s="158"/>
      <c r="E883" s="158"/>
      <c r="F883" s="158"/>
      <c r="G883" s="158"/>
      <c r="H883" s="158"/>
      <c r="I883" s="158"/>
      <c r="J883" s="158"/>
      <c r="K883" s="158"/>
      <c r="L883" s="158"/>
      <c r="M883" s="158"/>
    </row>
    <row r="884" spans="1:13" ht="14.25" customHeight="1">
      <c r="A884" s="158"/>
      <c r="B884" s="158"/>
      <c r="C884" s="158"/>
      <c r="D884" s="158"/>
      <c r="E884" s="158"/>
      <c r="F884" s="158"/>
      <c r="G884" s="158"/>
      <c r="H884" s="158"/>
      <c r="I884" s="158"/>
      <c r="J884" s="158"/>
      <c r="K884" s="158"/>
      <c r="L884" s="158"/>
      <c r="M884" s="158"/>
    </row>
    <row r="885" spans="1:13" ht="14.25" customHeight="1">
      <c r="A885" s="158"/>
      <c r="B885" s="158"/>
      <c r="C885" s="158"/>
      <c r="D885" s="158"/>
      <c r="E885" s="158"/>
      <c r="F885" s="158"/>
      <c r="G885" s="158"/>
      <c r="H885" s="158"/>
      <c r="I885" s="158"/>
      <c r="J885" s="158"/>
      <c r="K885" s="158"/>
      <c r="L885" s="158"/>
      <c r="M885" s="158"/>
    </row>
    <row r="886" spans="1:13" ht="14.25" customHeight="1">
      <c r="A886" s="158"/>
      <c r="B886" s="158"/>
      <c r="C886" s="158"/>
      <c r="D886" s="158"/>
      <c r="E886" s="158"/>
      <c r="F886" s="158"/>
      <c r="G886" s="158"/>
      <c r="H886" s="158"/>
      <c r="I886" s="158"/>
      <c r="J886" s="158"/>
      <c r="K886" s="158"/>
      <c r="L886" s="158"/>
      <c r="M886" s="158"/>
    </row>
    <row r="887" spans="1:13" ht="14.25" customHeight="1">
      <c r="A887" s="158"/>
      <c r="B887" s="158"/>
      <c r="C887" s="158"/>
      <c r="D887" s="158"/>
      <c r="E887" s="158"/>
      <c r="F887" s="158"/>
      <c r="G887" s="158"/>
      <c r="H887" s="158"/>
      <c r="I887" s="158"/>
      <c r="J887" s="158"/>
      <c r="K887" s="158"/>
      <c r="L887" s="158"/>
      <c r="M887" s="158"/>
    </row>
    <row r="888" spans="1:13" ht="14.25" customHeight="1">
      <c r="A888" s="158"/>
      <c r="B888" s="158"/>
      <c r="C888" s="158"/>
      <c r="D888" s="158"/>
      <c r="E888" s="158"/>
      <c r="F888" s="158"/>
      <c r="G888" s="158"/>
      <c r="H888" s="158"/>
      <c r="I888" s="158"/>
      <c r="J888" s="158"/>
      <c r="K888" s="158"/>
      <c r="L888" s="158"/>
      <c r="M888" s="158"/>
    </row>
    <row r="889" spans="1:13" ht="14.25" customHeight="1">
      <c r="A889" s="158"/>
      <c r="B889" s="158"/>
      <c r="C889" s="158"/>
      <c r="D889" s="158"/>
      <c r="E889" s="158"/>
      <c r="F889" s="158"/>
      <c r="G889" s="158"/>
      <c r="H889" s="158"/>
      <c r="I889" s="158"/>
      <c r="J889" s="158"/>
      <c r="K889" s="158"/>
      <c r="L889" s="158"/>
      <c r="M889" s="158"/>
    </row>
    <row r="890" spans="1:13" ht="14.25" customHeight="1">
      <c r="A890" s="158"/>
      <c r="B890" s="158"/>
      <c r="C890" s="158"/>
      <c r="D890" s="158"/>
      <c r="E890" s="158"/>
      <c r="F890" s="158"/>
      <c r="G890" s="158"/>
      <c r="H890" s="158"/>
      <c r="I890" s="158"/>
      <c r="J890" s="158"/>
      <c r="K890" s="158"/>
      <c r="L890" s="158"/>
      <c r="M890" s="158"/>
    </row>
    <row r="891" spans="1:13" ht="14.25" customHeight="1">
      <c r="A891" s="158"/>
      <c r="B891" s="158"/>
      <c r="C891" s="158"/>
      <c r="D891" s="158"/>
      <c r="E891" s="158"/>
      <c r="F891" s="158"/>
      <c r="G891" s="158"/>
      <c r="H891" s="158"/>
      <c r="I891" s="158"/>
      <c r="J891" s="158"/>
      <c r="K891" s="158"/>
      <c r="L891" s="158"/>
      <c r="M891" s="158"/>
    </row>
    <row r="892" spans="1:13" ht="14.25" customHeight="1">
      <c r="A892" s="158"/>
      <c r="B892" s="158"/>
      <c r="C892" s="158"/>
      <c r="D892" s="158"/>
      <c r="E892" s="158"/>
      <c r="F892" s="158"/>
      <c r="G892" s="158"/>
      <c r="H892" s="158"/>
      <c r="I892" s="158"/>
      <c r="J892" s="158"/>
      <c r="K892" s="158"/>
      <c r="L892" s="158"/>
      <c r="M892" s="158"/>
    </row>
    <row r="893" spans="1:13" ht="14.25" customHeight="1">
      <c r="A893" s="158"/>
      <c r="B893" s="158"/>
      <c r="C893" s="158"/>
      <c r="D893" s="158"/>
      <c r="E893" s="158"/>
      <c r="F893" s="158"/>
      <c r="G893" s="158"/>
      <c r="H893" s="158"/>
      <c r="I893" s="158"/>
      <c r="J893" s="158"/>
      <c r="K893" s="158"/>
      <c r="L893" s="158"/>
      <c r="M893" s="158"/>
    </row>
    <row r="894" spans="1:13" ht="14.25" customHeight="1">
      <c r="A894" s="158"/>
      <c r="B894" s="158"/>
      <c r="C894" s="158"/>
      <c r="D894" s="158"/>
      <c r="E894" s="158"/>
      <c r="F894" s="158"/>
      <c r="G894" s="158"/>
      <c r="H894" s="158"/>
      <c r="I894" s="158"/>
      <c r="J894" s="158"/>
      <c r="K894" s="158"/>
      <c r="L894" s="158"/>
      <c r="M894" s="158"/>
    </row>
    <row r="895" spans="1:13" ht="14.25" customHeight="1">
      <c r="A895" s="158"/>
      <c r="B895" s="158"/>
      <c r="C895" s="158"/>
      <c r="D895" s="158"/>
      <c r="E895" s="158"/>
      <c r="F895" s="158"/>
      <c r="G895" s="158"/>
      <c r="H895" s="158"/>
      <c r="I895" s="158"/>
      <c r="J895" s="158"/>
      <c r="K895" s="158"/>
      <c r="L895" s="158"/>
      <c r="M895" s="158"/>
    </row>
    <row r="896" spans="1:13" ht="14.25" customHeight="1">
      <c r="A896" s="158"/>
      <c r="B896" s="158"/>
      <c r="C896" s="158"/>
      <c r="D896" s="158"/>
      <c r="E896" s="158"/>
      <c r="F896" s="158"/>
      <c r="G896" s="158"/>
      <c r="H896" s="158"/>
      <c r="I896" s="158"/>
      <c r="J896" s="158"/>
      <c r="K896" s="158"/>
      <c r="L896" s="158"/>
      <c r="M896" s="158"/>
    </row>
    <row r="897" spans="1:13" ht="14.25" customHeight="1">
      <c r="A897" s="158"/>
      <c r="B897" s="158"/>
      <c r="C897" s="158"/>
      <c r="D897" s="158"/>
      <c r="E897" s="158"/>
      <c r="F897" s="158"/>
      <c r="G897" s="158"/>
      <c r="H897" s="158"/>
      <c r="I897" s="158"/>
      <c r="J897" s="158"/>
      <c r="K897" s="158"/>
      <c r="L897" s="158"/>
      <c r="M897" s="158"/>
    </row>
    <row r="898" spans="1:13" ht="14.25" customHeight="1">
      <c r="A898" s="158"/>
      <c r="B898" s="158"/>
      <c r="C898" s="158"/>
      <c r="D898" s="158"/>
      <c r="E898" s="158"/>
      <c r="F898" s="158"/>
      <c r="G898" s="158"/>
      <c r="H898" s="158"/>
      <c r="I898" s="158"/>
      <c r="J898" s="158"/>
      <c r="K898" s="158"/>
      <c r="L898" s="158"/>
      <c r="M898" s="158"/>
    </row>
    <row r="899" spans="1:13" ht="14.25" customHeight="1">
      <c r="A899" s="158"/>
      <c r="B899" s="158"/>
      <c r="C899" s="158"/>
      <c r="D899" s="158"/>
      <c r="E899" s="158"/>
      <c r="F899" s="158"/>
      <c r="G899" s="158"/>
      <c r="H899" s="158"/>
      <c r="I899" s="158"/>
      <c r="J899" s="158"/>
      <c r="K899" s="158"/>
      <c r="L899" s="158"/>
      <c r="M899" s="158"/>
    </row>
    <row r="900" spans="1:13" ht="14.25" customHeight="1">
      <c r="A900" s="158"/>
      <c r="B900" s="158"/>
      <c r="C900" s="158"/>
      <c r="D900" s="158"/>
      <c r="E900" s="158"/>
      <c r="F900" s="158"/>
      <c r="G900" s="158"/>
      <c r="H900" s="158"/>
      <c r="I900" s="158"/>
      <c r="J900" s="158"/>
      <c r="K900" s="158"/>
      <c r="L900" s="158"/>
      <c r="M900" s="158"/>
    </row>
    <row r="901" spans="1:13" ht="14.25" customHeight="1">
      <c r="A901" s="158"/>
      <c r="B901" s="158"/>
      <c r="C901" s="158"/>
      <c r="D901" s="158"/>
      <c r="E901" s="158"/>
      <c r="F901" s="158"/>
      <c r="G901" s="158"/>
      <c r="H901" s="158"/>
      <c r="I901" s="158"/>
      <c r="J901" s="158"/>
      <c r="K901" s="158"/>
      <c r="L901" s="158"/>
      <c r="M901" s="158"/>
    </row>
    <row r="902" spans="1:13" ht="14.25" customHeight="1">
      <c r="A902" s="158"/>
      <c r="B902" s="158"/>
      <c r="C902" s="158"/>
      <c r="D902" s="158"/>
      <c r="E902" s="158"/>
      <c r="F902" s="158"/>
      <c r="G902" s="158"/>
      <c r="H902" s="158"/>
      <c r="I902" s="158"/>
      <c r="J902" s="158"/>
      <c r="K902" s="158"/>
      <c r="L902" s="158"/>
      <c r="M902" s="158"/>
    </row>
    <row r="903" spans="1:13" ht="14.25" customHeight="1">
      <c r="A903" s="158"/>
      <c r="B903" s="158"/>
      <c r="C903" s="158"/>
      <c r="D903" s="158"/>
      <c r="E903" s="158"/>
      <c r="F903" s="158"/>
      <c r="G903" s="158"/>
      <c r="H903" s="158"/>
      <c r="I903" s="158"/>
      <c r="J903" s="158"/>
      <c r="K903" s="158"/>
      <c r="L903" s="158"/>
      <c r="M903" s="158"/>
    </row>
    <row r="904" spans="1:13" ht="14.25" customHeight="1">
      <c r="A904" s="158"/>
      <c r="B904" s="158"/>
      <c r="C904" s="158"/>
      <c r="D904" s="158"/>
      <c r="E904" s="158"/>
      <c r="F904" s="158"/>
      <c r="G904" s="158"/>
      <c r="H904" s="158"/>
      <c r="I904" s="158"/>
      <c r="J904" s="158"/>
      <c r="K904" s="158"/>
      <c r="L904" s="158"/>
      <c r="M904" s="158"/>
    </row>
    <row r="905" spans="1:13" ht="14.25" customHeight="1">
      <c r="A905" s="158"/>
      <c r="B905" s="158"/>
      <c r="C905" s="158"/>
      <c r="D905" s="158"/>
      <c r="E905" s="158"/>
      <c r="F905" s="158"/>
      <c r="G905" s="158"/>
      <c r="H905" s="158"/>
      <c r="I905" s="158"/>
      <c r="J905" s="158"/>
      <c r="K905" s="158"/>
      <c r="L905" s="158"/>
      <c r="M905" s="158"/>
    </row>
    <row r="906" spans="1:13" ht="14.25" customHeight="1">
      <c r="A906" s="158"/>
      <c r="B906" s="158"/>
      <c r="C906" s="158"/>
      <c r="D906" s="158"/>
      <c r="E906" s="158"/>
      <c r="F906" s="158"/>
      <c r="G906" s="158"/>
      <c r="H906" s="158"/>
      <c r="I906" s="158"/>
      <c r="J906" s="158"/>
      <c r="K906" s="158"/>
      <c r="L906" s="158"/>
      <c r="M906" s="158"/>
    </row>
    <row r="907" spans="1:13" ht="14.25" customHeight="1">
      <c r="A907" s="158"/>
      <c r="B907" s="158"/>
      <c r="C907" s="158"/>
      <c r="D907" s="158"/>
      <c r="E907" s="158"/>
      <c r="F907" s="158"/>
      <c r="G907" s="158"/>
      <c r="H907" s="158"/>
      <c r="I907" s="158"/>
      <c r="J907" s="158"/>
      <c r="K907" s="158"/>
      <c r="L907" s="158"/>
      <c r="M907" s="158"/>
    </row>
    <row r="908" spans="1:13" ht="14.25" customHeight="1">
      <c r="A908" s="158"/>
      <c r="B908" s="158"/>
      <c r="C908" s="158"/>
      <c r="D908" s="158"/>
      <c r="E908" s="158"/>
      <c r="F908" s="158"/>
      <c r="G908" s="158"/>
      <c r="H908" s="158"/>
      <c r="I908" s="158"/>
      <c r="J908" s="158"/>
      <c r="K908" s="158"/>
      <c r="L908" s="158"/>
      <c r="M908" s="158"/>
    </row>
    <row r="909" spans="1:13" ht="14.25" customHeight="1">
      <c r="A909" s="158"/>
      <c r="B909" s="158"/>
      <c r="C909" s="158"/>
      <c r="D909" s="158"/>
      <c r="E909" s="158"/>
      <c r="F909" s="158"/>
      <c r="G909" s="158"/>
      <c r="H909" s="158"/>
      <c r="I909" s="158"/>
      <c r="J909" s="158"/>
      <c r="K909" s="158"/>
      <c r="L909" s="158"/>
      <c r="M909" s="158"/>
    </row>
    <row r="910" spans="1:13" ht="14.25" customHeight="1">
      <c r="A910" s="158"/>
      <c r="B910" s="158"/>
      <c r="C910" s="158"/>
      <c r="D910" s="158"/>
      <c r="E910" s="158"/>
      <c r="F910" s="158"/>
      <c r="G910" s="158"/>
      <c r="H910" s="158"/>
      <c r="I910" s="158"/>
      <c r="J910" s="158"/>
      <c r="K910" s="158"/>
      <c r="L910" s="158"/>
      <c r="M910" s="158"/>
    </row>
    <row r="911" spans="1:13" ht="14.25" customHeight="1">
      <c r="A911" s="158"/>
      <c r="B911" s="158"/>
      <c r="C911" s="158"/>
      <c r="D911" s="158"/>
      <c r="E911" s="158"/>
      <c r="F911" s="158"/>
      <c r="G911" s="158"/>
      <c r="H911" s="158"/>
      <c r="I911" s="158"/>
      <c r="J911" s="158"/>
      <c r="K911" s="158"/>
      <c r="L911" s="158"/>
      <c r="M911" s="158"/>
    </row>
    <row r="912" spans="1:13" ht="14.25" customHeight="1">
      <c r="A912" s="158"/>
      <c r="B912" s="158"/>
      <c r="C912" s="158"/>
      <c r="D912" s="158"/>
      <c r="E912" s="158"/>
      <c r="F912" s="158"/>
      <c r="G912" s="158"/>
      <c r="H912" s="158"/>
      <c r="I912" s="158"/>
      <c r="J912" s="158"/>
      <c r="K912" s="158"/>
      <c r="L912" s="158"/>
      <c r="M912" s="158"/>
    </row>
    <row r="913" spans="1:13" ht="14.25" customHeight="1">
      <c r="A913" s="158"/>
      <c r="B913" s="158"/>
      <c r="C913" s="158"/>
      <c r="D913" s="158"/>
      <c r="E913" s="158"/>
      <c r="F913" s="158"/>
      <c r="G913" s="158"/>
      <c r="H913" s="158"/>
      <c r="I913" s="158"/>
      <c r="J913" s="158"/>
      <c r="K913" s="158"/>
      <c r="L913" s="158"/>
      <c r="M913" s="158"/>
    </row>
    <row r="914" spans="1:13" ht="14.25" customHeight="1">
      <c r="A914" s="158"/>
      <c r="B914" s="158"/>
      <c r="C914" s="158"/>
      <c r="D914" s="158"/>
      <c r="E914" s="158"/>
      <c r="F914" s="158"/>
      <c r="G914" s="158"/>
      <c r="H914" s="158"/>
      <c r="I914" s="158"/>
      <c r="J914" s="158"/>
      <c r="K914" s="158"/>
      <c r="L914" s="158"/>
      <c r="M914" s="158"/>
    </row>
    <row r="915" spans="1:13" ht="14.25" customHeight="1">
      <c r="A915" s="158"/>
      <c r="B915" s="158"/>
      <c r="C915" s="158"/>
      <c r="D915" s="158"/>
      <c r="E915" s="158"/>
      <c r="F915" s="158"/>
      <c r="G915" s="158"/>
      <c r="H915" s="158"/>
      <c r="I915" s="158"/>
      <c r="J915" s="158"/>
      <c r="K915" s="158"/>
      <c r="L915" s="158"/>
      <c r="M915" s="158"/>
    </row>
    <row r="916" spans="1:13" ht="14.25" customHeight="1">
      <c r="A916" s="158"/>
      <c r="B916" s="158"/>
      <c r="C916" s="158"/>
      <c r="D916" s="158"/>
      <c r="E916" s="158"/>
      <c r="F916" s="158"/>
      <c r="G916" s="158"/>
      <c r="H916" s="158"/>
      <c r="I916" s="158"/>
      <c r="J916" s="158"/>
      <c r="K916" s="158"/>
      <c r="L916" s="158"/>
      <c r="M916" s="158"/>
    </row>
    <row r="917" spans="1:13" ht="14.25" customHeight="1">
      <c r="A917" s="158"/>
      <c r="B917" s="158"/>
      <c r="C917" s="158"/>
      <c r="D917" s="158"/>
      <c r="E917" s="158"/>
      <c r="F917" s="158"/>
      <c r="G917" s="158"/>
      <c r="H917" s="158"/>
      <c r="I917" s="158"/>
      <c r="J917" s="158"/>
      <c r="K917" s="158"/>
      <c r="L917" s="158"/>
      <c r="M917" s="158"/>
    </row>
    <row r="918" spans="1:13" ht="14.25" customHeight="1">
      <c r="A918" s="158"/>
      <c r="B918" s="158"/>
      <c r="C918" s="158"/>
      <c r="D918" s="158"/>
      <c r="E918" s="158"/>
      <c r="F918" s="158"/>
      <c r="G918" s="158"/>
      <c r="H918" s="158"/>
      <c r="I918" s="158"/>
      <c r="J918" s="158"/>
      <c r="K918" s="158"/>
      <c r="L918" s="158"/>
      <c r="M918" s="158"/>
    </row>
    <row r="919" spans="1:13" ht="14.25" customHeight="1">
      <c r="A919" s="158"/>
      <c r="B919" s="158"/>
      <c r="C919" s="158"/>
      <c r="D919" s="158"/>
      <c r="E919" s="158"/>
      <c r="F919" s="158"/>
      <c r="G919" s="158"/>
      <c r="H919" s="158"/>
      <c r="I919" s="158"/>
      <c r="J919" s="158"/>
      <c r="K919" s="158"/>
      <c r="L919" s="158"/>
      <c r="M919" s="158"/>
    </row>
    <row r="920" spans="1:13" ht="14.25" customHeight="1">
      <c r="A920" s="158"/>
      <c r="B920" s="158"/>
      <c r="C920" s="158"/>
      <c r="D920" s="158"/>
      <c r="E920" s="158"/>
      <c r="F920" s="158"/>
      <c r="G920" s="158"/>
      <c r="H920" s="158"/>
      <c r="I920" s="158"/>
      <c r="J920" s="158"/>
      <c r="K920" s="158"/>
      <c r="L920" s="158"/>
      <c r="M920" s="158"/>
    </row>
    <row r="921" spans="1:13" ht="14.25" customHeight="1">
      <c r="A921" s="158"/>
      <c r="B921" s="158"/>
      <c r="C921" s="158"/>
      <c r="D921" s="158"/>
      <c r="E921" s="158"/>
      <c r="F921" s="158"/>
      <c r="G921" s="158"/>
      <c r="H921" s="158"/>
      <c r="I921" s="158"/>
      <c r="J921" s="158"/>
      <c r="K921" s="158"/>
      <c r="L921" s="158"/>
      <c r="M921" s="158"/>
    </row>
    <row r="922" spans="1:13" ht="14.25" customHeight="1">
      <c r="A922" s="158"/>
      <c r="B922" s="158"/>
      <c r="C922" s="158"/>
      <c r="D922" s="158"/>
      <c r="E922" s="158"/>
      <c r="F922" s="158"/>
      <c r="G922" s="158"/>
      <c r="H922" s="158"/>
      <c r="I922" s="158"/>
      <c r="J922" s="158"/>
      <c r="K922" s="158"/>
      <c r="L922" s="158"/>
      <c r="M922" s="158"/>
    </row>
    <row r="923" spans="1:13" ht="14.25" customHeight="1">
      <c r="A923" s="158"/>
      <c r="B923" s="158"/>
      <c r="C923" s="158"/>
      <c r="D923" s="158"/>
      <c r="E923" s="158"/>
      <c r="F923" s="158"/>
      <c r="G923" s="158"/>
      <c r="H923" s="158"/>
      <c r="I923" s="158"/>
      <c r="J923" s="158"/>
      <c r="K923" s="158"/>
      <c r="L923" s="158"/>
      <c r="M923" s="158"/>
    </row>
    <row r="924" spans="1:13" ht="14.25" customHeight="1">
      <c r="A924" s="158"/>
      <c r="B924" s="158"/>
      <c r="C924" s="158"/>
      <c r="D924" s="158"/>
      <c r="E924" s="158"/>
      <c r="F924" s="158"/>
      <c r="G924" s="158"/>
      <c r="H924" s="158"/>
      <c r="I924" s="158"/>
      <c r="J924" s="158"/>
      <c r="K924" s="158"/>
      <c r="L924" s="158"/>
      <c r="M924" s="158"/>
    </row>
    <row r="925" spans="1:13" ht="14.25" customHeight="1">
      <c r="A925" s="158"/>
      <c r="B925" s="158"/>
      <c r="C925" s="158"/>
      <c r="D925" s="158"/>
      <c r="E925" s="158"/>
      <c r="F925" s="158"/>
      <c r="G925" s="158"/>
      <c r="H925" s="158"/>
      <c r="I925" s="158"/>
      <c r="J925" s="158"/>
      <c r="K925" s="158"/>
      <c r="L925" s="158"/>
      <c r="M925" s="158"/>
    </row>
    <row r="926" spans="1:13" ht="14.25" customHeight="1">
      <c r="A926" s="158"/>
      <c r="B926" s="158"/>
      <c r="C926" s="158"/>
      <c r="D926" s="158"/>
      <c r="E926" s="158"/>
      <c r="F926" s="158"/>
      <c r="G926" s="158"/>
      <c r="H926" s="158"/>
      <c r="I926" s="158"/>
      <c r="J926" s="158"/>
      <c r="K926" s="158"/>
      <c r="L926" s="158"/>
      <c r="M926" s="158"/>
    </row>
    <row r="927" spans="1:13" ht="14.25" customHeight="1">
      <c r="A927" s="158"/>
      <c r="B927" s="158"/>
      <c r="C927" s="158"/>
      <c r="D927" s="158"/>
      <c r="E927" s="158"/>
      <c r="F927" s="158"/>
      <c r="G927" s="158"/>
      <c r="H927" s="158"/>
      <c r="I927" s="158"/>
      <c r="J927" s="158"/>
      <c r="K927" s="158"/>
      <c r="L927" s="158"/>
      <c r="M927" s="158"/>
    </row>
    <row r="928" spans="1:13" ht="14.25" customHeight="1">
      <c r="A928" s="158"/>
      <c r="B928" s="158"/>
      <c r="C928" s="158"/>
      <c r="D928" s="158"/>
      <c r="E928" s="158"/>
      <c r="F928" s="158"/>
      <c r="G928" s="158"/>
      <c r="H928" s="158"/>
      <c r="I928" s="158"/>
      <c r="J928" s="158"/>
      <c r="K928" s="158"/>
      <c r="L928" s="158"/>
      <c r="M928" s="158"/>
    </row>
    <row r="929" spans="1:13" ht="14.25" customHeight="1">
      <c r="A929" s="158"/>
      <c r="B929" s="158"/>
      <c r="C929" s="158"/>
      <c r="D929" s="158"/>
      <c r="E929" s="158"/>
      <c r="F929" s="158"/>
      <c r="G929" s="158"/>
      <c r="H929" s="158"/>
      <c r="I929" s="158"/>
      <c r="J929" s="158"/>
      <c r="K929" s="158"/>
      <c r="L929" s="158"/>
      <c r="M929" s="158"/>
    </row>
    <row r="930" spans="1:13" ht="14.25" customHeight="1">
      <c r="A930" s="158"/>
      <c r="B930" s="158"/>
      <c r="C930" s="158"/>
      <c r="D930" s="158"/>
      <c r="E930" s="158"/>
      <c r="F930" s="158"/>
      <c r="G930" s="158"/>
      <c r="H930" s="158"/>
      <c r="I930" s="158"/>
      <c r="J930" s="158"/>
      <c r="K930" s="158"/>
      <c r="L930" s="158"/>
      <c r="M930" s="158"/>
    </row>
    <row r="931" spans="1:13" ht="14.25" customHeight="1">
      <c r="A931" s="158"/>
      <c r="B931" s="158"/>
      <c r="C931" s="158"/>
      <c r="D931" s="158"/>
      <c r="E931" s="158"/>
      <c r="F931" s="158"/>
      <c r="G931" s="158"/>
      <c r="H931" s="158"/>
      <c r="I931" s="158"/>
      <c r="J931" s="158"/>
      <c r="K931" s="158"/>
      <c r="L931" s="158"/>
      <c r="M931" s="158"/>
    </row>
    <row r="932" spans="1:13" ht="14.25" customHeight="1">
      <c r="A932" s="158"/>
      <c r="B932" s="158"/>
      <c r="C932" s="158"/>
      <c r="D932" s="158"/>
      <c r="E932" s="158"/>
      <c r="F932" s="158"/>
      <c r="G932" s="158"/>
      <c r="H932" s="158"/>
      <c r="I932" s="158"/>
      <c r="J932" s="158"/>
      <c r="K932" s="158"/>
      <c r="L932" s="158"/>
      <c r="M932" s="158"/>
    </row>
    <row r="933" spans="1:13" ht="14.25" customHeight="1">
      <c r="A933" s="158"/>
      <c r="B933" s="158"/>
      <c r="C933" s="158"/>
      <c r="D933" s="158"/>
      <c r="E933" s="158"/>
      <c r="F933" s="158"/>
      <c r="G933" s="158"/>
      <c r="H933" s="158"/>
      <c r="I933" s="158"/>
      <c r="J933" s="158"/>
      <c r="K933" s="158"/>
      <c r="L933" s="158"/>
      <c r="M933" s="158"/>
    </row>
    <row r="934" spans="1:13" ht="14.25" customHeight="1">
      <c r="A934" s="158"/>
      <c r="B934" s="158"/>
      <c r="C934" s="158"/>
      <c r="D934" s="158"/>
      <c r="E934" s="158"/>
      <c r="F934" s="158"/>
      <c r="G934" s="158"/>
      <c r="H934" s="158"/>
      <c r="I934" s="158"/>
      <c r="J934" s="158"/>
      <c r="K934" s="158"/>
      <c r="L934" s="158"/>
      <c r="M934" s="158"/>
    </row>
    <row r="935" spans="1:13" ht="14.25" customHeight="1">
      <c r="A935" s="158"/>
      <c r="B935" s="158"/>
      <c r="C935" s="158"/>
      <c r="D935" s="158"/>
      <c r="E935" s="158"/>
      <c r="F935" s="158"/>
      <c r="G935" s="158"/>
      <c r="H935" s="158"/>
      <c r="I935" s="158"/>
      <c r="J935" s="158"/>
      <c r="K935" s="158"/>
      <c r="L935" s="158"/>
      <c r="M935" s="158"/>
    </row>
    <row r="936" spans="1:13" ht="14.25" customHeight="1">
      <c r="A936" s="158"/>
      <c r="B936" s="158"/>
      <c r="C936" s="158"/>
      <c r="D936" s="158"/>
      <c r="E936" s="158"/>
      <c r="F936" s="158"/>
      <c r="G936" s="158"/>
      <c r="H936" s="158"/>
      <c r="I936" s="158"/>
      <c r="J936" s="158"/>
      <c r="K936" s="158"/>
      <c r="L936" s="158"/>
      <c r="M936" s="158"/>
    </row>
    <row r="937" spans="1:13" ht="14.25" customHeight="1">
      <c r="A937" s="158"/>
      <c r="B937" s="158"/>
      <c r="C937" s="158"/>
      <c r="D937" s="158"/>
      <c r="E937" s="158"/>
      <c r="F937" s="158"/>
      <c r="G937" s="158"/>
      <c r="H937" s="158"/>
      <c r="I937" s="158"/>
      <c r="J937" s="158"/>
      <c r="K937" s="158"/>
      <c r="L937" s="158"/>
      <c r="M937" s="158"/>
    </row>
    <row r="938" spans="1:13" ht="14.25" customHeight="1">
      <c r="A938" s="158"/>
      <c r="B938" s="158"/>
      <c r="C938" s="158"/>
      <c r="D938" s="158"/>
      <c r="E938" s="158"/>
      <c r="F938" s="158"/>
      <c r="G938" s="158"/>
      <c r="H938" s="158"/>
      <c r="I938" s="158"/>
      <c r="J938" s="158"/>
      <c r="K938" s="158"/>
      <c r="L938" s="158"/>
      <c r="M938" s="158"/>
    </row>
    <row r="939" spans="1:13" ht="14.25" customHeight="1">
      <c r="A939" s="158"/>
      <c r="B939" s="158"/>
      <c r="C939" s="158"/>
      <c r="D939" s="158"/>
      <c r="E939" s="158"/>
      <c r="F939" s="158"/>
      <c r="G939" s="158"/>
      <c r="H939" s="158"/>
      <c r="I939" s="158"/>
      <c r="J939" s="158"/>
      <c r="K939" s="158"/>
      <c r="L939" s="158"/>
      <c r="M939" s="158"/>
    </row>
    <row r="940" spans="1:13" ht="14.25" customHeight="1">
      <c r="A940" s="158"/>
      <c r="B940" s="158"/>
      <c r="C940" s="158"/>
      <c r="D940" s="158"/>
      <c r="E940" s="158"/>
      <c r="F940" s="158"/>
      <c r="G940" s="158"/>
      <c r="H940" s="158"/>
      <c r="I940" s="158"/>
      <c r="J940" s="158"/>
      <c r="K940" s="158"/>
      <c r="L940" s="158"/>
      <c r="M940" s="158"/>
    </row>
    <row r="941" spans="1:13" ht="14.25" customHeight="1">
      <c r="A941" s="158"/>
      <c r="B941" s="158"/>
      <c r="C941" s="158"/>
      <c r="D941" s="158"/>
      <c r="E941" s="158"/>
      <c r="F941" s="158"/>
      <c r="G941" s="158"/>
      <c r="H941" s="158"/>
      <c r="I941" s="158"/>
      <c r="J941" s="158"/>
      <c r="K941" s="158"/>
      <c r="L941" s="158"/>
      <c r="M941" s="158"/>
    </row>
    <row r="942" spans="1:13" ht="14.25" customHeight="1">
      <c r="A942" s="158"/>
      <c r="B942" s="158"/>
      <c r="C942" s="158"/>
      <c r="D942" s="158"/>
      <c r="E942" s="158"/>
      <c r="F942" s="158"/>
      <c r="G942" s="158"/>
      <c r="H942" s="158"/>
      <c r="I942" s="158"/>
      <c r="J942" s="158"/>
      <c r="K942" s="158"/>
      <c r="L942" s="158"/>
      <c r="M942" s="158"/>
    </row>
    <row r="943" spans="1:13" ht="14.25" customHeight="1">
      <c r="A943" s="158"/>
      <c r="B943" s="158"/>
      <c r="C943" s="158"/>
      <c r="D943" s="158"/>
      <c r="E943" s="158"/>
      <c r="F943" s="158"/>
      <c r="G943" s="158"/>
      <c r="H943" s="158"/>
      <c r="I943" s="158"/>
      <c r="J943" s="158"/>
      <c r="K943" s="158"/>
      <c r="L943" s="158"/>
      <c r="M943" s="158"/>
    </row>
    <row r="944" spans="1:13" ht="14.25" customHeight="1">
      <c r="A944" s="158"/>
      <c r="B944" s="158"/>
      <c r="C944" s="158"/>
      <c r="D944" s="158"/>
      <c r="E944" s="158"/>
      <c r="F944" s="158"/>
      <c r="G944" s="158"/>
      <c r="H944" s="158"/>
      <c r="I944" s="158"/>
      <c r="J944" s="158"/>
      <c r="K944" s="158"/>
      <c r="L944" s="158"/>
      <c r="M944" s="158"/>
    </row>
    <row r="945" spans="1:13" ht="14.25" customHeight="1">
      <c r="A945" s="158"/>
      <c r="B945" s="158"/>
      <c r="C945" s="158"/>
      <c r="D945" s="158"/>
      <c r="E945" s="158"/>
      <c r="F945" s="158"/>
      <c r="G945" s="158"/>
      <c r="H945" s="158"/>
      <c r="I945" s="158"/>
      <c r="J945" s="158"/>
      <c r="K945" s="158"/>
      <c r="L945" s="158"/>
      <c r="M945" s="158"/>
    </row>
    <row r="946" spans="1:13" ht="14.25" customHeight="1">
      <c r="A946" s="158"/>
      <c r="B946" s="158"/>
      <c r="C946" s="158"/>
      <c r="D946" s="158"/>
      <c r="E946" s="158"/>
      <c r="F946" s="158"/>
      <c r="G946" s="158"/>
      <c r="H946" s="158"/>
      <c r="I946" s="158"/>
      <c r="J946" s="158"/>
      <c r="K946" s="158"/>
      <c r="L946" s="158"/>
      <c r="M946" s="158"/>
    </row>
    <row r="947" spans="1:13" ht="14.25" customHeight="1">
      <c r="A947" s="158"/>
      <c r="B947" s="158"/>
      <c r="C947" s="158"/>
      <c r="D947" s="158"/>
      <c r="E947" s="158"/>
      <c r="F947" s="158"/>
      <c r="G947" s="158"/>
      <c r="H947" s="158"/>
      <c r="I947" s="158"/>
      <c r="J947" s="158"/>
      <c r="K947" s="158"/>
      <c r="L947" s="158"/>
      <c r="M947" s="158"/>
    </row>
    <row r="948" spans="1:13" ht="14.25" customHeight="1">
      <c r="A948" s="158"/>
      <c r="B948" s="158"/>
      <c r="C948" s="158"/>
      <c r="D948" s="158"/>
      <c r="E948" s="158"/>
      <c r="F948" s="158"/>
      <c r="G948" s="158"/>
      <c r="H948" s="158"/>
      <c r="I948" s="158"/>
      <c r="J948" s="158"/>
      <c r="K948" s="158"/>
      <c r="L948" s="158"/>
      <c r="M948" s="158"/>
    </row>
    <row r="949" spans="1:13" ht="14.25" customHeight="1">
      <c r="A949" s="158"/>
      <c r="B949" s="158"/>
      <c r="C949" s="158"/>
      <c r="D949" s="158"/>
      <c r="E949" s="158"/>
      <c r="F949" s="158"/>
      <c r="G949" s="158"/>
      <c r="H949" s="158"/>
      <c r="I949" s="158"/>
      <c r="J949" s="158"/>
      <c r="K949" s="158"/>
      <c r="L949" s="158"/>
      <c r="M949" s="158"/>
    </row>
    <row r="950" spans="1:13" ht="14.25" customHeight="1">
      <c r="A950" s="158"/>
      <c r="B950" s="158"/>
      <c r="C950" s="158"/>
      <c r="D950" s="158"/>
      <c r="E950" s="158"/>
      <c r="F950" s="158"/>
      <c r="G950" s="158"/>
      <c r="H950" s="158"/>
      <c r="I950" s="158"/>
      <c r="J950" s="158"/>
      <c r="K950" s="158"/>
      <c r="L950" s="158"/>
      <c r="M950" s="158"/>
    </row>
    <row r="951" spans="1:13" ht="14.25" customHeight="1">
      <c r="A951" s="158"/>
      <c r="B951" s="158"/>
      <c r="C951" s="158"/>
      <c r="D951" s="158"/>
      <c r="E951" s="158"/>
      <c r="F951" s="158"/>
      <c r="G951" s="158"/>
      <c r="H951" s="158"/>
      <c r="I951" s="158"/>
      <c r="J951" s="158"/>
      <c r="K951" s="158"/>
      <c r="L951" s="158"/>
      <c r="M951" s="158"/>
    </row>
    <row r="952" spans="1:13" ht="14.25" customHeight="1">
      <c r="A952" s="158"/>
      <c r="B952" s="158"/>
      <c r="C952" s="158"/>
      <c r="D952" s="158"/>
      <c r="E952" s="158"/>
      <c r="F952" s="158"/>
      <c r="G952" s="158"/>
      <c r="H952" s="158"/>
      <c r="I952" s="158"/>
      <c r="J952" s="158"/>
      <c r="K952" s="158"/>
      <c r="L952" s="158"/>
      <c r="M952" s="158"/>
    </row>
    <row r="953" spans="1:13" ht="14.25" customHeight="1">
      <c r="A953" s="158"/>
      <c r="B953" s="158"/>
      <c r="C953" s="158"/>
      <c r="D953" s="158"/>
      <c r="E953" s="158"/>
      <c r="F953" s="158"/>
      <c r="G953" s="158"/>
      <c r="H953" s="158"/>
      <c r="I953" s="158"/>
      <c r="J953" s="158"/>
      <c r="K953" s="158"/>
      <c r="L953" s="158"/>
      <c r="M953" s="158"/>
    </row>
    <row r="954" spans="1:13" ht="14.25" customHeight="1">
      <c r="A954" s="158"/>
      <c r="B954" s="158"/>
      <c r="C954" s="158"/>
      <c r="D954" s="158"/>
      <c r="E954" s="158"/>
      <c r="F954" s="158"/>
      <c r="G954" s="158"/>
      <c r="H954" s="158"/>
      <c r="I954" s="158"/>
      <c r="J954" s="158"/>
      <c r="K954" s="158"/>
      <c r="L954" s="158"/>
      <c r="M954" s="158"/>
    </row>
    <row r="955" spans="1:13" ht="14.25" customHeight="1">
      <c r="A955" s="158"/>
      <c r="B955" s="158"/>
      <c r="C955" s="158"/>
      <c r="D955" s="158"/>
      <c r="E955" s="158"/>
      <c r="F955" s="158"/>
      <c r="G955" s="158"/>
      <c r="H955" s="158"/>
      <c r="I955" s="158"/>
      <c r="J955" s="158"/>
      <c r="K955" s="158"/>
      <c r="L955" s="158"/>
      <c r="M955" s="158"/>
    </row>
    <row r="956" spans="1:13" ht="14.25" customHeight="1">
      <c r="A956" s="158"/>
      <c r="B956" s="158"/>
      <c r="C956" s="158"/>
      <c r="D956" s="158"/>
      <c r="E956" s="158"/>
      <c r="F956" s="158"/>
      <c r="G956" s="158"/>
      <c r="H956" s="158"/>
      <c r="I956" s="158"/>
      <c r="J956" s="158"/>
      <c r="K956" s="158"/>
      <c r="L956" s="158"/>
      <c r="M956" s="158"/>
    </row>
    <row r="957" spans="1:13" ht="14.25" customHeight="1">
      <c r="A957" s="158"/>
      <c r="B957" s="158"/>
      <c r="C957" s="158"/>
      <c r="D957" s="158"/>
      <c r="E957" s="158"/>
      <c r="F957" s="158"/>
      <c r="G957" s="158"/>
      <c r="H957" s="158"/>
      <c r="I957" s="158"/>
      <c r="J957" s="158"/>
      <c r="K957" s="158"/>
      <c r="L957" s="158"/>
      <c r="M957" s="158"/>
    </row>
    <row r="958" spans="1:13" ht="14.25" customHeight="1">
      <c r="A958" s="158"/>
      <c r="B958" s="158"/>
      <c r="C958" s="158"/>
      <c r="D958" s="158"/>
      <c r="E958" s="158"/>
      <c r="F958" s="158"/>
      <c r="G958" s="158"/>
      <c r="H958" s="158"/>
      <c r="I958" s="158"/>
      <c r="J958" s="158"/>
      <c r="K958" s="158"/>
      <c r="L958" s="158"/>
      <c r="M958" s="158"/>
    </row>
    <row r="959" spans="1:13" ht="14.25" customHeight="1">
      <c r="A959" s="158"/>
      <c r="B959" s="158"/>
      <c r="C959" s="158"/>
      <c r="D959" s="158"/>
      <c r="E959" s="158"/>
      <c r="F959" s="158"/>
      <c r="G959" s="158"/>
      <c r="H959" s="158"/>
      <c r="I959" s="158"/>
      <c r="J959" s="158"/>
      <c r="K959" s="158"/>
      <c r="L959" s="158"/>
      <c r="M959" s="158"/>
    </row>
    <row r="960" spans="1:13" ht="14.25" customHeight="1">
      <c r="A960" s="158"/>
      <c r="B960" s="158"/>
      <c r="C960" s="158"/>
      <c r="D960" s="158"/>
      <c r="E960" s="158"/>
      <c r="F960" s="158"/>
      <c r="G960" s="158"/>
      <c r="H960" s="158"/>
      <c r="I960" s="158"/>
      <c r="J960" s="158"/>
      <c r="K960" s="158"/>
      <c r="L960" s="158"/>
      <c r="M960" s="158"/>
    </row>
    <row r="961" spans="1:13" ht="14.25" customHeight="1">
      <c r="A961" s="158"/>
      <c r="B961" s="158"/>
      <c r="C961" s="158"/>
      <c r="D961" s="158"/>
      <c r="E961" s="158"/>
      <c r="F961" s="158"/>
      <c r="G961" s="158"/>
      <c r="H961" s="158"/>
      <c r="I961" s="158"/>
      <c r="J961" s="158"/>
      <c r="K961" s="158"/>
      <c r="L961" s="158"/>
      <c r="M961" s="158"/>
    </row>
    <row r="962" spans="1:13" ht="14.25" customHeight="1">
      <c r="A962" s="158"/>
      <c r="B962" s="158"/>
      <c r="C962" s="158"/>
      <c r="D962" s="158"/>
      <c r="E962" s="158"/>
      <c r="F962" s="158"/>
      <c r="G962" s="158"/>
      <c r="H962" s="158"/>
      <c r="I962" s="158"/>
      <c r="J962" s="158"/>
      <c r="K962" s="158"/>
      <c r="L962" s="158"/>
      <c r="M962" s="158"/>
    </row>
    <row r="963" spans="1:13" ht="14.25" customHeight="1">
      <c r="A963" s="158"/>
      <c r="B963" s="158"/>
      <c r="C963" s="158"/>
      <c r="D963" s="158"/>
      <c r="E963" s="158"/>
      <c r="F963" s="158"/>
      <c r="G963" s="158"/>
      <c r="H963" s="158"/>
      <c r="I963" s="158"/>
      <c r="J963" s="158"/>
      <c r="K963" s="158"/>
      <c r="L963" s="158"/>
      <c r="M963" s="158"/>
    </row>
    <row r="964" spans="1:13" ht="14.25" customHeight="1">
      <c r="A964" s="158"/>
      <c r="B964" s="158"/>
      <c r="C964" s="158"/>
      <c r="D964" s="158"/>
      <c r="E964" s="158"/>
      <c r="F964" s="158"/>
      <c r="G964" s="158"/>
      <c r="H964" s="158"/>
      <c r="I964" s="158"/>
      <c r="J964" s="158"/>
      <c r="K964" s="158"/>
      <c r="L964" s="158"/>
      <c r="M964" s="158"/>
    </row>
    <row r="965" spans="1:13" ht="14.25" customHeight="1">
      <c r="A965" s="158"/>
      <c r="B965" s="158"/>
      <c r="C965" s="158"/>
      <c r="D965" s="158"/>
      <c r="E965" s="158"/>
      <c r="F965" s="158"/>
      <c r="G965" s="158"/>
      <c r="H965" s="158"/>
      <c r="I965" s="158"/>
      <c r="J965" s="158"/>
      <c r="K965" s="158"/>
      <c r="L965" s="158"/>
      <c r="M965" s="158"/>
    </row>
    <row r="966" spans="1:13" ht="14.25" customHeight="1">
      <c r="A966" s="158"/>
      <c r="B966" s="158"/>
      <c r="C966" s="158"/>
      <c r="D966" s="158"/>
      <c r="E966" s="158"/>
      <c r="F966" s="158"/>
      <c r="G966" s="158"/>
      <c r="H966" s="158"/>
      <c r="I966" s="158"/>
      <c r="J966" s="158"/>
      <c r="K966" s="158"/>
      <c r="L966" s="158"/>
      <c r="M966" s="158"/>
    </row>
    <row r="967" spans="1:13" ht="14.25" customHeight="1">
      <c r="A967" s="158"/>
      <c r="B967" s="158"/>
      <c r="C967" s="158"/>
      <c r="D967" s="158"/>
      <c r="E967" s="158"/>
      <c r="F967" s="158"/>
      <c r="G967" s="158"/>
      <c r="H967" s="158"/>
      <c r="I967" s="158"/>
      <c r="J967" s="158"/>
      <c r="K967" s="158"/>
      <c r="L967" s="158"/>
      <c r="M967" s="158"/>
    </row>
    <row r="968" spans="1:13" ht="14.25" customHeight="1">
      <c r="A968" s="158"/>
      <c r="B968" s="158"/>
      <c r="C968" s="158"/>
      <c r="D968" s="158"/>
      <c r="E968" s="158"/>
      <c r="F968" s="158"/>
      <c r="G968" s="158"/>
      <c r="H968" s="158"/>
      <c r="I968" s="158"/>
      <c r="J968" s="158"/>
      <c r="K968" s="158"/>
      <c r="L968" s="158"/>
      <c r="M968" s="158"/>
    </row>
    <row r="969" spans="1:13" ht="14.25" customHeight="1">
      <c r="A969" s="158"/>
      <c r="B969" s="158"/>
      <c r="C969" s="158"/>
      <c r="D969" s="158"/>
      <c r="E969" s="158"/>
      <c r="F969" s="158"/>
      <c r="G969" s="158"/>
      <c r="H969" s="158"/>
      <c r="I969" s="158"/>
      <c r="J969" s="158"/>
      <c r="K969" s="158"/>
      <c r="L969" s="158"/>
      <c r="M969" s="158"/>
    </row>
    <row r="970" spans="1:13" ht="14.25" customHeight="1">
      <c r="A970" s="158"/>
      <c r="B970" s="158"/>
      <c r="C970" s="158"/>
      <c r="D970" s="158"/>
      <c r="E970" s="158"/>
      <c r="F970" s="158"/>
      <c r="G970" s="158"/>
      <c r="H970" s="158"/>
      <c r="I970" s="158"/>
      <c r="J970" s="158"/>
      <c r="K970" s="158"/>
      <c r="L970" s="158"/>
      <c r="M970" s="158"/>
    </row>
    <row r="971" spans="1:13" ht="14.25" customHeight="1">
      <c r="A971" s="158"/>
      <c r="B971" s="158"/>
      <c r="C971" s="158"/>
      <c r="D971" s="158"/>
      <c r="E971" s="158"/>
      <c r="F971" s="158"/>
      <c r="G971" s="158"/>
      <c r="H971" s="158"/>
      <c r="I971" s="158"/>
      <c r="J971" s="158"/>
      <c r="K971" s="158"/>
      <c r="L971" s="158"/>
      <c r="M971" s="158"/>
    </row>
    <row r="972" spans="1:13" ht="14.25" customHeight="1">
      <c r="A972" s="158"/>
      <c r="B972" s="158"/>
      <c r="C972" s="158"/>
      <c r="D972" s="158"/>
      <c r="E972" s="158"/>
      <c r="F972" s="158"/>
      <c r="G972" s="158"/>
      <c r="H972" s="158"/>
      <c r="I972" s="158"/>
      <c r="J972" s="158"/>
      <c r="K972" s="158"/>
      <c r="L972" s="158"/>
      <c r="M972" s="158"/>
    </row>
  </sheetData>
  <mergeCells count="9">
    <mergeCell ref="U20:V20"/>
    <mergeCell ref="U43:AJ43"/>
    <mergeCell ref="B2:Q2"/>
    <mergeCell ref="U2:AJ2"/>
    <mergeCell ref="B5:C5"/>
    <mergeCell ref="U5:V5"/>
    <mergeCell ref="U11:Y11"/>
    <mergeCell ref="B24:F24"/>
    <mergeCell ref="B33:C33"/>
  </mergeCells>
  <pageMargins left="0.7" right="0.7" top="0.75" bottom="0.75" header="0" footer="0"/>
  <pageSetup orientation="portrait"/>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M997"/>
  <sheetViews>
    <sheetView workbookViewId="0">
      <selection activeCell="L10" activeCellId="1" sqref="B4:L8 K9:L10"/>
    </sheetView>
  </sheetViews>
  <sheetFormatPr defaultColWidth="14.42578125" defaultRowHeight="15" customHeight="1"/>
  <cols>
    <col min="1" max="24" width="16.42578125" customWidth="1"/>
  </cols>
  <sheetData>
    <row r="1" spans="2:13" ht="14.25" customHeight="1"/>
    <row r="2" spans="2:13" ht="36.6">
      <c r="B2" s="334" t="s">
        <v>219</v>
      </c>
      <c r="C2" s="387"/>
      <c r="D2" s="387"/>
      <c r="E2" s="387"/>
      <c r="F2" s="387"/>
      <c r="G2" s="387"/>
      <c r="H2" s="386"/>
    </row>
    <row r="3" spans="2:13" ht="14.25" customHeight="1"/>
    <row r="4" spans="2:13" ht="31.5" customHeight="1">
      <c r="B4" s="294" t="s">
        <v>13</v>
      </c>
      <c r="C4" s="296" t="s">
        <v>220</v>
      </c>
      <c r="D4" s="296" t="s">
        <v>221</v>
      </c>
      <c r="E4" s="296" t="s">
        <v>222</v>
      </c>
      <c r="F4" s="296" t="s">
        <v>223</v>
      </c>
      <c r="G4" s="296" t="s">
        <v>224</v>
      </c>
      <c r="H4" s="296" t="s">
        <v>225</v>
      </c>
      <c r="I4" s="296" t="s">
        <v>226</v>
      </c>
      <c r="J4" s="296" t="s">
        <v>217</v>
      </c>
      <c r="K4" s="297" t="s">
        <v>227</v>
      </c>
      <c r="L4" s="297" t="s">
        <v>228</v>
      </c>
    </row>
    <row r="5" spans="2:13" ht="14.25" customHeight="1">
      <c r="B5" s="298"/>
      <c r="C5" s="299" t="s">
        <v>174</v>
      </c>
      <c r="D5" s="299" t="s">
        <v>174</v>
      </c>
      <c r="E5" s="299" t="s">
        <v>229</v>
      </c>
      <c r="F5" s="299" t="s">
        <v>218</v>
      </c>
      <c r="G5" s="299" t="s">
        <v>218</v>
      </c>
      <c r="H5" s="299" t="s">
        <v>230</v>
      </c>
      <c r="I5" s="299" t="s">
        <v>218</v>
      </c>
      <c r="J5" s="299" t="s">
        <v>218</v>
      </c>
      <c r="K5" s="299" t="s">
        <v>218</v>
      </c>
      <c r="L5" s="299" t="s">
        <v>218</v>
      </c>
    </row>
    <row r="6" spans="2:13" ht="14.25" customHeight="1">
      <c r="B6" s="291" t="s">
        <v>184</v>
      </c>
      <c r="C6" s="291" t="s">
        <v>184</v>
      </c>
      <c r="D6" s="291" t="s">
        <v>184</v>
      </c>
      <c r="E6" s="291" t="s">
        <v>184</v>
      </c>
      <c r="F6" s="291" t="s">
        <v>184</v>
      </c>
      <c r="G6" s="291" t="s">
        <v>184</v>
      </c>
      <c r="H6" s="291" t="s">
        <v>184</v>
      </c>
      <c r="I6" s="291" t="s">
        <v>184</v>
      </c>
      <c r="J6" s="291" t="s">
        <v>184</v>
      </c>
      <c r="K6" s="291" t="s">
        <v>184</v>
      </c>
      <c r="L6" s="291" t="s">
        <v>184</v>
      </c>
    </row>
    <row r="7" spans="2:13" ht="14.25" customHeight="1">
      <c r="B7" s="295">
        <v>2022</v>
      </c>
      <c r="C7" s="295">
        <v>0</v>
      </c>
      <c r="D7" s="295">
        <v>0</v>
      </c>
      <c r="E7" s="295">
        <v>0</v>
      </c>
      <c r="F7" s="295">
        <v>0</v>
      </c>
      <c r="G7" s="295">
        <v>0</v>
      </c>
      <c r="H7" s="295">
        <v>0</v>
      </c>
      <c r="I7" s="295">
        <v>0</v>
      </c>
      <c r="J7" s="300">
        <f>PRJ_Illegal_Logging!V61</f>
        <v>9637.3562926666655</v>
      </c>
      <c r="K7" s="301">
        <f t="shared" ref="K7:L7" si="0">J7</f>
        <v>9637.3562926666655</v>
      </c>
      <c r="L7" s="301">
        <f t="shared" si="0"/>
        <v>9637.3562926666655</v>
      </c>
    </row>
    <row r="8" spans="2:13" ht="14.25" customHeight="1">
      <c r="B8" s="295">
        <v>2023</v>
      </c>
      <c r="C8" s="295">
        <v>0</v>
      </c>
      <c r="D8" s="295">
        <v>0</v>
      </c>
      <c r="E8" s="295">
        <v>0</v>
      </c>
      <c r="F8" s="295">
        <v>0</v>
      </c>
      <c r="G8" s="295">
        <v>0</v>
      </c>
      <c r="H8" s="295">
        <v>0</v>
      </c>
      <c r="I8" s="295">
        <v>0</v>
      </c>
      <c r="J8" s="300">
        <f>PRJ_Illegal_Logging!V62</f>
        <v>9637.3562926666655</v>
      </c>
      <c r="K8" s="301">
        <f t="shared" ref="K8:L8" si="1">J8</f>
        <v>9637.3562926666655</v>
      </c>
      <c r="L8" s="439">
        <f t="shared" si="1"/>
        <v>9637.3562926666655</v>
      </c>
    </row>
    <row r="9" spans="2:13" ht="14.25" customHeight="1">
      <c r="K9" s="302">
        <f t="shared" ref="K9:L9" si="2">SUM(K7:K8)</f>
        <v>19274.712585333331</v>
      </c>
      <c r="L9" s="302">
        <f t="shared" si="2"/>
        <v>19274.712585333331</v>
      </c>
      <c r="M9" s="111" t="s">
        <v>7</v>
      </c>
    </row>
    <row r="10" spans="2:13" ht="14.25" customHeight="1">
      <c r="K10" s="302">
        <f t="shared" ref="K10:L10" si="3">AVERAGE(K7:K8)</f>
        <v>9637.3562926666655</v>
      </c>
      <c r="L10" s="302">
        <f t="shared" si="3"/>
        <v>9637.3562926666655</v>
      </c>
      <c r="M10" s="111" t="s">
        <v>175</v>
      </c>
    </row>
    <row r="11" spans="2:13" ht="14.25" customHeight="1"/>
    <row r="12" spans="2:13" ht="14.25" customHeight="1"/>
    <row r="13" spans="2:13" ht="14.25" customHeight="1"/>
    <row r="14" spans="2:13" ht="14.25" customHeight="1"/>
    <row r="15" spans="2:13" ht="14.25" customHeight="1"/>
    <row r="16" spans="2:13"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sheetData>
  <mergeCells count="1">
    <mergeCell ref="B2:H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O1000"/>
  <sheetViews>
    <sheetView workbookViewId="0"/>
  </sheetViews>
  <sheetFormatPr defaultColWidth="14.42578125" defaultRowHeight="15" customHeight="1"/>
  <cols>
    <col min="1" max="1" width="8.7109375" customWidth="1"/>
    <col min="2" max="2" width="23.7109375" customWidth="1"/>
    <col min="3" max="3" width="17.28515625" customWidth="1"/>
    <col min="4" max="4" width="66.7109375" customWidth="1"/>
    <col min="5" max="5" width="56.7109375" customWidth="1"/>
    <col min="6" max="6" width="18.7109375" customWidth="1"/>
    <col min="7" max="7" width="15.28515625" customWidth="1"/>
    <col min="8" max="8" width="15" customWidth="1"/>
    <col min="9" max="9" width="15.5703125" customWidth="1"/>
    <col min="10" max="10" width="21.7109375" customWidth="1"/>
    <col min="11" max="11" width="24.28515625" customWidth="1"/>
    <col min="12" max="12" width="16" customWidth="1"/>
    <col min="13" max="13" width="17.5703125" customWidth="1"/>
    <col min="14" max="28" width="8.7109375" customWidth="1"/>
  </cols>
  <sheetData>
    <row r="1" spans="2:15" ht="14.25" customHeight="1"/>
    <row r="2" spans="2:15" ht="14.25" customHeight="1"/>
    <row r="3" spans="2:15" ht="14.25" customHeight="1">
      <c r="B3" s="440" t="s">
        <v>231</v>
      </c>
      <c r="C3" s="353"/>
      <c r="D3" s="353"/>
      <c r="E3" s="353"/>
      <c r="F3" s="353"/>
      <c r="G3" s="353"/>
      <c r="H3" s="353"/>
      <c r="I3" s="353"/>
      <c r="J3" s="353"/>
      <c r="K3" s="354"/>
    </row>
    <row r="4" spans="2:15" ht="14.25" customHeight="1">
      <c r="B4" s="355"/>
      <c r="C4" s="356"/>
      <c r="D4" s="356"/>
      <c r="E4" s="356"/>
      <c r="F4" s="356"/>
      <c r="G4" s="356"/>
      <c r="H4" s="356"/>
      <c r="I4" s="356"/>
      <c r="J4" s="356"/>
      <c r="K4" s="357"/>
    </row>
    <row r="5" spans="2:15" ht="14.25" customHeight="1">
      <c r="B5" s="355"/>
      <c r="C5" s="356"/>
      <c r="D5" s="356"/>
      <c r="E5" s="356"/>
      <c r="F5" s="356"/>
      <c r="G5" s="356"/>
      <c r="H5" s="356"/>
      <c r="I5" s="356"/>
      <c r="J5" s="356"/>
      <c r="K5" s="357"/>
    </row>
    <row r="6" spans="2:15" ht="14.25" customHeight="1">
      <c r="B6" s="355"/>
      <c r="C6" s="356"/>
      <c r="D6" s="356"/>
      <c r="E6" s="356"/>
      <c r="F6" s="356"/>
      <c r="G6" s="356"/>
      <c r="H6" s="356"/>
      <c r="I6" s="356"/>
      <c r="J6" s="356"/>
      <c r="K6" s="357"/>
    </row>
    <row r="7" spans="2:15" ht="14.25" customHeight="1">
      <c r="B7" s="358"/>
      <c r="C7" s="359"/>
      <c r="D7" s="359"/>
      <c r="E7" s="359"/>
      <c r="F7" s="359"/>
      <c r="G7" s="359"/>
      <c r="H7" s="359"/>
      <c r="I7" s="359"/>
      <c r="J7" s="359"/>
      <c r="K7" s="360"/>
    </row>
    <row r="8" spans="2:15" ht="14.25" customHeight="1"/>
    <row r="9" spans="2:15" ht="14.25" customHeight="1">
      <c r="O9" s="46" t="s">
        <v>232</v>
      </c>
    </row>
    <row r="10" spans="2:15" ht="14.25" customHeight="1">
      <c r="B10" s="186" t="s">
        <v>233</v>
      </c>
      <c r="C10" s="186" t="s">
        <v>234</v>
      </c>
      <c r="D10" s="186" t="s">
        <v>235</v>
      </c>
      <c r="E10" s="186" t="s">
        <v>236</v>
      </c>
    </row>
    <row r="11" spans="2:15" ht="100.9">
      <c r="B11" s="187" t="s">
        <v>237</v>
      </c>
      <c r="C11" s="187" t="s">
        <v>238</v>
      </c>
      <c r="D11" s="187" t="s">
        <v>239</v>
      </c>
      <c r="E11" s="187" t="s">
        <v>240</v>
      </c>
    </row>
    <row r="12" spans="2:15" ht="50.45">
      <c r="B12" s="187" t="s">
        <v>241</v>
      </c>
      <c r="C12" s="187" t="s">
        <v>242</v>
      </c>
      <c r="D12" s="187" t="s">
        <v>243</v>
      </c>
      <c r="E12" s="187" t="s">
        <v>244</v>
      </c>
    </row>
    <row r="13" spans="2:15" ht="67.150000000000006">
      <c r="B13" s="188" t="s">
        <v>245</v>
      </c>
      <c r="C13" s="188" t="s">
        <v>246</v>
      </c>
      <c r="D13" s="187" t="s">
        <v>247</v>
      </c>
      <c r="E13" s="187" t="s">
        <v>248</v>
      </c>
    </row>
    <row r="14" spans="2:15" ht="14.25" customHeight="1"/>
    <row r="15" spans="2:15" ht="14.25" customHeight="1"/>
    <row r="16" spans="2:15" ht="14.25" customHeight="1">
      <c r="B16" s="189"/>
    </row>
    <row r="17" spans="2:12" ht="20.45">
      <c r="B17" s="336" t="s">
        <v>249</v>
      </c>
      <c r="C17" s="336" t="s">
        <v>250</v>
      </c>
      <c r="D17" s="191" t="s">
        <v>251</v>
      </c>
      <c r="E17" s="192" t="s">
        <v>252</v>
      </c>
      <c r="F17" s="191" t="s">
        <v>253</v>
      </c>
      <c r="G17" s="193" t="s">
        <v>254</v>
      </c>
      <c r="H17" s="194" t="s">
        <v>255</v>
      </c>
      <c r="I17" s="191" t="s">
        <v>256</v>
      </c>
      <c r="J17" s="195" t="s">
        <v>257</v>
      </c>
      <c r="K17" s="191" t="s">
        <v>258</v>
      </c>
      <c r="L17" s="191" t="s">
        <v>259</v>
      </c>
    </row>
    <row r="18" spans="2:12" ht="14.25" customHeight="1">
      <c r="B18" s="441"/>
      <c r="C18" s="441"/>
      <c r="D18" s="191" t="s">
        <v>260</v>
      </c>
      <c r="E18" s="192"/>
      <c r="F18" s="191"/>
      <c r="G18" s="193"/>
      <c r="H18" s="192" t="s">
        <v>174</v>
      </c>
      <c r="I18" s="192" t="s">
        <v>174</v>
      </c>
      <c r="J18" s="195"/>
      <c r="K18" s="192" t="s">
        <v>174</v>
      </c>
      <c r="L18" s="192" t="s">
        <v>174</v>
      </c>
    </row>
    <row r="19" spans="2:12" ht="14.25" customHeight="1">
      <c r="B19" s="442"/>
      <c r="C19" s="442"/>
      <c r="D19" s="181" t="s">
        <v>261</v>
      </c>
      <c r="E19" s="181" t="s">
        <v>262</v>
      </c>
      <c r="F19" s="181" t="s">
        <v>263</v>
      </c>
      <c r="G19" s="181" t="s">
        <v>264</v>
      </c>
      <c r="H19" s="181" t="s">
        <v>265</v>
      </c>
      <c r="I19" s="181" t="s">
        <v>266</v>
      </c>
      <c r="J19" s="181" t="s">
        <v>267</v>
      </c>
      <c r="K19" s="181" t="s">
        <v>268</v>
      </c>
      <c r="L19" s="181" t="s">
        <v>269</v>
      </c>
    </row>
    <row r="20" spans="2:12" ht="14.25" customHeight="1">
      <c r="B20" s="337" t="s">
        <v>5</v>
      </c>
      <c r="C20" s="196" t="s">
        <v>270</v>
      </c>
      <c r="D20" s="197">
        <f>BSL_ExPost!F60</f>
        <v>103748.87560267694</v>
      </c>
      <c r="E20" s="196">
        <f>Bibliography!$D$5</f>
        <v>1.67</v>
      </c>
      <c r="F20" s="196" t="s">
        <v>271</v>
      </c>
      <c r="G20" s="196">
        <f>Bibliography!$D$6</f>
        <v>0.49</v>
      </c>
      <c r="H20" s="198">
        <f>BSL_ExPost!H60</f>
        <v>84897.704905670471</v>
      </c>
      <c r="I20" s="198">
        <f>BSL_ExPost!X60</f>
        <v>29665.886608820518</v>
      </c>
      <c r="J20" s="196">
        <f>Bibliography!D7</f>
        <v>1.74</v>
      </c>
      <c r="K20" s="198">
        <f>BSL_ExPost!N60</f>
        <v>51618.642699347707</v>
      </c>
      <c r="L20" s="198">
        <f>BSL_ExPost!V60</f>
        <v>106850.46099619768</v>
      </c>
    </row>
    <row r="21" spans="2:12" ht="14.25" customHeight="1">
      <c r="B21" s="442"/>
      <c r="C21" s="196" t="s">
        <v>272</v>
      </c>
      <c r="D21" s="199">
        <v>0.22</v>
      </c>
      <c r="E21" s="199">
        <f>0.3</f>
        <v>0.3</v>
      </c>
      <c r="F21" s="196"/>
      <c r="G21" s="196"/>
      <c r="H21" s="199">
        <f>SQRT((D21^2)+(E21^2))</f>
        <v>0.37202150475476548</v>
      </c>
      <c r="I21" s="199">
        <f>D21</f>
        <v>0.22</v>
      </c>
      <c r="J21" s="196"/>
      <c r="K21" s="199">
        <f>SQRT((J21^2)+(I21^2))</f>
        <v>0.22</v>
      </c>
      <c r="L21" s="199">
        <f>SQRT( ((H20*H21)^2) + ((I20*I21)^2) + ((K20*K21)^2) )/(H20+I20+K20)</f>
        <v>0.20574985260624587</v>
      </c>
    </row>
    <row r="22" spans="2:12" ht="14.25" customHeight="1">
      <c r="B22" s="335" t="s">
        <v>6</v>
      </c>
      <c r="C22" s="200" t="s">
        <v>270</v>
      </c>
      <c r="D22" s="201">
        <f>BSL_ExPost!G60</f>
        <v>18306.643701483565</v>
      </c>
      <c r="E22" s="200">
        <f>Bibliography!$D$5</f>
        <v>1.67</v>
      </c>
      <c r="F22" s="200" t="s">
        <v>271</v>
      </c>
      <c r="G22" s="200">
        <f>Bibliography!$D$6</f>
        <v>0.49</v>
      </c>
      <c r="H22" s="201">
        <f>BSL_ExPost!I60</f>
        <v>14980.326540923992</v>
      </c>
      <c r="I22" s="201">
        <f>BSL_ExPost!Y60</f>
        <v>5255.9001314564603</v>
      </c>
      <c r="J22" s="200">
        <f>Bibliography!D7</f>
        <v>1.74</v>
      </c>
      <c r="K22" s="201">
        <f>BSL_ExPost!O60</f>
        <v>9145.2662287342391</v>
      </c>
      <c r="L22" s="201">
        <f>BSL_ExPost!W60</f>
        <v>18869.692638201777</v>
      </c>
    </row>
    <row r="23" spans="2:12" ht="14.25" customHeight="1">
      <c r="B23" s="442"/>
      <c r="C23" s="200" t="s">
        <v>272</v>
      </c>
      <c r="D23" s="202">
        <v>0.22</v>
      </c>
      <c r="E23" s="202">
        <f>0.3</f>
        <v>0.3</v>
      </c>
      <c r="F23" s="200"/>
      <c r="G23" s="200"/>
      <c r="H23" s="202">
        <f>SQRT((D23^2)+(E23^2))</f>
        <v>0.37202150475476548</v>
      </c>
      <c r="I23" s="202">
        <f>D23</f>
        <v>0.22</v>
      </c>
      <c r="J23" s="200"/>
      <c r="K23" s="202">
        <f>SQRT((J23^2)+(I23^2))</f>
        <v>0.22</v>
      </c>
      <c r="L23" s="202">
        <f>SQRT( ((H22*H23)^2) + ((I22*I23)^2) + ((K22*K23)^2) )/(H22+I22+K22)</f>
        <v>0.20546384772041462</v>
      </c>
    </row>
    <row r="24" spans="2:12" ht="14.25" customHeight="1"/>
    <row r="25" spans="2:12" ht="24.75" customHeight="1">
      <c r="B25" s="336" t="s">
        <v>249</v>
      </c>
      <c r="C25" s="336" t="s">
        <v>250</v>
      </c>
      <c r="D25" s="192" t="s">
        <v>273</v>
      </c>
      <c r="E25" s="191" t="s">
        <v>274</v>
      </c>
      <c r="F25" s="192" t="s">
        <v>275</v>
      </c>
      <c r="G25" s="192" t="s">
        <v>276</v>
      </c>
      <c r="H25" s="192" t="s">
        <v>277</v>
      </c>
      <c r="I25" s="192" t="s">
        <v>278</v>
      </c>
      <c r="J25" s="191" t="s">
        <v>279</v>
      </c>
    </row>
    <row r="26" spans="2:12" ht="14.25" customHeight="1">
      <c r="B26" s="441"/>
      <c r="C26" s="441"/>
      <c r="D26" s="192" t="s">
        <v>280</v>
      </c>
      <c r="E26" s="191" t="s">
        <v>280</v>
      </c>
      <c r="F26" s="192" t="s">
        <v>174</v>
      </c>
      <c r="G26" s="192" t="s">
        <v>174</v>
      </c>
      <c r="H26" s="193" t="s">
        <v>280</v>
      </c>
      <c r="I26" s="192" t="s">
        <v>174</v>
      </c>
      <c r="J26" s="192" t="s">
        <v>82</v>
      </c>
    </row>
    <row r="27" spans="2:12" ht="14.25" customHeight="1">
      <c r="B27" s="442"/>
      <c r="C27" s="442"/>
      <c r="D27" s="181" t="s">
        <v>281</v>
      </c>
      <c r="E27" s="181" t="s">
        <v>282</v>
      </c>
      <c r="F27" s="181" t="s">
        <v>283</v>
      </c>
      <c r="G27" s="181" t="s">
        <v>284</v>
      </c>
      <c r="H27" s="181" t="s">
        <v>285</v>
      </c>
      <c r="I27" s="181" t="s">
        <v>286</v>
      </c>
      <c r="J27" s="181" t="s">
        <v>287</v>
      </c>
    </row>
    <row r="28" spans="2:12" ht="14.25" customHeight="1">
      <c r="B28" s="337" t="s">
        <v>5</v>
      </c>
      <c r="C28" s="196" t="s">
        <v>270</v>
      </c>
      <c r="D28" s="203">
        <f>AVERAGE(Bibliography!E$31:E$32)</f>
        <v>0.24</v>
      </c>
      <c r="E28" s="203">
        <f>AVERAGE(Bibliography!$D$31:$D$32)</f>
        <v>0.15</v>
      </c>
      <c r="F28" s="198">
        <f>BSL_ExPost!Z60</f>
        <v>10768.716839001849</v>
      </c>
      <c r="G28" s="198">
        <f>BSL_ExPost!AB60</f>
        <v>18897.169769818669</v>
      </c>
      <c r="H28" s="196">
        <f>AVERAGE(Bibliography!$F$31:$F$32)</f>
        <v>0.92500000000000004</v>
      </c>
      <c r="I28" s="198">
        <f>BSL_ExPost!AD60</f>
        <v>16374.39760554788</v>
      </c>
      <c r="J28" s="204">
        <f>Bibliography!G22</f>
        <v>0.4850084530853761</v>
      </c>
    </row>
    <row r="29" spans="2:12" ht="14.25" customHeight="1">
      <c r="B29" s="442"/>
      <c r="C29" s="196" t="s">
        <v>272</v>
      </c>
      <c r="D29" s="196"/>
      <c r="E29" s="199"/>
      <c r="F29" s="199">
        <f>I21</f>
        <v>0.22</v>
      </c>
      <c r="G29" s="199">
        <f>SQRT( ((I20*I21)^2) + ((F28*F29)^2)  )/SUM(F28,I20)</f>
        <v>0.17171400672595025</v>
      </c>
      <c r="H29" s="196"/>
      <c r="I29" s="199">
        <f>G29</f>
        <v>0.17171400672595025</v>
      </c>
      <c r="J29" s="199">
        <f>0.48</f>
        <v>0.48</v>
      </c>
    </row>
    <row r="30" spans="2:12" ht="14.25" customHeight="1">
      <c r="B30" s="335" t="s">
        <v>6</v>
      </c>
      <c r="C30" s="200" t="s">
        <v>270</v>
      </c>
      <c r="D30" s="205">
        <f>AVERAGE(Bibliography!E$31:E$32)</f>
        <v>0.24</v>
      </c>
      <c r="E30" s="104">
        <f>AVERAGE(Bibliography!$D$31:$D$32)</f>
        <v>0.15</v>
      </c>
      <c r="F30" s="201">
        <f>BSL_ExPost!AA60</f>
        <v>1907.8917477186951</v>
      </c>
      <c r="G30" s="201">
        <f>BSL_ExPost!AC60</f>
        <v>3348.0083837377651</v>
      </c>
      <c r="H30" s="200">
        <f>AVERAGE(Bibliography!$F$31:$F$32)</f>
        <v>0.92500000000000004</v>
      </c>
      <c r="I30" s="201">
        <f>BSL_ExPost!AE60</f>
        <v>2901.0492645087734</v>
      </c>
      <c r="J30" s="104">
        <f>Bibliography!G23</f>
        <v>1.0799313186813184</v>
      </c>
    </row>
    <row r="31" spans="2:12" ht="14.25" customHeight="1">
      <c r="B31" s="442"/>
      <c r="C31" s="200" t="s">
        <v>272</v>
      </c>
      <c r="D31" s="200"/>
      <c r="E31" s="202"/>
      <c r="F31" s="202">
        <f>I23</f>
        <v>0.22</v>
      </c>
      <c r="G31" s="202">
        <f>SQRT( ((I22*I23)^2) + ((F30*F31)^2)  )/SUM(F30,I22)</f>
        <v>0.17171400672595025</v>
      </c>
      <c r="H31" s="200"/>
      <c r="I31" s="202">
        <f>G31</f>
        <v>0.17171400672595025</v>
      </c>
      <c r="J31" s="202">
        <f>0.48</f>
        <v>0.48</v>
      </c>
    </row>
    <row r="32" spans="2:12" ht="14.25" customHeight="1"/>
    <row r="33" spans="2:9" ht="14.25" customHeight="1">
      <c r="B33" s="111"/>
    </row>
    <row r="34" spans="2:9" ht="31.5" customHeight="1">
      <c r="B34" s="336" t="s">
        <v>249</v>
      </c>
      <c r="C34" s="336" t="s">
        <v>250</v>
      </c>
      <c r="D34" s="191" t="s">
        <v>288</v>
      </c>
      <c r="E34" s="191" t="s">
        <v>289</v>
      </c>
      <c r="F34" s="191" t="s">
        <v>290</v>
      </c>
      <c r="G34" s="191" t="s">
        <v>291</v>
      </c>
      <c r="H34" s="191" t="s">
        <v>292</v>
      </c>
      <c r="I34" s="191" t="s">
        <v>293</v>
      </c>
    </row>
    <row r="35" spans="2:9" ht="14.25" customHeight="1">
      <c r="B35" s="441"/>
      <c r="C35" s="441"/>
      <c r="D35" s="192" t="s">
        <v>82</v>
      </c>
      <c r="E35" s="192" t="s">
        <v>174</v>
      </c>
      <c r="F35" s="192" t="s">
        <v>174</v>
      </c>
      <c r="G35" s="192" t="s">
        <v>174</v>
      </c>
      <c r="H35" s="192" t="s">
        <v>174</v>
      </c>
      <c r="I35" s="192" t="s">
        <v>174</v>
      </c>
    </row>
    <row r="36" spans="2:9" ht="14.25" customHeight="1">
      <c r="B36" s="442"/>
      <c r="C36" s="442"/>
      <c r="D36" s="181" t="s">
        <v>294</v>
      </c>
      <c r="E36" s="181" t="s">
        <v>295</v>
      </c>
      <c r="F36" s="181" t="s">
        <v>296</v>
      </c>
      <c r="G36" s="181" t="s">
        <v>297</v>
      </c>
      <c r="H36" s="181" t="s">
        <v>298</v>
      </c>
      <c r="I36" s="181" t="s">
        <v>299</v>
      </c>
    </row>
    <row r="37" spans="2:9" ht="14.25" customHeight="1">
      <c r="B37" s="337" t="s">
        <v>5</v>
      </c>
      <c r="C37" s="196" t="s">
        <v>270</v>
      </c>
      <c r="D37" s="198">
        <f>BSL_ExPost!AF60</f>
        <v>1040.5889443214046</v>
      </c>
      <c r="E37" s="198">
        <f>BSL_ExPost_total!C9</f>
        <v>22269.614282979677</v>
      </c>
      <c r="F37" s="198">
        <f>BSL_ExPost_total!E9</f>
        <v>59769.046764658655</v>
      </c>
      <c r="G37" s="198">
        <f>BSL_ExPost_total!G9</f>
        <v>0</v>
      </c>
      <c r="H37" s="198">
        <f>BSL_ExPost_total!I9</f>
        <v>-6446.9461012253951</v>
      </c>
      <c r="I37" s="198">
        <f>BSL_ExPost_total!K9</f>
        <v>75591.714946412932</v>
      </c>
    </row>
    <row r="38" spans="2:9" ht="14.25" customHeight="1">
      <c r="B38" s="442"/>
      <c r="C38" s="196" t="s">
        <v>272</v>
      </c>
      <c r="D38" s="199">
        <f>J29</f>
        <v>0.48</v>
      </c>
      <c r="E38" s="199">
        <f>SQRT(((L20*L21)^2)+((F28*F29)^2)+((I28*I29)^2))/SUM(L20,F28,I28)</f>
        <v>0.16634977308239488</v>
      </c>
      <c r="F38" s="199">
        <f>SQRT(((L20*L21)^2)+((I28*I29)^2))/SUM(L20,I28)</f>
        <v>0.17986257175183454</v>
      </c>
      <c r="G38" s="199">
        <f>I29</f>
        <v>0.17171400672595025</v>
      </c>
      <c r="H38" s="199">
        <f>D38</f>
        <v>0.48</v>
      </c>
      <c r="I38" s="199">
        <f>SQRT( ((E37*E38)^2) + ((F37*F38)^2) + ((G37*G38)^2) + ((H37*H38)^2) )/SUM(E37,F37,G37,H37)</f>
        <v>0.15589248676163556</v>
      </c>
    </row>
    <row r="39" spans="2:9" ht="14.25" customHeight="1">
      <c r="B39" s="335" t="s">
        <v>6</v>
      </c>
      <c r="C39" s="200" t="s">
        <v>270</v>
      </c>
      <c r="D39" s="201">
        <f>BSL_ExPost!AG60</f>
        <v>596.74377704230187</v>
      </c>
      <c r="E39" s="201">
        <f>BSL_ExPost_total!D9</f>
        <v>3941.7513641758064</v>
      </c>
      <c r="F39" s="201">
        <f>BSL_ExPost_total!F9</f>
        <v>3448.146605841438</v>
      </c>
      <c r="G39" s="201">
        <f>BSL_ExPost_total!H9</f>
        <v>0</v>
      </c>
      <c r="H39" s="201">
        <f>BSL_ExPost_total!J9</f>
        <v>-1609.6392857190222</v>
      </c>
      <c r="I39" s="201">
        <f>BSL_ExPost_total!L9</f>
        <v>5780.2586842982219</v>
      </c>
    </row>
    <row r="40" spans="2:9" ht="14.25" customHeight="1">
      <c r="B40" s="442"/>
      <c r="C40" s="200" t="s">
        <v>272</v>
      </c>
      <c r="D40" s="202">
        <f>J31</f>
        <v>0.48</v>
      </c>
      <c r="E40" s="202">
        <f>SQRT(((L22*L23)^2)+((F30*F31)^2)+((I30*I31)^2))/SUM(L22,F30,I30)</f>
        <v>0.16603080480970728</v>
      </c>
      <c r="F40" s="202">
        <f>SQRT(((L22*L23)^2)+((I30*I31)^2))/SUM(L22,I30)</f>
        <v>0.17954885138241619</v>
      </c>
      <c r="G40" s="202">
        <f>G31</f>
        <v>0.17171400672595025</v>
      </c>
      <c r="H40" s="202">
        <f>D40</f>
        <v>0.48</v>
      </c>
      <c r="I40" s="202">
        <f>SQRT( ((E39*E40)^2) + ((F39*F40)^2) + ((G39*G40)^2) + ((H39*H40)^2) )/SUM(E39,F39,G39,H39)</f>
        <v>0.20532417889760676</v>
      </c>
    </row>
    <row r="41" spans="2:9" ht="14.25" customHeight="1"/>
    <row r="42" spans="2:9" ht="30" customHeight="1">
      <c r="H42" s="206" t="s">
        <v>300</v>
      </c>
      <c r="I42" s="207">
        <f>SQRT( ((I37*I38)^2) + ((I39*I40)^2)  )/SUM(I37,I39)</f>
        <v>0.14555127385825178</v>
      </c>
    </row>
    <row r="43" spans="2:9" ht="14.25" customHeight="1"/>
    <row r="44" spans="2:9" ht="14.25" customHeight="1"/>
    <row r="45" spans="2:9" ht="14.25" customHeight="1"/>
    <row r="46" spans="2:9" ht="14.25" customHeight="1"/>
    <row r="47" spans="2:9" ht="14.25" customHeight="1"/>
    <row r="48" spans="2:9"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3">
    <mergeCell ref="B39:B40"/>
    <mergeCell ref="B3:K7"/>
    <mergeCell ref="B17:B19"/>
    <mergeCell ref="C17:C19"/>
    <mergeCell ref="B20:B21"/>
    <mergeCell ref="B22:B23"/>
    <mergeCell ref="B25:B27"/>
    <mergeCell ref="C25:C27"/>
    <mergeCell ref="B28:B29"/>
    <mergeCell ref="B30:B31"/>
    <mergeCell ref="B34:B36"/>
    <mergeCell ref="C34:C36"/>
    <mergeCell ref="B37:B38"/>
  </mergeCell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Q1002"/>
  <sheetViews>
    <sheetView workbookViewId="0"/>
  </sheetViews>
  <sheetFormatPr defaultColWidth="14.42578125" defaultRowHeight="15" customHeight="1"/>
  <cols>
    <col min="1" max="1" width="18.28515625" customWidth="1"/>
    <col min="2" max="2" width="18" customWidth="1"/>
    <col min="3" max="3" width="18.7109375" customWidth="1"/>
    <col min="4" max="4" width="7.5703125" customWidth="1"/>
    <col min="5" max="5" width="10.140625" customWidth="1"/>
    <col min="6" max="6" width="6.42578125" customWidth="1"/>
    <col min="7" max="7" width="12.42578125" customWidth="1"/>
    <col min="8" max="8" width="16.140625" customWidth="1"/>
    <col min="11" max="11" width="13.7109375" customWidth="1"/>
    <col min="12" max="12" width="19.140625" customWidth="1"/>
    <col min="13" max="13" width="18.7109375" customWidth="1"/>
    <col min="14" max="14" width="18.28515625" customWidth="1"/>
    <col min="15" max="15" width="14.7109375" customWidth="1"/>
  </cols>
  <sheetData>
    <row r="2" spans="1:17" ht="14.45">
      <c r="B2" s="338" t="s">
        <v>184</v>
      </c>
      <c r="C2" s="443"/>
      <c r="D2" s="443"/>
      <c r="E2" s="443"/>
      <c r="F2" s="443"/>
      <c r="G2" s="443"/>
      <c r="H2" s="443"/>
      <c r="I2" s="443"/>
      <c r="J2" s="421"/>
    </row>
    <row r="3" spans="1:17" ht="14.45">
      <c r="B3" s="444"/>
      <c r="C3" s="396"/>
      <c r="D3" s="396"/>
      <c r="E3" s="396"/>
      <c r="F3" s="396"/>
      <c r="G3" s="396"/>
      <c r="H3" s="396"/>
      <c r="I3" s="396"/>
      <c r="J3" s="417"/>
    </row>
    <row r="4" spans="1:17" ht="14.45">
      <c r="B4" s="46"/>
      <c r="C4" s="46"/>
      <c r="D4" s="46"/>
      <c r="E4" s="46"/>
      <c r="F4" s="46"/>
      <c r="G4" s="46"/>
      <c r="H4" s="46"/>
      <c r="I4" s="46"/>
      <c r="J4" s="46"/>
    </row>
    <row r="5" spans="1:17" ht="33.75" customHeight="1">
      <c r="B5" s="445" t="s">
        <v>301</v>
      </c>
      <c r="C5" s="365"/>
      <c r="D5" s="365"/>
      <c r="E5" s="365"/>
      <c r="F5" s="365"/>
      <c r="G5" s="365"/>
      <c r="H5" s="365"/>
      <c r="I5" s="365"/>
      <c r="J5" s="365"/>
      <c r="K5" s="365"/>
    </row>
    <row r="7" spans="1:17" ht="39" customHeight="1">
      <c r="B7" s="446" t="s">
        <v>302</v>
      </c>
      <c r="C7" s="369"/>
      <c r="F7" s="46"/>
      <c r="G7" s="446" t="s">
        <v>303</v>
      </c>
      <c r="H7" s="369"/>
      <c r="I7" s="446" t="s">
        <v>304</v>
      </c>
      <c r="J7" s="369"/>
      <c r="K7" s="446" t="s">
        <v>305</v>
      </c>
      <c r="L7" s="369"/>
      <c r="M7" s="446" t="s">
        <v>306</v>
      </c>
      <c r="N7" s="369"/>
      <c r="P7" s="447" t="s">
        <v>307</v>
      </c>
      <c r="Q7" s="369"/>
    </row>
    <row r="8" spans="1:17" ht="14.45">
      <c r="B8" s="448" t="s">
        <v>308</v>
      </c>
      <c r="C8" s="369"/>
      <c r="F8" s="46"/>
      <c r="G8" s="448" t="s">
        <v>188</v>
      </c>
      <c r="H8" s="369"/>
      <c r="I8" s="448" t="s">
        <v>309</v>
      </c>
      <c r="J8" s="369"/>
      <c r="K8" s="448" t="s">
        <v>310</v>
      </c>
      <c r="L8" s="369"/>
      <c r="M8" s="448" t="s">
        <v>309</v>
      </c>
      <c r="N8" s="369"/>
      <c r="P8" s="447" t="s">
        <v>280</v>
      </c>
      <c r="Q8" s="369"/>
    </row>
    <row r="9" spans="1:17" ht="15" customHeight="1">
      <c r="A9" s="84" t="s">
        <v>311</v>
      </c>
      <c r="B9" s="208" t="s">
        <v>5</v>
      </c>
      <c r="C9" s="13" t="s">
        <v>6</v>
      </c>
      <c r="F9" s="46"/>
      <c r="G9" s="208" t="s">
        <v>5</v>
      </c>
      <c r="H9" s="13" t="s">
        <v>6</v>
      </c>
      <c r="I9" s="208" t="s">
        <v>5</v>
      </c>
      <c r="J9" s="13" t="s">
        <v>6</v>
      </c>
      <c r="K9" s="208" t="s">
        <v>5</v>
      </c>
      <c r="L9" s="13" t="s">
        <v>6</v>
      </c>
      <c r="M9" s="208" t="s">
        <v>5</v>
      </c>
      <c r="N9" s="13" t="s">
        <v>6</v>
      </c>
      <c r="P9" s="208" t="s">
        <v>312</v>
      </c>
      <c r="Q9" s="13" t="s">
        <v>313</v>
      </c>
    </row>
    <row r="10" spans="1:17" ht="16.5" customHeight="1">
      <c r="A10" s="46" t="s">
        <v>85</v>
      </c>
      <c r="B10" s="209">
        <f>BSL_ExPost!E10*BSL_ExPost!I10*BEF</f>
        <v>0.13655939339798598</v>
      </c>
      <c r="C10" s="209">
        <f>BSL_ExPost!F10*BSL_ExPost!I10*BEF</f>
        <v>8.5138716890327537E-2</v>
      </c>
      <c r="E10" s="340" t="s">
        <v>314</v>
      </c>
      <c r="F10" s="210">
        <v>5.0999999999999996</v>
      </c>
      <c r="G10" s="211">
        <f>Areas_TimberHarvestSchedule!E16</f>
        <v>2196</v>
      </c>
      <c r="H10" s="211">
        <f>Areas_TimberHarvestSchedule!F16</f>
        <v>251</v>
      </c>
      <c r="I10" s="212">
        <f t="shared" ref="I10:I11" si="0">$B$49*G10</f>
        <v>75600.540411038994</v>
      </c>
      <c r="J10" s="212">
        <f t="shared" ref="J10:J11" si="1">$C$49*H10</f>
        <v>5945.0059590159635</v>
      </c>
      <c r="K10" s="179">
        <v>442.30534640000002</v>
      </c>
      <c r="L10" s="179">
        <v>453.77625569999998</v>
      </c>
      <c r="M10" s="212">
        <f t="shared" ref="M10:N10" si="2">K10*G10</f>
        <v>971302.54069440009</v>
      </c>
      <c r="N10" s="212">
        <f t="shared" si="2"/>
        <v>113897.84018069999</v>
      </c>
      <c r="P10" s="213">
        <f t="shared" ref="P10:Q10" si="3">I12/M12</f>
        <v>7.6884214313254484E-2</v>
      </c>
      <c r="Q10" s="213">
        <f t="shared" si="3"/>
        <v>5.3392747551925357E-2</v>
      </c>
    </row>
    <row r="11" spans="1:17" ht="15" customHeight="1">
      <c r="A11" s="46" t="s">
        <v>87</v>
      </c>
      <c r="B11" s="209">
        <f>BSL_ExPost!E11*BSL_ExPost!I11*BEF</f>
        <v>0</v>
      </c>
      <c r="C11" s="209">
        <f>BSL_ExPost!F11*BSL_ExPost!I11*BEF</f>
        <v>0</v>
      </c>
      <c r="E11" s="442"/>
      <c r="F11" s="210">
        <v>5.2</v>
      </c>
      <c r="G11" s="211">
        <f>Areas_TimberHarvestSchedule!E17</f>
        <v>2095</v>
      </c>
      <c r="H11" s="211">
        <f>Areas_TimberHarvestSchedule!F17</f>
        <v>854</v>
      </c>
      <c r="I11" s="212">
        <f t="shared" si="0"/>
        <v>72123.466375740754</v>
      </c>
      <c r="J11" s="212">
        <f t="shared" si="1"/>
        <v>20227.231430277421</v>
      </c>
      <c r="K11" s="179">
        <v>453.49892929999999</v>
      </c>
      <c r="L11" s="179">
        <v>440.61538460000003</v>
      </c>
      <c r="M11" s="212">
        <f t="shared" ref="M11:N11" si="4">K11*G11</f>
        <v>950080.25688350003</v>
      </c>
      <c r="N11" s="212">
        <f t="shared" si="4"/>
        <v>376285.53844840004</v>
      </c>
      <c r="P11" s="182"/>
      <c r="Q11" s="182"/>
    </row>
    <row r="12" spans="1:17" ht="15" customHeight="1">
      <c r="A12" s="46" t="s">
        <v>89</v>
      </c>
      <c r="B12" s="209">
        <f>BSL_ExPost!E12*BSL_ExPost!I12*BEF</f>
        <v>0.23747139303254039</v>
      </c>
      <c r="C12" s="209">
        <f>BSL_ExPost!F12*BSL_ExPost!I12*BEF</f>
        <v>0.10326945461576115</v>
      </c>
      <c r="H12" s="214" t="s">
        <v>315</v>
      </c>
      <c r="I12" s="215">
        <f t="shared" ref="I12:J12" si="5">SUM(I10:I11)</f>
        <v>147724.00678677973</v>
      </c>
      <c r="J12" s="215">
        <f t="shared" si="5"/>
        <v>26172.237389293383</v>
      </c>
      <c r="M12" s="215">
        <f t="shared" ref="M12:N12" si="6">SUM(M10:M11)</f>
        <v>1921382.7975779001</v>
      </c>
      <c r="N12" s="215">
        <f t="shared" si="6"/>
        <v>490183.37862910004</v>
      </c>
      <c r="P12" s="182"/>
      <c r="Q12" s="182"/>
    </row>
    <row r="13" spans="1:17" ht="15" customHeight="1">
      <c r="A13" s="46" t="s">
        <v>91</v>
      </c>
      <c r="B13" s="209">
        <f>BSL_ExPost!E13*BSL_ExPost!I13*BEF</f>
        <v>0.23766547504378766</v>
      </c>
      <c r="C13" s="209">
        <f>BSL_ExPost!F13*BSL_ExPost!I13*BEF</f>
        <v>8.0471940842809661E-2</v>
      </c>
      <c r="I13" s="339" t="s">
        <v>315</v>
      </c>
      <c r="J13" s="356"/>
      <c r="M13" s="339" t="s">
        <v>315</v>
      </c>
      <c r="N13" s="356"/>
    </row>
    <row r="14" spans="1:17" ht="15" customHeight="1">
      <c r="A14" s="46" t="s">
        <v>93</v>
      </c>
      <c r="B14" s="209">
        <f>BSL_ExPost!E14*BSL_ExPost!I14*BEF</f>
        <v>0.19411068677557172</v>
      </c>
      <c r="C14" s="209">
        <f>BSL_ExPost!F14*BSL_ExPost!I14*BEF</f>
        <v>9.0532334393738562E-2</v>
      </c>
    </row>
    <row r="15" spans="1:17" ht="15" customHeight="1">
      <c r="A15" s="46" t="s">
        <v>95</v>
      </c>
      <c r="B15" s="209">
        <f>BSL_ExPost!E15*BSL_ExPost!I15*BEF</f>
        <v>7.9789145141855367E-2</v>
      </c>
      <c r="C15" s="209">
        <f>BSL_ExPost!F15*BSL_ExPost!I15*BEF</f>
        <v>2.2885834474493681E-2</v>
      </c>
    </row>
    <row r="16" spans="1:17" ht="15" customHeight="1">
      <c r="A16" s="46" t="s">
        <v>97</v>
      </c>
      <c r="B16" s="209">
        <f>BSL_ExPost!E16*BSL_ExPost!I16*BEF</f>
        <v>0.15018318563804639</v>
      </c>
      <c r="C16" s="209">
        <f>BSL_ExPost!F16*BSL_ExPost!I16*BEF</f>
        <v>8.396323858871875E-2</v>
      </c>
      <c r="P16" s="182"/>
      <c r="Q16" s="182"/>
    </row>
    <row r="17" spans="1:17" ht="15" customHeight="1">
      <c r="A17" s="46" t="s">
        <v>99</v>
      </c>
      <c r="B17" s="209">
        <f>BSL_ExPost!E17*BSL_ExPost!I17*BEF</f>
        <v>0.65344461615884886</v>
      </c>
      <c r="C17" s="209">
        <f>BSL_ExPost!F17*BSL_ExPost!I17*BEF</f>
        <v>0.29807818231864952</v>
      </c>
      <c r="P17" s="182"/>
      <c r="Q17" s="182"/>
    </row>
    <row r="18" spans="1:17" ht="15" customHeight="1">
      <c r="A18" s="46" t="s">
        <v>101</v>
      </c>
      <c r="B18" s="209">
        <f>BSL_ExPost!E18*BSL_ExPost!I18*BEF</f>
        <v>5.43344579532915</v>
      </c>
      <c r="C18" s="209">
        <f>BSL_ExPost!F18*BSL_ExPost!I18*BEF</f>
        <v>3.8263747085220139</v>
      </c>
      <c r="P18" s="182"/>
      <c r="Q18" s="182"/>
    </row>
    <row r="19" spans="1:17" ht="15" customHeight="1">
      <c r="A19" s="46" t="s">
        <v>103</v>
      </c>
      <c r="B19" s="209">
        <f>BSL_ExPost!E19*BSL_ExPost!I19*BEF</f>
        <v>2.8049502804378168</v>
      </c>
      <c r="C19" s="209">
        <f>BSL_ExPost!F19*BSL_ExPost!I19*BEF</f>
        <v>1.9998179893623049</v>
      </c>
      <c r="L19" s="46" t="s">
        <v>316</v>
      </c>
    </row>
    <row r="20" spans="1:17" ht="15" customHeight="1">
      <c r="A20" s="46" t="s">
        <v>105</v>
      </c>
      <c r="B20" s="209">
        <f>BSL_ExPost!E20*BSL_ExPost!I20*BEF</f>
        <v>0.5870994569112753</v>
      </c>
      <c r="C20" s="209">
        <f>BSL_ExPost!F20*BSL_ExPost!I20*BEF</f>
        <v>0.19435246775273962</v>
      </c>
    </row>
    <row r="21" spans="1:17" ht="15" customHeight="1">
      <c r="A21" s="46" t="s">
        <v>107</v>
      </c>
      <c r="B21" s="209">
        <f>BSL_ExPost!E21*BSL_ExPost!I21*BEF</f>
        <v>0.31236045402942458</v>
      </c>
      <c r="C21" s="209">
        <f>BSL_ExPost!F21*BSL_ExPost!I21*BEF</f>
        <v>9.621988577882587E-2</v>
      </c>
    </row>
    <row r="22" spans="1:17" ht="15" customHeight="1">
      <c r="A22" s="46" t="s">
        <v>109</v>
      </c>
      <c r="B22" s="209">
        <f>BSL_ExPost!E22*BSL_ExPost!I22*BEF</f>
        <v>0.25423762769773589</v>
      </c>
      <c r="C22" s="209">
        <f>BSL_ExPost!F22*BSL_ExPost!I22*BEF</f>
        <v>7.7299934696955022E-2</v>
      </c>
    </row>
    <row r="23" spans="1:17" ht="15" customHeight="1">
      <c r="A23" s="46" t="s">
        <v>111</v>
      </c>
      <c r="B23" s="209">
        <f>BSL_ExPost!E23*BSL_ExPost!I23*BEF</f>
        <v>0.21860579127213328</v>
      </c>
      <c r="C23" s="209">
        <f>BSL_ExPost!F23*BSL_ExPost!I23*BEF</f>
        <v>9.2539292603052797E-2</v>
      </c>
    </row>
    <row r="24" spans="1:17" ht="15" customHeight="1">
      <c r="A24" s="46" t="s">
        <v>113</v>
      </c>
      <c r="B24" s="209">
        <f>BSL_ExPost!E24*BSL_ExPost!I24*BEF</f>
        <v>0.39033573100031316</v>
      </c>
      <c r="C24" s="209">
        <f>BSL_ExPost!F24*BSL_ExPost!I24*BEF</f>
        <v>0.16377730549713418</v>
      </c>
    </row>
    <row r="25" spans="1:17" ht="15" customHeight="1">
      <c r="A25" s="46" t="s">
        <v>115</v>
      </c>
      <c r="B25" s="209">
        <f>BSL_ExPost!E25*BSL_ExPost!I25*BEF</f>
        <v>0.17299656763306723</v>
      </c>
      <c r="C25" s="209">
        <f>BSL_ExPost!F25*BSL_ExPost!I25*BEF</f>
        <v>0.11283795020164117</v>
      </c>
    </row>
    <row r="26" spans="1:17" ht="15" customHeight="1">
      <c r="A26" s="46" t="s">
        <v>117</v>
      </c>
      <c r="B26" s="209">
        <f>BSL_ExPost!E26*BSL_ExPost!I26*BEF</f>
        <v>0.56946984055262928</v>
      </c>
      <c r="C26" s="209">
        <f>BSL_ExPost!F26*BSL_ExPost!I26*BEF</f>
        <v>0.29985367594651563</v>
      </c>
    </row>
    <row r="27" spans="1:17" ht="15" customHeight="1">
      <c r="A27" s="46" t="s">
        <v>119</v>
      </c>
      <c r="B27" s="209">
        <f>BSL_ExPost!E27*BSL_ExPost!I27*BEF</f>
        <v>0.80575685816660358</v>
      </c>
      <c r="C27" s="209">
        <f>BSL_ExPost!F27*BSL_ExPost!I27*BEF</f>
        <v>0.2856640412249235</v>
      </c>
    </row>
    <row r="28" spans="1:17" ht="15" customHeight="1">
      <c r="A28" s="46" t="s">
        <v>121</v>
      </c>
      <c r="B28" s="209">
        <f>BSL_ExPost!E28*BSL_ExPost!I28*BEF</f>
        <v>2.9190672966499329E-2</v>
      </c>
      <c r="C28" s="209">
        <f>BSL_ExPost!F28*BSL_ExPost!I28*BEF</f>
        <v>0</v>
      </c>
    </row>
    <row r="29" spans="1:17" ht="15" customHeight="1">
      <c r="A29" s="46" t="s">
        <v>123</v>
      </c>
      <c r="B29" s="209">
        <f>BSL_ExPost!E29*BSL_ExPost!I29*BEF</f>
        <v>0.42428764051018364</v>
      </c>
      <c r="C29" s="209">
        <f>BSL_ExPost!F29*BSL_ExPost!I29*BEF</f>
        <v>0.26618021494384064</v>
      </c>
    </row>
    <row r="30" spans="1:17" ht="15" customHeight="1">
      <c r="A30" s="46" t="s">
        <v>125</v>
      </c>
      <c r="B30" s="209">
        <f>BSL_ExPost!E30*BSL_ExPost!I30*BEF</f>
        <v>1.8619960495466766E-2</v>
      </c>
      <c r="C30" s="209">
        <f>BSL_ExPost!F30*BSL_ExPost!I30*BEF</f>
        <v>4.2190084274239023E-2</v>
      </c>
    </row>
    <row r="31" spans="1:17" ht="15" customHeight="1">
      <c r="A31" s="46" t="s">
        <v>127</v>
      </c>
      <c r="B31" s="209">
        <f>BSL_ExPost!E31*BSL_ExPost!I31*BEF</f>
        <v>0.89189974076438283</v>
      </c>
      <c r="C31" s="209">
        <f>BSL_ExPost!F31*BSL_ExPost!I31*BEF</f>
        <v>0.70572971389474937</v>
      </c>
    </row>
    <row r="32" spans="1:17" ht="15" customHeight="1">
      <c r="A32" s="46" t="s">
        <v>129</v>
      </c>
      <c r="B32" s="209">
        <f>BSL_ExPost!E32*BSL_ExPost!I32*BEF</f>
        <v>0.85244586419387902</v>
      </c>
      <c r="C32" s="209">
        <f>BSL_ExPost!F32*BSL_ExPost!I32*BEF</f>
        <v>0.42096133373723532</v>
      </c>
    </row>
    <row r="33" spans="1:3" ht="15" customHeight="1">
      <c r="A33" s="46" t="s">
        <v>131</v>
      </c>
      <c r="B33" s="209">
        <f>BSL_ExPost!E33*BSL_ExPost!I33*BEF</f>
        <v>5.9742892909684944</v>
      </c>
      <c r="C33" s="209">
        <f>BSL_ExPost!F33*BSL_ExPost!I33*BEF</f>
        <v>4.0164640677004089</v>
      </c>
    </row>
    <row r="34" spans="1:3" ht="15" customHeight="1">
      <c r="A34" s="46" t="s">
        <v>133</v>
      </c>
      <c r="B34" s="209">
        <f>BSL_ExPost!E34*BSL_ExPost!I34*BEF</f>
        <v>9.4966688597217727E-2</v>
      </c>
      <c r="C34" s="209">
        <f>BSL_ExPost!F34*BSL_ExPost!I34*BEF</f>
        <v>6.3172005867973932E-2</v>
      </c>
    </row>
    <row r="35" spans="1:3" ht="15" customHeight="1">
      <c r="A35" s="46" t="s">
        <v>135</v>
      </c>
      <c r="B35" s="209">
        <f>BSL_ExPost!E35*BSL_ExPost!I35*BEF</f>
        <v>0.87067763308457247</v>
      </c>
      <c r="C35" s="209">
        <f>BSL_ExPost!F35*BSL_ExPost!I35*BEF</f>
        <v>0.56603908124042768</v>
      </c>
    </row>
    <row r="36" spans="1:3" ht="15" customHeight="1">
      <c r="A36" s="46" t="s">
        <v>137</v>
      </c>
      <c r="B36" s="209">
        <f>BSL_ExPost!E36*BSL_ExPost!I36*BEF</f>
        <v>0.27726859681490607</v>
      </c>
      <c r="C36" s="209">
        <f>BSL_ExPost!F36*BSL_ExPost!I36*BEF</f>
        <v>5.2056410597836472E-2</v>
      </c>
    </row>
    <row r="37" spans="1:3" ht="15" customHeight="1">
      <c r="A37" s="46" t="s">
        <v>139</v>
      </c>
      <c r="B37" s="209">
        <f>BSL_ExPost!E37*BSL_ExPost!I37*BEF</f>
        <v>1.098046456258023</v>
      </c>
      <c r="C37" s="209">
        <f>BSL_ExPost!F37*BSL_ExPost!I37*BEF</f>
        <v>0.70222170368279091</v>
      </c>
    </row>
    <row r="38" spans="1:3" ht="15" customHeight="1">
      <c r="A38" s="46" t="s">
        <v>141</v>
      </c>
      <c r="B38" s="209">
        <f>BSL_ExPost!E38*BSL_ExPost!I38*BEF</f>
        <v>0.39742970884795659</v>
      </c>
      <c r="C38" s="209">
        <f>BSL_ExPost!F38*BSL_ExPost!I38*BEF</f>
        <v>0.14025980198189478</v>
      </c>
    </row>
    <row r="39" spans="1:3" ht="15" customHeight="1">
      <c r="A39" s="46" t="s">
        <v>143</v>
      </c>
      <c r="B39" s="209">
        <f>BSL_ExPost!E39*BSL_ExPost!I39*BEF</f>
        <v>0.20018613424679713</v>
      </c>
      <c r="C39" s="209">
        <f>BSL_ExPost!F39*BSL_ExPost!I39*BEF</f>
        <v>6.8569493011298804E-2</v>
      </c>
    </row>
    <row r="40" spans="1:3" ht="15" customHeight="1">
      <c r="A40" s="46" t="s">
        <v>145</v>
      </c>
      <c r="B40" s="209">
        <f>BSL_ExPost!E40*BSL_ExPost!I40*BEF</f>
        <v>0.73815370027206995</v>
      </c>
      <c r="C40" s="209">
        <f>BSL_ExPost!F40*BSL_ExPost!I40*BEF</f>
        <v>0.56158090150484408</v>
      </c>
    </row>
    <row r="41" spans="1:3" ht="15" customHeight="1">
      <c r="A41" s="46" t="s">
        <v>147</v>
      </c>
      <c r="B41" s="209">
        <f>BSL_ExPost!E41*BSL_ExPost!I41*BEF</f>
        <v>9.2411955903955678E-2</v>
      </c>
      <c r="C41" s="209">
        <f>BSL_ExPost!F41*BSL_ExPost!I41*BEF</f>
        <v>2.2751218017570157E-2</v>
      </c>
    </row>
    <row r="42" spans="1:3" ht="15" customHeight="1">
      <c r="A42" s="46" t="s">
        <v>149</v>
      </c>
      <c r="B42" s="209">
        <f>BSL_ExPost!E42*BSL_ExPost!I42*BEF</f>
        <v>0.72446522597442431</v>
      </c>
      <c r="C42" s="209">
        <f>BSL_ExPost!F42*BSL_ExPost!I42*BEF</f>
        <v>0.50593474157278195</v>
      </c>
    </row>
    <row r="43" spans="1:3" ht="15" customHeight="1">
      <c r="A43" s="46" t="s">
        <v>151</v>
      </c>
      <c r="B43" s="209">
        <f>BSL_ExPost!E43*BSL_ExPost!I43*BEF</f>
        <v>0.21669148060671492</v>
      </c>
      <c r="C43" s="209">
        <f>BSL_ExPost!F43*BSL_ExPost!I43*BEF</f>
        <v>0.12952042622618717</v>
      </c>
    </row>
    <row r="44" spans="1:3" ht="15" customHeight="1">
      <c r="A44" s="46" t="s">
        <v>153</v>
      </c>
      <c r="B44" s="209">
        <f>BSL_ExPost!E44*BSL_ExPost!I44*BEF</f>
        <v>1.225784936601634</v>
      </c>
      <c r="C44" s="209">
        <f>BSL_ExPost!F44*BSL_ExPost!I44*BEF</f>
        <v>0.99328203261773584</v>
      </c>
    </row>
    <row r="45" spans="1:3" ht="15" customHeight="1">
      <c r="A45" s="46" t="s">
        <v>155</v>
      </c>
      <c r="B45" s="209">
        <f>BSL_ExPost!E45*BSL_ExPost!I45*BEF</f>
        <v>5.5032918101550345</v>
      </c>
      <c r="C45" s="209">
        <f>BSL_ExPost!F45*BSL_ExPost!I45*BEF</f>
        <v>5.6738172987158872</v>
      </c>
    </row>
    <row r="46" spans="1:3" ht="15" customHeight="1">
      <c r="A46" s="46" t="s">
        <v>157</v>
      </c>
      <c r="B46" s="209">
        <f>BSL_ExPost!E46*BSL_ExPost!I46*BEF</f>
        <v>0.28809056503478031</v>
      </c>
      <c r="C46" s="209">
        <f>BSL_ExPost!F46*BSL_ExPost!I46*BEF</f>
        <v>8.1083138173321162E-2</v>
      </c>
    </row>
    <row r="47" spans="1:3" ht="15" customHeight="1">
      <c r="A47" s="46" t="s">
        <v>159</v>
      </c>
      <c r="B47" s="209">
        <f>BSL_ExPost!E47*BSL_ExPost!I47*BEF</f>
        <v>1.0234079903108932</v>
      </c>
      <c r="C47" s="209">
        <f>BSL_ExPost!F47*BSL_ExPost!I47*BEF</f>
        <v>0.64333680621287215</v>
      </c>
    </row>
    <row r="48" spans="1:3" ht="15" customHeight="1">
      <c r="A48" s="46" t="s">
        <v>161</v>
      </c>
      <c r="B48" s="209">
        <f>BSL_ExPost!E48*BSL_ExPost!I48*BEF</f>
        <v>0.24638724618562358</v>
      </c>
      <c r="C48" s="209">
        <f>BSL_ExPost!F48*BSL_ExPost!I48*BEF</f>
        <v>0.11705527755838707</v>
      </c>
    </row>
    <row r="49" spans="1:3" ht="15" customHeight="1">
      <c r="A49" s="111" t="s">
        <v>7</v>
      </c>
      <c r="B49" s="216">
        <f t="shared" ref="B49:C49" si="7">SUM(B10:B48)</f>
        <v>34.426475597012292</v>
      </c>
      <c r="C49" s="216">
        <f t="shared" si="7"/>
        <v>23.685282705242884</v>
      </c>
    </row>
    <row r="50" spans="1:3" ht="15.75" customHeight="1"/>
    <row r="51" spans="1:3" ht="15" customHeight="1">
      <c r="B51" s="157"/>
      <c r="C51" s="157"/>
    </row>
    <row r="52" spans="1:3" ht="15.75" customHeight="1"/>
    <row r="53" spans="1:3" ht="15.75" customHeight="1"/>
    <row r="54" spans="1:3" ht="15.75" customHeight="1"/>
    <row r="55" spans="1:3" ht="15.75" customHeight="1"/>
    <row r="56" spans="1:3" ht="15.75" customHeight="1"/>
    <row r="57" spans="1:3" ht="15.75" customHeight="1"/>
    <row r="58" spans="1:3" ht="15.75" customHeight="1"/>
    <row r="59" spans="1:3" ht="15.75" customHeight="1"/>
    <row r="60" spans="1:3" ht="15.75" customHeight="1"/>
    <row r="61" spans="1:3" ht="15.75" customHeight="1"/>
    <row r="62" spans="1:3" ht="15.75" customHeight="1"/>
    <row r="63" spans="1:3" ht="15.75" customHeight="1"/>
    <row r="64" spans="1: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7">
    <mergeCell ref="E10:E11"/>
    <mergeCell ref="B8:C8"/>
    <mergeCell ref="G8:H8"/>
    <mergeCell ref="K8:L8"/>
    <mergeCell ref="M8:N8"/>
    <mergeCell ref="P8:Q8"/>
    <mergeCell ref="M7:N7"/>
    <mergeCell ref="P7:Q7"/>
    <mergeCell ref="I8:J8"/>
    <mergeCell ref="I13:J13"/>
    <mergeCell ref="M13:N13"/>
    <mergeCell ref="B2:J3"/>
    <mergeCell ref="B5:K5"/>
    <mergeCell ref="G7:H7"/>
    <mergeCell ref="I7:J7"/>
    <mergeCell ref="K7:L7"/>
    <mergeCell ref="B7:C7"/>
  </mergeCells>
  <pageMargins left="0.7" right="0.7" top="0.75" bottom="0.75" header="0" footer="0"/>
  <pageSetup orientation="landscape"/>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L1000"/>
  <sheetViews>
    <sheetView topLeftCell="A65" workbookViewId="0"/>
  </sheetViews>
  <sheetFormatPr defaultColWidth="14.42578125" defaultRowHeight="15" customHeight="1"/>
  <cols>
    <col min="2" max="2" width="21.28515625" customWidth="1"/>
    <col min="3" max="3" width="19.28515625" customWidth="1"/>
    <col min="4" max="4" width="29" customWidth="1"/>
    <col min="5" max="5" width="17.28515625" customWidth="1"/>
    <col min="6" max="6" width="20.7109375" customWidth="1"/>
    <col min="7" max="7" width="20.28515625" customWidth="1"/>
    <col min="8" max="8" width="16" customWidth="1"/>
    <col min="9" max="9" width="11.42578125" customWidth="1"/>
    <col min="10" max="10" width="35.7109375" customWidth="1"/>
  </cols>
  <sheetData>
    <row r="3" spans="2:10" ht="14.45">
      <c r="B3" s="449" t="s">
        <v>317</v>
      </c>
      <c r="C3" s="353"/>
      <c r="D3" s="353"/>
      <c r="E3" s="353"/>
      <c r="F3" s="354"/>
    </row>
    <row r="4" spans="2:10" ht="14.45">
      <c r="B4" s="358"/>
      <c r="C4" s="359"/>
      <c r="D4" s="359"/>
      <c r="E4" s="359"/>
      <c r="F4" s="360"/>
    </row>
    <row r="5" spans="2:10" ht="14.45">
      <c r="F5" s="46"/>
    </row>
    <row r="6" spans="2:10" ht="14.45">
      <c r="F6" s="46"/>
    </row>
    <row r="7" spans="2:10" ht="14.45">
      <c r="D7" s="46"/>
      <c r="E7" s="46"/>
      <c r="F7" s="46"/>
    </row>
    <row r="8" spans="2:10" ht="48.75" customHeight="1">
      <c r="B8" s="217" t="s">
        <v>318</v>
      </c>
      <c r="C8" s="217" t="s">
        <v>319</v>
      </c>
      <c r="D8" s="217" t="s">
        <v>320</v>
      </c>
      <c r="E8" s="217" t="s">
        <v>321</v>
      </c>
      <c r="F8" s="217" t="s">
        <v>322</v>
      </c>
      <c r="G8" s="217" t="s">
        <v>323</v>
      </c>
      <c r="H8" s="217" t="s">
        <v>324</v>
      </c>
      <c r="J8" s="218" t="s">
        <v>325</v>
      </c>
    </row>
    <row r="9" spans="2:10" ht="14.45">
      <c r="B9" s="219"/>
      <c r="C9" s="220" t="s">
        <v>188</v>
      </c>
      <c r="D9" s="219" t="s">
        <v>310</v>
      </c>
      <c r="E9" s="220" t="s">
        <v>188</v>
      </c>
      <c r="F9" s="220" t="s">
        <v>260</v>
      </c>
      <c r="G9" s="221" t="s">
        <v>309</v>
      </c>
      <c r="H9" s="220" t="s">
        <v>309</v>
      </c>
      <c r="J9" s="222" t="s">
        <v>280</v>
      </c>
    </row>
    <row r="10" spans="2:10" ht="14.45">
      <c r="B10" s="181" t="s">
        <v>326</v>
      </c>
      <c r="C10" s="153">
        <v>48554</v>
      </c>
      <c r="D10" s="181">
        <v>472</v>
      </c>
      <c r="E10" s="153">
        <v>48554</v>
      </c>
      <c r="F10" s="153">
        <v>2506630</v>
      </c>
      <c r="G10" s="223">
        <v>2038333.6706923081</v>
      </c>
      <c r="H10" s="223">
        <f t="shared" ref="H10:H19" si="0">D10*E10</f>
        <v>22917488</v>
      </c>
      <c r="J10" s="224">
        <f>G20/H20</f>
        <v>8.9087947648099935E-2</v>
      </c>
    </row>
    <row r="11" spans="2:10" ht="15.6">
      <c r="B11" s="181" t="s">
        <v>327</v>
      </c>
      <c r="C11" s="153">
        <v>59340</v>
      </c>
      <c r="D11" s="181">
        <v>479</v>
      </c>
      <c r="E11" s="153">
        <v>54867</v>
      </c>
      <c r="F11" s="153">
        <v>2098703</v>
      </c>
      <c r="G11" s="223">
        <v>1706616.8479923077</v>
      </c>
      <c r="H11" s="223">
        <f t="shared" si="0"/>
        <v>26281293</v>
      </c>
      <c r="J11" s="111" t="s">
        <v>328</v>
      </c>
    </row>
    <row r="12" spans="2:10" ht="14.45">
      <c r="B12" s="181" t="s">
        <v>329</v>
      </c>
      <c r="C12" s="153">
        <v>50752</v>
      </c>
      <c r="D12" s="181">
        <v>464</v>
      </c>
      <c r="E12" s="153">
        <v>41800</v>
      </c>
      <c r="F12" s="153">
        <v>2427558</v>
      </c>
      <c r="G12" s="223">
        <v>1974034.1450307695</v>
      </c>
      <c r="H12" s="223">
        <f t="shared" si="0"/>
        <v>19395200</v>
      </c>
    </row>
    <row r="13" spans="2:10" ht="14.45">
      <c r="B13" s="181" t="s">
        <v>330</v>
      </c>
      <c r="C13" s="153">
        <v>130273</v>
      </c>
      <c r="D13" s="181">
        <v>420</v>
      </c>
      <c r="E13" s="153">
        <v>117783</v>
      </c>
      <c r="F13" s="153">
        <v>5814506</v>
      </c>
      <c r="G13" s="223">
        <v>4728222.0982923079</v>
      </c>
      <c r="H13" s="223">
        <f t="shared" si="0"/>
        <v>49468860</v>
      </c>
    </row>
    <row r="14" spans="2:10" ht="14.45">
      <c r="B14" s="181" t="s">
        <v>331</v>
      </c>
      <c r="C14" s="153">
        <v>68916</v>
      </c>
      <c r="D14" s="181">
        <v>460</v>
      </c>
      <c r="E14" s="153">
        <v>66428</v>
      </c>
      <c r="F14" s="153">
        <v>4836344</v>
      </c>
      <c r="G14" s="223">
        <v>3932803.3328615385</v>
      </c>
      <c r="H14" s="223">
        <f t="shared" si="0"/>
        <v>30556880</v>
      </c>
    </row>
    <row r="15" spans="2:10" ht="14.45">
      <c r="B15" s="181" t="s">
        <v>332</v>
      </c>
      <c r="C15" s="153">
        <v>56298</v>
      </c>
      <c r="D15" s="181">
        <v>416</v>
      </c>
      <c r="E15" s="153">
        <v>52792</v>
      </c>
      <c r="F15" s="153">
        <v>1595704</v>
      </c>
      <c r="G15" s="223">
        <v>1297589.6688615386</v>
      </c>
      <c r="H15" s="223">
        <f t="shared" si="0"/>
        <v>21961472</v>
      </c>
    </row>
    <row r="16" spans="2:10" ht="14.45">
      <c r="B16" s="181" t="s">
        <v>333</v>
      </c>
      <c r="C16" s="153">
        <v>92287</v>
      </c>
      <c r="D16" s="181">
        <v>470</v>
      </c>
      <c r="E16" s="153">
        <v>63950</v>
      </c>
      <c r="F16" s="153">
        <v>3269360</v>
      </c>
      <c r="G16" s="223">
        <v>2658568.1052307696</v>
      </c>
      <c r="H16" s="223">
        <f t="shared" si="0"/>
        <v>30056500</v>
      </c>
    </row>
    <row r="17" spans="2:12" ht="14.45">
      <c r="B17" s="181" t="s">
        <v>334</v>
      </c>
      <c r="C17" s="153">
        <v>66688</v>
      </c>
      <c r="D17" s="181">
        <v>478</v>
      </c>
      <c r="E17" s="153">
        <v>91520</v>
      </c>
      <c r="F17" s="153">
        <v>3345517</v>
      </c>
      <c r="G17" s="223">
        <v>2720497.2201615386</v>
      </c>
      <c r="H17" s="223">
        <f t="shared" si="0"/>
        <v>43746560</v>
      </c>
    </row>
    <row r="18" spans="2:12" ht="14.45">
      <c r="B18" s="181" t="s">
        <v>335</v>
      </c>
      <c r="C18" s="153">
        <v>122294</v>
      </c>
      <c r="D18" s="181">
        <v>454</v>
      </c>
      <c r="E18" s="153">
        <v>112896</v>
      </c>
      <c r="F18" s="153">
        <v>5738007</v>
      </c>
      <c r="G18" s="223">
        <v>4666014.8768538469</v>
      </c>
      <c r="H18" s="223">
        <f t="shared" si="0"/>
        <v>51254784</v>
      </c>
    </row>
    <row r="19" spans="2:12" ht="14.45">
      <c r="B19" s="181" t="s">
        <v>336</v>
      </c>
      <c r="C19" s="153">
        <v>89322</v>
      </c>
      <c r="D19" s="181">
        <v>433</v>
      </c>
      <c r="E19" s="153">
        <v>88320</v>
      </c>
      <c r="F19" s="153">
        <v>4946213</v>
      </c>
      <c r="G19" s="223">
        <v>4022146.2682230775</v>
      </c>
      <c r="H19" s="223">
        <f t="shared" si="0"/>
        <v>38242560</v>
      </c>
    </row>
    <row r="20" spans="2:12" ht="14.45">
      <c r="G20" s="225">
        <f t="shared" ref="G20:H20" si="1">SUM(G10:G19)</f>
        <v>29744826.234200001</v>
      </c>
      <c r="H20" s="225">
        <f t="shared" si="1"/>
        <v>333881597</v>
      </c>
      <c r="J20" s="106"/>
      <c r="K20" s="106"/>
      <c r="L20" s="226"/>
    </row>
    <row r="21" spans="2:12" ht="15.75" customHeight="1">
      <c r="G21" s="339" t="s">
        <v>315</v>
      </c>
      <c r="H21" s="356"/>
    </row>
    <row r="22" spans="2:12" ht="15.75" customHeight="1"/>
    <row r="23" spans="2:12" ht="15.75" customHeight="1"/>
    <row r="24" spans="2:12" ht="15.75" customHeight="1"/>
    <row r="25" spans="2:12" ht="15" customHeight="1">
      <c r="B25" s="449" t="s">
        <v>337</v>
      </c>
      <c r="C25" s="353"/>
      <c r="D25" s="353"/>
      <c r="E25" s="353"/>
      <c r="F25" s="354"/>
    </row>
    <row r="26" spans="2:12" ht="15.75" customHeight="1">
      <c r="B26" s="358"/>
      <c r="C26" s="359"/>
      <c r="D26" s="359"/>
      <c r="E26" s="359"/>
      <c r="F26" s="360"/>
    </row>
    <row r="27" spans="2:12" ht="15.75" customHeight="1"/>
    <row r="28" spans="2:12" ht="30">
      <c r="B28" s="208" t="s">
        <v>338</v>
      </c>
      <c r="C28" s="227">
        <f>(J10/MarketLeakage_PMP!P10)-1</f>
        <v>0.15872872531574522</v>
      </c>
      <c r="E28" s="228" t="s">
        <v>339</v>
      </c>
    </row>
    <row r="29" spans="2:12" ht="15.75" customHeight="1">
      <c r="B29" s="13" t="s">
        <v>340</v>
      </c>
      <c r="C29" s="227">
        <f>(J10/MarketLeakage_PMP!Q10)-1</f>
        <v>0.66854023688255393</v>
      </c>
      <c r="E29" s="229">
        <v>0.2</v>
      </c>
    </row>
    <row r="30" spans="2:12" ht="15.75" customHeight="1"/>
    <row r="31" spans="2:12" ht="15.75" customHeight="1"/>
    <row r="32" spans="2: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B3:F4"/>
    <mergeCell ref="G21:H21"/>
    <mergeCell ref="B25:F26"/>
  </mergeCells>
  <pageMargins left="0.7" right="0.7" top="0.75" bottom="0.75" header="0" footer="0"/>
  <pageSetup orientation="landscape"/>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C1:G1000"/>
  <sheetViews>
    <sheetView tabSelected="1" workbookViewId="0">
      <selection activeCell="C24" sqref="C24"/>
    </sheetView>
  </sheetViews>
  <sheetFormatPr defaultColWidth="14.42578125" defaultRowHeight="15" customHeight="1"/>
  <cols>
    <col min="1" max="2" width="8.7109375" customWidth="1"/>
    <col min="3" max="3" width="29.7109375" customWidth="1"/>
    <col min="4" max="4" width="28.140625" customWidth="1"/>
    <col min="5" max="5" width="18" customWidth="1"/>
    <col min="6" max="6" width="36.5703125" customWidth="1"/>
    <col min="7" max="7" width="15.5703125" customWidth="1"/>
    <col min="8" max="26" width="8.7109375" customWidth="1"/>
  </cols>
  <sheetData>
    <row r="1" spans="3:7" ht="14.25" customHeight="1"/>
    <row r="2" spans="3:7" ht="14.25" customHeight="1"/>
    <row r="3" spans="3:7" ht="14.25" customHeight="1"/>
    <row r="4" spans="3:7" ht="88.5" customHeight="1">
      <c r="C4" s="303" t="s">
        <v>341</v>
      </c>
      <c r="D4" s="303" t="s">
        <v>342</v>
      </c>
      <c r="E4" s="304" t="s">
        <v>343</v>
      </c>
      <c r="F4" s="303" t="s">
        <v>344</v>
      </c>
      <c r="G4" s="305"/>
    </row>
    <row r="5" spans="3:7" ht="14.25" customHeight="1">
      <c r="C5" s="305"/>
      <c r="D5" s="305"/>
      <c r="E5" s="305"/>
      <c r="F5" s="306"/>
      <c r="G5" s="305"/>
    </row>
    <row r="6" spans="3:7" ht="40.5" customHeight="1">
      <c r="C6" s="307" t="s">
        <v>345</v>
      </c>
      <c r="D6" s="307" t="s">
        <v>346</v>
      </c>
      <c r="E6" s="307" t="s">
        <v>347</v>
      </c>
      <c r="F6" s="308" t="s">
        <v>348</v>
      </c>
      <c r="G6" s="305"/>
    </row>
    <row r="7" spans="3:7" ht="14.25" customHeight="1">
      <c r="C7" s="298" t="s">
        <v>349</v>
      </c>
      <c r="D7" s="298" t="s">
        <v>349</v>
      </c>
      <c r="E7" s="298" t="s">
        <v>349</v>
      </c>
      <c r="F7" s="309" t="s">
        <v>350</v>
      </c>
      <c r="G7" s="305"/>
    </row>
    <row r="8" spans="3:7" ht="14.25" customHeight="1">
      <c r="C8" s="291" t="s">
        <v>184</v>
      </c>
      <c r="D8" s="291" t="s">
        <v>184</v>
      </c>
      <c r="E8" s="291" t="s">
        <v>184</v>
      </c>
      <c r="F8" s="291" t="s">
        <v>184</v>
      </c>
      <c r="G8" s="305"/>
    </row>
    <row r="9" spans="3:7" ht="14.25" customHeight="1">
      <c r="C9" s="301">
        <f>BSL_ExPost_total!M15</f>
        <v>272679.01224708557</v>
      </c>
      <c r="D9" s="301">
        <f>PRJ_ExPost!L7</f>
        <v>9637.3562926666655</v>
      </c>
      <c r="E9" s="301">
        <f>VCU!F7</f>
        <v>54535.802449417119</v>
      </c>
      <c r="F9" s="301">
        <f t="shared" ref="F9:F10" si="0">C9-D9-E9</f>
        <v>208505.85350500175</v>
      </c>
      <c r="G9" s="305"/>
    </row>
    <row r="10" spans="3:7" ht="14.25" customHeight="1">
      <c r="C10" s="301">
        <f>BSL_ExPost_total!M16</f>
        <v>324048.79437812953</v>
      </c>
      <c r="D10" s="301">
        <f>PRJ_ExPost!L8</f>
        <v>9637.3562926666655</v>
      </c>
      <c r="E10" s="301">
        <f>VCU!F8</f>
        <v>64809.758875625907</v>
      </c>
      <c r="F10" s="301">
        <f t="shared" si="0"/>
        <v>249601.67920983693</v>
      </c>
      <c r="G10" s="305"/>
    </row>
    <row r="11" spans="3:7" ht="14.25" customHeight="1">
      <c r="C11" s="302">
        <f t="shared" ref="C11:F11" si="1">SUM(C9:C10)</f>
        <v>596727.8066252151</v>
      </c>
      <c r="D11" s="302">
        <f t="shared" si="1"/>
        <v>19274.712585333331</v>
      </c>
      <c r="E11" s="302">
        <f t="shared" si="1"/>
        <v>119345.56132504303</v>
      </c>
      <c r="F11" s="302">
        <f t="shared" si="1"/>
        <v>458107.53271483869</v>
      </c>
      <c r="G11" s="305"/>
    </row>
    <row r="12" spans="3:7" ht="14.25" customHeight="1">
      <c r="C12" s="305"/>
      <c r="D12" s="305"/>
      <c r="E12" s="305"/>
      <c r="F12" s="305"/>
      <c r="G12" s="305"/>
    </row>
    <row r="13" spans="3:7" ht="14.25" customHeight="1">
      <c r="C13" s="305"/>
      <c r="D13" s="305"/>
      <c r="E13" s="305"/>
      <c r="F13" s="305"/>
      <c r="G13" s="305"/>
    </row>
    <row r="14" spans="3:7" ht="28.9">
      <c r="C14" s="341" t="s">
        <v>351</v>
      </c>
      <c r="D14" s="450"/>
      <c r="E14" s="450"/>
      <c r="F14" s="450"/>
      <c r="G14" s="451"/>
    </row>
    <row r="15" spans="3:7" ht="14.25" customHeight="1">
      <c r="C15" s="305"/>
      <c r="D15" s="305"/>
      <c r="E15" s="305"/>
      <c r="F15" s="305"/>
      <c r="G15" s="305"/>
    </row>
    <row r="16" spans="3:7" ht="14.25" customHeight="1">
      <c r="C16" s="305"/>
      <c r="D16" s="305"/>
      <c r="E16" s="305"/>
      <c r="F16" s="305"/>
      <c r="G16" s="305"/>
    </row>
    <row r="17" spans="3:7" ht="14.25" customHeight="1">
      <c r="C17" s="305"/>
      <c r="D17" s="305"/>
      <c r="E17" s="305"/>
      <c r="F17" s="305"/>
      <c r="G17" s="305"/>
    </row>
    <row r="18" spans="3:7" ht="14.25" customHeight="1">
      <c r="C18" s="305"/>
      <c r="D18" s="305"/>
      <c r="E18" s="305"/>
      <c r="F18" s="305"/>
      <c r="G18" s="305"/>
    </row>
    <row r="19" spans="3:7" ht="14.25" customHeight="1">
      <c r="C19" s="305"/>
      <c r="D19" s="305"/>
      <c r="E19" s="305"/>
      <c r="F19" s="305"/>
      <c r="G19" s="305"/>
    </row>
    <row r="20" spans="3:7" ht="24.75" customHeight="1">
      <c r="C20" s="452" t="s">
        <v>352</v>
      </c>
      <c r="D20" s="431"/>
      <c r="E20" s="305"/>
      <c r="F20" s="305"/>
      <c r="G20" s="305"/>
    </row>
    <row r="21" spans="3:7" ht="28.9" customHeight="1">
      <c r="C21" s="453" t="s">
        <v>217</v>
      </c>
      <c r="D21" s="310" t="s">
        <v>218</v>
      </c>
      <c r="E21" s="311">
        <f>D11/F11</f>
        <v>4.20746466907179E-2</v>
      </c>
      <c r="F21" s="312" t="s">
        <v>353</v>
      </c>
      <c r="G21" s="305"/>
    </row>
    <row r="22" spans="3:7" ht="24.6" customHeight="1">
      <c r="C22" s="313" t="s">
        <v>354</v>
      </c>
      <c r="D22" s="295" t="s">
        <v>218</v>
      </c>
      <c r="E22" s="314">
        <f>E11/F11</f>
        <v>0.26051866167267956</v>
      </c>
      <c r="F22" s="312" t="s">
        <v>355</v>
      </c>
      <c r="G22" s="305"/>
    </row>
    <row r="23" spans="3:7" ht="14.25" customHeight="1"/>
    <row r="24" spans="3:7" ht="14.25" customHeight="1"/>
    <row r="25" spans="3:7" ht="14.25" customHeight="1"/>
    <row r="26" spans="3:7" ht="14.25" customHeight="1"/>
    <row r="27" spans="3:7" ht="14.25" customHeight="1"/>
    <row r="28" spans="3:7" ht="14.25" customHeight="1"/>
    <row r="29" spans="3:7" ht="14.25" customHeight="1"/>
    <row r="30" spans="3:7" ht="14.25" customHeight="1"/>
    <row r="31" spans="3:7" ht="14.25" customHeight="1"/>
    <row r="32" spans="3:7"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C14:G14"/>
    <mergeCell ref="C20:D20"/>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DC9233-46FF-41E4-A710-18635922D2F4}"/>
</file>

<file path=customXml/itemProps2.xml><?xml version="1.0" encoding="utf-8"?>
<ds:datastoreItem xmlns:ds="http://schemas.openxmlformats.org/officeDocument/2006/customXml" ds:itemID="{77A8617F-FAEE-46FB-9E5B-FB9A980B9B03}"/>
</file>

<file path=customXml/itemProps3.xml><?xml version="1.0" encoding="utf-8"?>
<ds:datastoreItem xmlns:ds="http://schemas.openxmlformats.org/officeDocument/2006/customXml" ds:itemID="{28A0F05C-7805-43C0-AD41-CE4414D5DC3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Enrico Casagrande</dc:creator>
  <cp:keywords/>
  <dc:description/>
  <cp:lastModifiedBy>Lina Vanesa Espitia Gil</cp:lastModifiedBy>
  <cp:revision/>
  <dcterms:created xsi:type="dcterms:W3CDTF">2022-05-23T14:50:40Z</dcterms:created>
  <dcterms:modified xsi:type="dcterms:W3CDTF">2024-12-04T14:34:13Z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