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hared with Me\Project Development\Ece Coşgun\CEV Enerji\Performance Review\GS Review\GS745 - Gaziantep\2\"/>
    </mc:Choice>
  </mc:AlternateContent>
  <xr:revisionPtr revIDLastSave="0" documentId="13_ncr:1_{F826EB19-7A4B-4CB5-8232-67FDF50A2855}" xr6:coauthVersionLast="47" xr6:coauthVersionMax="47" xr10:uidLastSave="{00000000-0000-0000-0000-000000000000}"/>
  <bookViews>
    <workbookView minimized="1" xWindow="5000" yWindow="1720" windowWidth="8630" windowHeight="4630" xr2:uid="{00000000-000D-0000-FFFF-FFFF00000000}"/>
  </bookViews>
  <sheets>
    <sheet name="ER Calculation" sheetId="2" r:id="rId1"/>
    <sheet name="Electricity Generation" sheetId="1" r:id="rId2"/>
    <sheet name="Flowmet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0" i="2" l="1"/>
  <c r="M19" i="2"/>
  <c r="O19" i="2" s="1"/>
  <c r="F22" i="2"/>
  <c r="I20" i="2"/>
  <c r="T8" i="2"/>
  <c r="M21" i="2"/>
  <c r="M20" i="2"/>
  <c r="G20" i="2"/>
  <c r="M22" i="2" s="1"/>
  <c r="G18" i="2"/>
  <c r="I28" i="1"/>
  <c r="I29" i="1"/>
  <c r="I30" i="1"/>
  <c r="I31" i="1"/>
  <c r="I32" i="1"/>
  <c r="I33" i="1"/>
  <c r="I34" i="1"/>
  <c r="I35" i="1"/>
  <c r="I36" i="1"/>
  <c r="I37" i="1"/>
  <c r="I38" i="1"/>
  <c r="I39" i="1"/>
  <c r="M23" i="2" l="1"/>
  <c r="T11" i="2"/>
  <c r="L11" i="2"/>
  <c r="O11" i="2" s="1"/>
  <c r="N22" i="2" s="1"/>
  <c r="O22" i="2" s="1"/>
  <c r="L10" i="2"/>
  <c r="O10" i="2" s="1"/>
  <c r="N21" i="2" s="1"/>
  <c r="O21" i="2" s="1"/>
  <c r="L9" i="2"/>
  <c r="O9" i="2" s="1"/>
  <c r="N20" i="2" s="1"/>
  <c r="O20" i="2" s="1"/>
  <c r="O23" i="2" s="1"/>
  <c r="T12" i="2" s="1"/>
  <c r="L8" i="2"/>
  <c r="O8" i="2" s="1"/>
  <c r="C11" i="2"/>
  <c r="I15" i="1"/>
  <c r="H17" i="1"/>
  <c r="J17" i="1" s="1"/>
  <c r="I27" i="1"/>
  <c r="I26" i="1"/>
  <c r="I25" i="1"/>
  <c r="I24" i="1"/>
  <c r="I23" i="1"/>
  <c r="I22" i="1"/>
  <c r="I20" i="1"/>
  <c r="I19" i="1"/>
  <c r="I18" i="1"/>
  <c r="I16" i="1"/>
  <c r="I14" i="1"/>
  <c r="I13" i="1"/>
  <c r="I12" i="1"/>
  <c r="I11" i="1"/>
  <c r="J11" i="1" s="1"/>
  <c r="I10" i="1"/>
  <c r="I9" i="1"/>
  <c r="I8" i="1"/>
  <c r="I7" i="1"/>
  <c r="I6" i="1"/>
  <c r="I5" i="1"/>
  <c r="I4" i="1"/>
  <c r="H38" i="1"/>
  <c r="J38" i="1" s="1"/>
  <c r="H39" i="1"/>
  <c r="J39" i="1" s="1"/>
  <c r="H6" i="1"/>
  <c r="H7" i="1"/>
  <c r="H8" i="1"/>
  <c r="H9" i="1"/>
  <c r="H10" i="1"/>
  <c r="H11" i="1"/>
  <c r="H12" i="1"/>
  <c r="L12" i="1" s="1"/>
  <c r="H13" i="1"/>
  <c r="J13" i="1" s="1"/>
  <c r="H14" i="1"/>
  <c r="H15" i="1"/>
  <c r="H16" i="1"/>
  <c r="L16" i="1" s="1"/>
  <c r="H4" i="1"/>
  <c r="J4" i="1" s="1"/>
  <c r="H5" i="1"/>
  <c r="J5" i="1" s="1"/>
  <c r="H29" i="1"/>
  <c r="J29" i="1" s="1"/>
  <c r="H18" i="1"/>
  <c r="H19" i="1"/>
  <c r="H20" i="1"/>
  <c r="H21" i="1"/>
  <c r="J21" i="1" s="1"/>
  <c r="H22" i="1"/>
  <c r="H23" i="1"/>
  <c r="L23" i="1" s="1"/>
  <c r="H24" i="1"/>
  <c r="H25" i="1"/>
  <c r="H26" i="1"/>
  <c r="H27" i="1"/>
  <c r="H28" i="1"/>
  <c r="J28" i="1" s="1"/>
  <c r="H30" i="1"/>
  <c r="L30" i="1" s="1"/>
  <c r="H31" i="1"/>
  <c r="L31" i="1" s="1"/>
  <c r="H32" i="1"/>
  <c r="H33" i="1"/>
  <c r="L33" i="1" s="1"/>
  <c r="H34" i="1"/>
  <c r="L34" i="1" s="1"/>
  <c r="H35" i="1"/>
  <c r="L35" i="1" s="1"/>
  <c r="H36" i="1"/>
  <c r="J36" i="1" s="1"/>
  <c r="H37" i="1"/>
  <c r="J37" i="1" s="1"/>
  <c r="F4" i="3"/>
  <c r="F8" i="2" s="1"/>
  <c r="H8" i="2" s="1"/>
  <c r="F40" i="1"/>
  <c r="G40" i="1"/>
  <c r="F6" i="3"/>
  <c r="F9" i="2" s="1"/>
  <c r="H9" i="2" s="1"/>
  <c r="F18" i="3"/>
  <c r="F10" i="2" s="1"/>
  <c r="H10" i="2" s="1"/>
  <c r="F30" i="3"/>
  <c r="F11" i="2" s="1"/>
  <c r="H11" i="2" s="1"/>
  <c r="E40" i="3"/>
  <c r="G12" i="2"/>
  <c r="L11" i="1"/>
  <c r="L38" i="1"/>
  <c r="J12" i="1" l="1"/>
  <c r="J25" i="1"/>
  <c r="L4" i="1"/>
  <c r="J22" i="1"/>
  <c r="L8" i="1"/>
  <c r="J7" i="1"/>
  <c r="J27" i="1"/>
  <c r="J6" i="1"/>
  <c r="T13" i="2"/>
  <c r="I9" i="2"/>
  <c r="I8" i="2"/>
  <c r="J8" i="1"/>
  <c r="L7" i="1"/>
  <c r="J16" i="1"/>
  <c r="L27" i="1"/>
  <c r="J18" i="1"/>
  <c r="J31" i="1"/>
  <c r="L26" i="1"/>
  <c r="L28" i="1"/>
  <c r="J15" i="1"/>
  <c r="L20" i="1"/>
  <c r="K4" i="1"/>
  <c r="K8" i="2" s="1"/>
  <c r="M8" i="2" s="1"/>
  <c r="N8" i="2" s="1"/>
  <c r="P8" i="2" s="1"/>
  <c r="J20" i="1"/>
  <c r="H40" i="1"/>
  <c r="F40" i="3"/>
  <c r="L18" i="1"/>
  <c r="L10" i="1"/>
  <c r="L6" i="1"/>
  <c r="I40" i="1"/>
  <c r="L13" i="1"/>
  <c r="J24" i="1"/>
  <c r="I10" i="2"/>
  <c r="L12" i="2"/>
  <c r="I11" i="2"/>
  <c r="L5" i="1"/>
  <c r="L32" i="1"/>
  <c r="J9" i="1"/>
  <c r="J10" i="1"/>
  <c r="J14" i="1"/>
  <c r="J33" i="1"/>
  <c r="J30" i="1"/>
  <c r="J32" i="1"/>
  <c r="L29" i="1"/>
  <c r="J34" i="1"/>
  <c r="J26" i="1"/>
  <c r="L24" i="1"/>
  <c r="L22" i="1"/>
  <c r="F12" i="2"/>
  <c r="H12" i="2" s="1"/>
  <c r="L25" i="1"/>
  <c r="L19" i="1"/>
  <c r="L9" i="1"/>
  <c r="L39" i="1"/>
  <c r="L14" i="1"/>
  <c r="J35" i="1"/>
  <c r="L36" i="1"/>
  <c r="L37" i="1"/>
  <c r="J23" i="1"/>
  <c r="L15" i="1"/>
  <c r="J19" i="1"/>
  <c r="I12" i="2" l="1"/>
  <c r="K6" i="1"/>
  <c r="K9" i="2" s="1"/>
  <c r="M9" i="2" s="1"/>
  <c r="N9" i="2" s="1"/>
  <c r="P9" i="2" s="1"/>
  <c r="K18" i="1"/>
  <c r="K10" i="2" s="1"/>
  <c r="L40" i="1"/>
  <c r="K30" i="1"/>
  <c r="K11" i="2" s="1"/>
  <c r="O12" i="2"/>
  <c r="N23" i="2" s="1"/>
  <c r="J40" i="1"/>
  <c r="M10" i="2" l="1"/>
  <c r="N10" i="2" s="1"/>
  <c r="P10" i="2" s="1"/>
  <c r="M11" i="2"/>
  <c r="K40" i="1"/>
  <c r="K12" i="2"/>
  <c r="V11" i="2" s="1"/>
  <c r="N11" i="2" l="1"/>
  <c r="P11" i="2" s="1"/>
  <c r="M12" i="2"/>
  <c r="N12" i="2" l="1"/>
  <c r="P12" i="2" l="1"/>
</calcChain>
</file>

<file path=xl/sharedStrings.xml><?xml version="1.0" encoding="utf-8"?>
<sst xmlns="http://schemas.openxmlformats.org/spreadsheetml/2006/main" count="107" uniqueCount="93">
  <si>
    <t>Month</t>
  </si>
  <si>
    <t>Start Date of Monitoring Period</t>
  </si>
  <si>
    <t>End Date of Monitoring Period</t>
  </si>
  <si>
    <t>Number of Days for Current Monitoring Period</t>
  </si>
  <si>
    <t>Annual (365 Days) estimation as per Registered PDD</t>
  </si>
  <si>
    <t>Total</t>
  </si>
  <si>
    <t>Change in Emission Reductions (%)</t>
  </si>
  <si>
    <t>JMR V/S PMUM RECORD</t>
  </si>
  <si>
    <t xml:space="preserve">From </t>
  </si>
  <si>
    <t>To</t>
  </si>
  <si>
    <t>Minimum of Net electricity supplied by the project activity to grid as per JMR (MWh) and PMUM Records(no of units exported as per Monthly Energy Account in MWh) -Conservative Approach</t>
  </si>
  <si>
    <t>Net Electricity (MWh)</t>
  </si>
  <si>
    <t>∑SUM</t>
  </si>
  <si>
    <t>MWh</t>
  </si>
  <si>
    <t>%</t>
  </si>
  <si>
    <t>01/11/2018-31/12/2018</t>
  </si>
  <si>
    <t>01/01/2021-31/10/2021</t>
  </si>
  <si>
    <t>LFG Flow</t>
  </si>
  <si>
    <r>
      <t>Nm</t>
    </r>
    <r>
      <rPr>
        <b/>
        <vertAlign val="superscript"/>
        <sz val="10"/>
        <color rgb="FF000000"/>
        <rFont val="Arial"/>
        <family val="2"/>
      </rPr>
      <t>3</t>
    </r>
  </si>
  <si>
    <t xml:space="preserve">     01/11/2018 - 31/10/2021</t>
  </si>
  <si>
    <t>Annual LFG Flow</t>
  </si>
  <si>
    <r>
      <t>Actual ER for Current Monitoring Period (tCO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e)</t>
    </r>
  </si>
  <si>
    <t>Period</t>
  </si>
  <si>
    <t>Fixed Values</t>
  </si>
  <si>
    <r>
      <t>MJ/m</t>
    </r>
    <r>
      <rPr>
        <vertAlign val="superscript"/>
        <sz val="11"/>
        <rFont val="Arial"/>
        <family val="2"/>
      </rPr>
      <t>3</t>
    </r>
  </si>
  <si>
    <t>Export (MWh) (Supply)</t>
  </si>
  <si>
    <t>Import (MWh)(Draw)</t>
  </si>
  <si>
    <t>Vintage Breakup</t>
  </si>
  <si>
    <t>Net electricity delivered to the grid (Cross check)</t>
  </si>
  <si>
    <t>ER Calculation of GS 745 Gaziantep LFG to Energy Plant</t>
  </si>
  <si>
    <r>
      <t>tCO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/MWh</t>
    </r>
  </si>
  <si>
    <t>SDG 7</t>
  </si>
  <si>
    <t>SDG 8</t>
  </si>
  <si>
    <t>SDG 13</t>
  </si>
  <si>
    <t>ER Estimation for Current Monitoring Period based upon annual average ER</t>
  </si>
  <si>
    <t>tCO2</t>
  </si>
  <si>
    <t>SDG 7 Estimation for Current Monitoring Period based on operational days</t>
  </si>
  <si>
    <t xml:space="preserve">Baseline emissions associated with the electricity generation in year y </t>
  </si>
  <si>
    <t xml:space="preserve">Amount of methane in the LFG which is flared and/or used in the project activity in year y </t>
  </si>
  <si>
    <t xml:space="preserve">Amount of methane in the LFG which is flared in the baseline in year y </t>
  </si>
  <si>
    <t>ACM0001 Version 18</t>
  </si>
  <si>
    <r>
      <t>Nm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>/year</t>
    </r>
  </si>
  <si>
    <t xml:space="preserve">Net amount of electricity generated using LFG in year y </t>
  </si>
  <si>
    <r>
      <t xml:space="preserve">	Pa.m</t>
    </r>
    <r>
      <rPr>
        <vertAlign val="superscript"/>
        <sz val="11"/>
        <rFont val="Arial"/>
        <family val="2"/>
      </rPr>
      <t xml:space="preserve">3 </t>
    </r>
    <r>
      <rPr>
        <sz val="11"/>
        <rFont val="Arial"/>
        <family val="2"/>
      </rPr>
      <t>/ kmol.K</t>
    </r>
  </si>
  <si>
    <t>kg/kmol</t>
  </si>
  <si>
    <t>Pa</t>
  </si>
  <si>
    <t>K</t>
  </si>
  <si>
    <r>
      <t>used to calculate PE</t>
    </r>
    <r>
      <rPr>
        <vertAlign val="subscript"/>
        <sz val="11"/>
        <rFont val="Arial"/>
        <family val="2"/>
      </rPr>
      <t>EC</t>
    </r>
  </si>
  <si>
    <r>
      <t>used to calculate BE</t>
    </r>
    <r>
      <rPr>
        <vertAlign val="subscript"/>
        <sz val="11"/>
        <rFont val="Arial"/>
        <family val="2"/>
      </rPr>
      <t>EC</t>
    </r>
  </si>
  <si>
    <t>NTP</t>
  </si>
  <si>
    <t>Volumetric flow of the gaseous stream in time interval t on a dry basis</t>
  </si>
  <si>
    <t xml:space="preserve">Quantity of electricity consumed by the project electricity consumption source j in year y </t>
  </si>
  <si>
    <t xml:space="preserve">Project emissions from electricity consumption in year y </t>
  </si>
  <si>
    <t>Baseline emissions in year y</t>
  </si>
  <si>
    <t xml:space="preserve">Emission reductions in year y </t>
  </si>
  <si>
    <r>
      <t>ton/m</t>
    </r>
    <r>
      <rPr>
        <vertAlign val="superscript"/>
        <sz val="11"/>
        <rFont val="Arial"/>
        <family val="2"/>
      </rPr>
      <t>3</t>
    </r>
  </si>
  <si>
    <r>
      <t>Volumetric fraction of CH</t>
    </r>
    <r>
      <rPr>
        <b/>
        <vertAlign val="subscript"/>
        <sz val="11"/>
        <rFont val="Arial"/>
        <family val="2"/>
      </rPr>
      <t>4</t>
    </r>
    <r>
      <rPr>
        <b/>
        <sz val="11"/>
        <rFont val="Arial"/>
        <family val="2"/>
      </rPr>
      <t xml:space="preserve"> in the gaseous stream in a time interval t on a dry basis</t>
    </r>
  </si>
  <si>
    <r>
      <t>tCO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/tCH</t>
    </r>
    <r>
      <rPr>
        <vertAlign val="subscript"/>
        <sz val="11"/>
        <rFont val="Arial"/>
        <family val="2"/>
      </rPr>
      <t>4</t>
    </r>
  </si>
  <si>
    <r>
      <t>tCO</t>
    </r>
    <r>
      <rPr>
        <b/>
        <vertAlign val="subscript"/>
        <sz val="11"/>
        <rFont val="Arial"/>
        <family val="2"/>
      </rPr>
      <t>2e</t>
    </r>
  </si>
  <si>
    <r>
      <t>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</t>
    </r>
  </si>
  <si>
    <r>
      <t>tCH</t>
    </r>
    <r>
      <rPr>
        <b/>
        <vertAlign val="subscript"/>
        <sz val="11"/>
        <rFont val="Arial"/>
        <family val="2"/>
      </rPr>
      <t>4</t>
    </r>
  </si>
  <si>
    <t>16 employment generated</t>
  </si>
  <si>
    <t>15 employment generated and 6 training conducted</t>
  </si>
  <si>
    <t>20 employment generated and 2 trainings conducted</t>
  </si>
  <si>
    <t>20 employment generated and 1 trainings conducted</t>
  </si>
  <si>
    <t>Average 17 employments generated and 9 trainings conducted</t>
  </si>
  <si>
    <t>Assessment Approach for Reporting Higher Ex-post Emission Reductions</t>
  </si>
  <si>
    <t>BE</t>
  </si>
  <si>
    <t>PE</t>
  </si>
  <si>
    <t>ER</t>
  </si>
  <si>
    <r>
      <t>V</t>
    </r>
    <r>
      <rPr>
        <b/>
        <vertAlign val="subscript"/>
        <sz val="11"/>
        <rFont val="Arial"/>
        <family val="2"/>
      </rPr>
      <t>t,db,engine</t>
    </r>
  </si>
  <si>
    <r>
      <rPr>
        <b/>
        <sz val="11"/>
        <rFont val="Arial"/>
        <family val="2"/>
      </rPr>
      <t>v</t>
    </r>
    <r>
      <rPr>
        <b/>
        <vertAlign val="subscript"/>
        <sz val="11"/>
        <rFont val="Arial"/>
        <family val="2"/>
      </rPr>
      <t>CH4,t,db</t>
    </r>
  </si>
  <si>
    <r>
      <t>F</t>
    </r>
    <r>
      <rPr>
        <b/>
        <vertAlign val="subscript"/>
        <sz val="11"/>
        <rFont val="Arial"/>
        <family val="2"/>
      </rPr>
      <t>CH4,PJ,y</t>
    </r>
  </si>
  <si>
    <r>
      <t>F</t>
    </r>
    <r>
      <rPr>
        <b/>
        <vertAlign val="subscript"/>
        <sz val="11"/>
        <rFont val="Arial"/>
        <family val="2"/>
      </rPr>
      <t>CH4,BL,y</t>
    </r>
  </si>
  <si>
    <r>
      <t>EG</t>
    </r>
    <r>
      <rPr>
        <b/>
        <vertAlign val="subscript"/>
        <sz val="11"/>
        <rFont val="Arial"/>
        <family val="2"/>
      </rPr>
      <t>BL,y</t>
    </r>
  </si>
  <si>
    <r>
      <t>EC</t>
    </r>
    <r>
      <rPr>
        <b/>
        <vertAlign val="subscript"/>
        <sz val="11"/>
        <rFont val="Arial"/>
        <family val="2"/>
      </rPr>
      <t>PJ,y</t>
    </r>
  </si>
  <si>
    <r>
      <t>BE</t>
    </r>
    <r>
      <rPr>
        <b/>
        <vertAlign val="subscript"/>
        <sz val="11"/>
        <rFont val="Arial"/>
        <family val="2"/>
      </rPr>
      <t>EC,y</t>
    </r>
  </si>
  <si>
    <r>
      <t>BE</t>
    </r>
    <r>
      <rPr>
        <b/>
        <vertAlign val="subscript"/>
        <sz val="11"/>
        <rFont val="Arial"/>
        <family val="2"/>
      </rPr>
      <t>y</t>
    </r>
  </si>
  <si>
    <r>
      <t>PE</t>
    </r>
    <r>
      <rPr>
        <b/>
        <vertAlign val="subscript"/>
        <sz val="11"/>
        <rFont val="Arial"/>
        <family val="2"/>
      </rPr>
      <t>y</t>
    </r>
    <r>
      <rPr>
        <b/>
        <sz val="11"/>
        <rFont val="Arial"/>
        <family val="2"/>
      </rPr>
      <t xml:space="preserve"> = PE</t>
    </r>
    <r>
      <rPr>
        <b/>
        <vertAlign val="subscript"/>
        <sz val="11"/>
        <rFont val="Arial"/>
        <family val="2"/>
      </rPr>
      <t>EC,y</t>
    </r>
  </si>
  <si>
    <r>
      <t>ER</t>
    </r>
    <r>
      <rPr>
        <b/>
        <vertAlign val="subscript"/>
        <sz val="11"/>
        <rFont val="Arial"/>
        <family val="2"/>
      </rPr>
      <t>y</t>
    </r>
  </si>
  <si>
    <r>
      <t>OX</t>
    </r>
    <r>
      <rPr>
        <b/>
        <vertAlign val="subscript"/>
        <sz val="11"/>
        <rFont val="Arial"/>
        <family val="2"/>
      </rPr>
      <t>top-layer</t>
    </r>
  </si>
  <si>
    <r>
      <t>GWP</t>
    </r>
    <r>
      <rPr>
        <b/>
        <vertAlign val="subscript"/>
        <sz val="11"/>
        <rFont val="Arial"/>
        <family val="2"/>
      </rPr>
      <t>CH4</t>
    </r>
  </si>
  <si>
    <r>
      <t>n</t>
    </r>
    <r>
      <rPr>
        <b/>
        <vertAlign val="subscript"/>
        <sz val="11"/>
        <rFont val="Arial"/>
        <family val="2"/>
      </rPr>
      <t>PJ</t>
    </r>
  </si>
  <si>
    <r>
      <rPr>
        <b/>
        <sz val="11"/>
        <rFont val="Arial"/>
        <family val="2"/>
      </rPr>
      <t>ρ</t>
    </r>
    <r>
      <rPr>
        <b/>
        <vertAlign val="subscript"/>
        <sz val="11"/>
        <rFont val="Arial"/>
        <family val="2"/>
      </rPr>
      <t>CH4,t</t>
    </r>
  </si>
  <si>
    <r>
      <t>NCV</t>
    </r>
    <r>
      <rPr>
        <b/>
        <vertAlign val="subscript"/>
        <sz val="11"/>
        <rFont val="Arial"/>
        <family val="2"/>
      </rPr>
      <t>CH4</t>
    </r>
  </si>
  <si>
    <r>
      <t>EF</t>
    </r>
    <r>
      <rPr>
        <b/>
        <vertAlign val="subscript"/>
        <sz val="11"/>
        <rFont val="Arial"/>
        <family val="2"/>
      </rPr>
      <t xml:space="preserve">EL,k,y </t>
    </r>
  </si>
  <si>
    <r>
      <t>TDL</t>
    </r>
    <r>
      <rPr>
        <b/>
        <vertAlign val="subscript"/>
        <sz val="11"/>
        <rFont val="Arial"/>
        <family val="2"/>
      </rPr>
      <t>k,y</t>
    </r>
  </si>
  <si>
    <r>
      <t>R</t>
    </r>
    <r>
      <rPr>
        <b/>
        <vertAlign val="subscript"/>
        <sz val="11"/>
        <rFont val="Arial"/>
        <family val="2"/>
      </rPr>
      <t>u</t>
    </r>
  </si>
  <si>
    <r>
      <t>MM</t>
    </r>
    <r>
      <rPr>
        <b/>
        <vertAlign val="subscript"/>
        <sz val="11"/>
        <rFont val="Arial"/>
        <family val="2"/>
      </rPr>
      <t>CH4</t>
    </r>
  </si>
  <si>
    <r>
      <t>T</t>
    </r>
    <r>
      <rPr>
        <b/>
        <vertAlign val="subscript"/>
        <sz val="11"/>
        <rFont val="Arial"/>
        <family val="2"/>
      </rPr>
      <t>CH4</t>
    </r>
  </si>
  <si>
    <r>
      <t>P</t>
    </r>
    <r>
      <rPr>
        <b/>
        <vertAlign val="subscript"/>
        <sz val="11"/>
        <rFont val="Arial"/>
        <family val="2"/>
      </rPr>
      <t>CH4</t>
    </r>
  </si>
  <si>
    <r>
      <rPr>
        <b/>
        <sz val="11"/>
        <rFont val="Arial"/>
        <family val="2"/>
      </rPr>
      <t>LFG</t>
    </r>
    <r>
      <rPr>
        <b/>
        <vertAlign val="subscript"/>
        <sz val="11"/>
        <rFont val="Arial"/>
        <family val="2"/>
      </rPr>
      <t>elec</t>
    </r>
  </si>
  <si>
    <t>Quantity of methane destroyed by generation of electricity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</si>
</sst>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(* #,##0.00_);_(* \(#,##0.00\);_(* &quot;-&quot;??_);_(@_)"/>
    <numFmt numFmtId="167" formatCode="mmm/yyyy"/>
    <numFmt numFmtId="168" formatCode="0.0000"/>
    <numFmt numFmtId="169" formatCode="0.000"/>
    <numFmt numFmtId="170" formatCode="0.00_);[Red]\(0.00\)"/>
    <numFmt numFmtId="171" formatCode="#,##0.000"/>
    <numFmt numFmtId="172" formatCode="_ * #,##0_ ;_ * \-#,##0_ ;_ * &quot;-&quot;??_ ;_ @_ "/>
    <numFmt numFmtId="173" formatCode="_-* #,##0_-;\-* #,##0_-;_-* &quot;-&quot;??_-;_-@_-"/>
    <numFmt numFmtId="174" formatCode="_ * #,##0.000_ ;_ * \-#,##0.000_ ;_ * &quot;-&quot;??_ ;_ @_ "/>
    <numFmt numFmtId="175" formatCode="_(* #,##0_);_(* \(#,##0\);_(* &quot;-&quot;??_);_(@_)"/>
    <numFmt numFmtId="176" formatCode="_-* #,##0.0000_-;\-* #,##0.0000_-;_-* &quot;-&quot;??_-;_-@_-"/>
    <numFmt numFmtId="177" formatCode="_-* #,##0.00000_-;\-* #,##0.00000_-;_-* &quot;-&quot;??_-;_-@_-"/>
  </numFmts>
  <fonts count="22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宋体"/>
      <charset val="134"/>
    </font>
    <font>
      <b/>
      <sz val="10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b/>
      <sz val="11"/>
      <color theme="1"/>
      <name val="Calibri"/>
      <family val="2"/>
      <charset val="16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8"/>
      <name val="Calibri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name val="Arial"/>
      <family val="2"/>
    </font>
    <font>
      <b/>
      <vertAlign val="superscript"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9" fontId="5" fillId="0" borderId="0">
      <alignment vertical="top"/>
      <protection locked="0"/>
    </xf>
    <xf numFmtId="0" fontId="4" fillId="0" borderId="0">
      <protection locked="0"/>
    </xf>
    <xf numFmtId="9" fontId="4" fillId="0" borderId="0">
      <alignment vertical="top"/>
      <protection locked="0"/>
    </xf>
    <xf numFmtId="166" fontId="6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8">
    <xf numFmtId="0" fontId="0" fillId="0" borderId="0" xfId="0">
      <alignment vertical="center"/>
    </xf>
    <xf numFmtId="0" fontId="2" fillId="0" borderId="0" xfId="0" applyFont="1" applyBorder="1" applyAlignment="1"/>
    <xf numFmtId="14" fontId="3" fillId="0" borderId="0" xfId="0" applyNumberFormat="1" applyFont="1" applyBorder="1" applyAlignment="1"/>
    <xf numFmtId="0" fontId="4" fillId="0" borderId="0" xfId="2" applyBorder="1" applyAlignment="1" applyProtection="1"/>
    <xf numFmtId="2" fontId="3" fillId="2" borderId="1" xfId="0" applyNumberFormat="1" applyFont="1" applyFill="1" applyBorder="1" applyAlignment="1">
      <alignment horizontal="right"/>
    </xf>
    <xf numFmtId="2" fontId="3" fillId="0" borderId="0" xfId="1" applyNumberFormat="1" applyFont="1" applyBorder="1" applyAlignment="1" applyProtection="1"/>
    <xf numFmtId="0" fontId="2" fillId="3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9" fontId="3" fillId="0" borderId="1" xfId="0" applyNumberFormat="1" applyFont="1" applyBorder="1" applyAlignment="1">
      <alignment horizontal="right"/>
    </xf>
    <xf numFmtId="169" fontId="3" fillId="0" borderId="1" xfId="0" applyNumberFormat="1" applyFont="1" applyBorder="1" applyAlignment="1"/>
    <xf numFmtId="167" fontId="3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169" fontId="3" fillId="0" borderId="0" xfId="0" applyNumberFormat="1" applyFont="1" applyBorder="1" applyAlignment="1"/>
    <xf numFmtId="2" fontId="3" fillId="2" borderId="0" xfId="0" applyNumberFormat="1" applyFont="1" applyFill="1" applyBorder="1" applyAlignment="1">
      <alignment horizontal="right"/>
    </xf>
    <xf numFmtId="168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vertical="center"/>
    </xf>
    <xf numFmtId="0" fontId="7" fillId="0" borderId="1" xfId="0" applyFont="1" applyBorder="1">
      <alignment vertical="center"/>
    </xf>
    <xf numFmtId="1" fontId="0" fillId="0" borderId="0" xfId="0" applyNumberFormat="1">
      <alignment vertical="center"/>
    </xf>
    <xf numFmtId="0" fontId="10" fillId="0" borderId="0" xfId="5" applyFont="1" applyBorder="1" applyAlignment="1">
      <alignment vertical="center"/>
    </xf>
    <xf numFmtId="167" fontId="14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67" fontId="14" fillId="0" borderId="8" xfId="0" applyNumberFormat="1" applyFont="1" applyBorder="1" applyAlignment="1">
      <alignment horizontal="center"/>
    </xf>
    <xf numFmtId="14" fontId="14" fillId="0" borderId="8" xfId="0" applyNumberFormat="1" applyFont="1" applyBorder="1" applyAlignment="1">
      <alignment horizontal="center"/>
    </xf>
    <xf numFmtId="0" fontId="0" fillId="0" borderId="0" xfId="0" applyBorder="1" applyAlignment="1"/>
    <xf numFmtId="0" fontId="1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2" fillId="0" borderId="0" xfId="0" applyFont="1" applyBorder="1" applyAlignment="1"/>
    <xf numFmtId="169" fontId="0" fillId="0" borderId="0" xfId="0" applyNumberFormat="1" applyBorder="1" applyAlignment="1">
      <alignment horizontal="left"/>
    </xf>
    <xf numFmtId="0" fontId="0" fillId="0" borderId="0" xfId="0" applyBorder="1">
      <alignment vertical="center"/>
    </xf>
    <xf numFmtId="166" fontId="4" fillId="0" borderId="1" xfId="4" applyFont="1" applyBorder="1" applyAlignment="1">
      <alignment horizontal="left"/>
    </xf>
    <xf numFmtId="0" fontId="4" fillId="0" borderId="0" xfId="0" applyFont="1">
      <alignment vertical="center"/>
    </xf>
    <xf numFmtId="166" fontId="4" fillId="0" borderId="1" xfId="0" applyNumberFormat="1" applyFont="1" applyBorder="1">
      <alignment vertical="center"/>
    </xf>
    <xf numFmtId="166" fontId="9" fillId="0" borderId="1" xfId="0" applyNumberFormat="1" applyFont="1" applyBorder="1">
      <alignment vertical="center"/>
    </xf>
    <xf numFmtId="166" fontId="17" fillId="2" borderId="13" xfId="4" applyNumberFormat="1" applyFont="1" applyFill="1" applyBorder="1" applyAlignment="1" applyProtection="1">
      <alignment horizontal="right"/>
    </xf>
    <xf numFmtId="0" fontId="17" fillId="0" borderId="9" xfId="2" applyFont="1" applyBorder="1" applyAlignment="1" applyProtection="1">
      <alignment horizontal="left"/>
    </xf>
    <xf numFmtId="0" fontId="17" fillId="0" borderId="10" xfId="2" applyFont="1" applyBorder="1" applyAlignment="1" applyProtection="1">
      <alignment horizontal="left"/>
    </xf>
    <xf numFmtId="0" fontId="17" fillId="0" borderId="12" xfId="2" applyFont="1" applyBorder="1" applyAlignment="1" applyProtection="1">
      <alignment horizontal="left"/>
    </xf>
    <xf numFmtId="0" fontId="17" fillId="0" borderId="1" xfId="2" applyFont="1" applyBorder="1" applyAlignment="1" applyProtection="1">
      <alignment horizontal="left"/>
    </xf>
    <xf numFmtId="0" fontId="17" fillId="0" borderId="1" xfId="5" applyFont="1" applyBorder="1"/>
    <xf numFmtId="10" fontId="17" fillId="0" borderId="1" xfId="5" applyNumberFormat="1" applyFont="1" applyBorder="1" applyAlignment="1">
      <alignment horizontal="center" vertical="center"/>
    </xf>
    <xf numFmtId="165" fontId="17" fillId="0" borderId="1" xfId="6" applyFont="1" applyFill="1" applyBorder="1" applyAlignment="1">
      <alignment horizontal="center" vertical="center"/>
    </xf>
    <xf numFmtId="165" fontId="10" fillId="0" borderId="15" xfId="6" applyFont="1" applyFill="1" applyBorder="1" applyAlignment="1">
      <alignment horizontal="center" vertical="center"/>
    </xf>
    <xf numFmtId="0" fontId="10" fillId="0" borderId="12" xfId="5" applyNumberFormat="1" applyFont="1" applyBorder="1" applyAlignment="1">
      <alignment horizontal="center" vertical="center" wrapText="1"/>
    </xf>
    <xf numFmtId="170" fontId="10" fillId="0" borderId="14" xfId="7" applyNumberFormat="1" applyFont="1" applyBorder="1" applyAlignment="1">
      <alignment horizontal="center" vertical="center"/>
    </xf>
    <xf numFmtId="0" fontId="10" fillId="0" borderId="4" xfId="5" applyFont="1" applyBorder="1" applyAlignment="1">
      <alignment vertical="center"/>
    </xf>
    <xf numFmtId="0" fontId="10" fillId="0" borderId="5" xfId="5" applyFont="1" applyBorder="1" applyAlignment="1">
      <alignment vertical="center"/>
    </xf>
    <xf numFmtId="0" fontId="10" fillId="0" borderId="18" xfId="5" applyFont="1" applyBorder="1" applyAlignment="1">
      <alignment vertical="center"/>
    </xf>
    <xf numFmtId="0" fontId="17" fillId="0" borderId="5" xfId="5" applyFont="1" applyBorder="1"/>
    <xf numFmtId="0" fontId="17" fillId="0" borderId="5" xfId="5" applyNumberFormat="1" applyFont="1" applyBorder="1" applyAlignment="1">
      <alignment horizontal="center" vertical="center" wrapText="1"/>
    </xf>
    <xf numFmtId="10" fontId="10" fillId="0" borderId="15" xfId="6" applyNumberFormat="1" applyFont="1" applyFill="1" applyBorder="1" applyAlignment="1">
      <alignment horizontal="center" vertical="center"/>
    </xf>
    <xf numFmtId="14" fontId="4" fillId="2" borderId="0" xfId="2" applyNumberFormat="1" applyFill="1" applyBorder="1" applyAlignment="1" applyProtection="1">
      <alignment horizontal="right"/>
    </xf>
    <xf numFmtId="14" fontId="3" fillId="3" borderId="1" xfId="0" applyNumberFormat="1" applyFont="1" applyFill="1" applyBorder="1" applyAlignment="1">
      <alignment horizontal="center"/>
    </xf>
    <xf numFmtId="169" fontId="3" fillId="3" borderId="1" xfId="0" applyNumberFormat="1" applyFont="1" applyFill="1" applyBorder="1" applyAlignment="1"/>
    <xf numFmtId="166" fontId="2" fillId="0" borderId="0" xfId="4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67" fontId="3" fillId="3" borderId="12" xfId="0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14" fontId="7" fillId="0" borderId="15" xfId="0" applyNumberFormat="1" applyFont="1" applyBorder="1" applyAlignment="1">
      <alignment horizontal="center" vertical="center"/>
    </xf>
    <xf numFmtId="171" fontId="0" fillId="0" borderId="15" xfId="0" applyNumberFormat="1" applyBorder="1">
      <alignment vertical="center"/>
    </xf>
    <xf numFmtId="14" fontId="13" fillId="6" borderId="1" xfId="0" applyNumberFormat="1" applyFont="1" applyFill="1" applyBorder="1" applyAlignment="1">
      <alignment horizontal="center" vertical="center"/>
    </xf>
    <xf numFmtId="14" fontId="2" fillId="7" borderId="9" xfId="0" applyNumberFormat="1" applyFont="1" applyFill="1" applyBorder="1" applyAlignment="1">
      <alignment horizontal="center" vertical="center"/>
    </xf>
    <xf numFmtId="14" fontId="2" fillId="7" borderId="10" xfId="0" applyNumberFormat="1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166" fontId="17" fillId="0" borderId="1" xfId="4" applyFont="1" applyBorder="1" applyAlignment="1">
      <alignment horizontal="center" vertical="center"/>
    </xf>
    <xf numFmtId="166" fontId="10" fillId="0" borderId="15" xfId="4" applyFont="1" applyFill="1" applyBorder="1" applyAlignment="1">
      <alignment horizontal="center" vertical="center"/>
    </xf>
    <xf numFmtId="166" fontId="0" fillId="0" borderId="15" xfId="4" applyFont="1" applyBorder="1" applyAlignment="1">
      <alignment vertical="center"/>
    </xf>
    <xf numFmtId="166" fontId="0" fillId="0" borderId="15" xfId="4" applyFont="1" applyBorder="1" applyAlignment="1">
      <alignment horizontal="center" vertical="center"/>
    </xf>
    <xf numFmtId="165" fontId="17" fillId="0" borderId="0" xfId="6" applyFont="1" applyFill="1" applyBorder="1" applyAlignment="1">
      <alignment horizontal="center" vertical="center"/>
    </xf>
    <xf numFmtId="166" fontId="17" fillId="0" borderId="0" xfId="4" applyNumberFormat="1" applyFont="1" applyFill="1" applyBorder="1" applyAlignment="1" applyProtection="1">
      <alignment horizontal="right"/>
    </xf>
    <xf numFmtId="10" fontId="19" fillId="0" borderId="0" xfId="3" applyNumberFormat="1" applyFont="1" applyFill="1" applyBorder="1" applyAlignment="1" applyProtection="1">
      <alignment horizontal="right"/>
    </xf>
    <xf numFmtId="0" fontId="10" fillId="0" borderId="0" xfId="5" applyFont="1" applyFill="1" applyBorder="1" applyAlignment="1">
      <alignment horizontal="center" vertical="center"/>
    </xf>
    <xf numFmtId="0" fontId="17" fillId="0" borderId="0" xfId="5" applyFont="1" applyFill="1" applyBorder="1" applyAlignment="1">
      <alignment vertical="center"/>
    </xf>
    <xf numFmtId="43" fontId="17" fillId="0" borderId="0" xfId="5" applyNumberFormat="1" applyFont="1" applyFill="1" applyBorder="1"/>
    <xf numFmtId="170" fontId="10" fillId="0" borderId="0" xfId="7" applyNumberFormat="1" applyFont="1" applyFill="1" applyBorder="1" applyAlignment="1">
      <alignment horizontal="center" vertical="center"/>
    </xf>
    <xf numFmtId="43" fontId="10" fillId="0" borderId="0" xfId="5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2" fontId="3" fillId="0" borderId="16" xfId="4" applyNumberFormat="1" applyFont="1" applyBorder="1" applyAlignment="1">
      <alignment horizontal="center"/>
    </xf>
    <xf numFmtId="0" fontId="3" fillId="2" borderId="1" xfId="0" applyNumberFormat="1" applyFont="1" applyFill="1" applyBorder="1" applyAlignment="1">
      <alignment horizontal="right"/>
    </xf>
    <xf numFmtId="0" fontId="2" fillId="7" borderId="21" xfId="0" applyFont="1" applyFill="1" applyBorder="1" applyAlignment="1">
      <alignment horizontal="center" vertical="center" wrapText="1"/>
    </xf>
    <xf numFmtId="166" fontId="0" fillId="0" borderId="19" xfId="4" applyFont="1" applyBorder="1" applyAlignment="1">
      <alignment vertical="center"/>
    </xf>
    <xf numFmtId="0" fontId="10" fillId="4" borderId="1" xfId="5" applyFont="1" applyFill="1" applyBorder="1" applyAlignment="1">
      <alignment horizontal="center" vertical="center"/>
    </xf>
    <xf numFmtId="0" fontId="10" fillId="4" borderId="13" xfId="5" applyFont="1" applyFill="1" applyBorder="1" applyAlignment="1">
      <alignment horizontal="center" vertical="center"/>
    </xf>
    <xf numFmtId="0" fontId="17" fillId="0" borderId="1" xfId="5" applyFont="1" applyBorder="1" applyAlignment="1">
      <alignment horizontal="center" vertical="center"/>
    </xf>
    <xf numFmtId="0" fontId="10" fillId="0" borderId="15" xfId="5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170" fontId="10" fillId="0" borderId="0" xfId="7" applyNumberFormat="1" applyFont="1" applyFill="1" applyBorder="1" applyAlignment="1">
      <alignment vertical="center"/>
    </xf>
    <xf numFmtId="172" fontId="10" fillId="0" borderId="16" xfId="6" applyNumberFormat="1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vertical="center"/>
    </xf>
    <xf numFmtId="14" fontId="10" fillId="0" borderId="0" xfId="5" applyNumberFormat="1" applyFont="1" applyFill="1" applyBorder="1" applyAlignment="1">
      <alignment horizontal="center" vertical="center"/>
    </xf>
    <xf numFmtId="172" fontId="17" fillId="0" borderId="1" xfId="6" applyNumberFormat="1" applyFont="1" applyFill="1" applyBorder="1" applyAlignment="1">
      <alignment horizontal="center" vertical="center"/>
    </xf>
    <xf numFmtId="172" fontId="10" fillId="0" borderId="15" xfId="6" applyNumberFormat="1" applyFont="1" applyFill="1" applyBorder="1" applyAlignment="1">
      <alignment horizontal="center" vertical="center"/>
    </xf>
    <xf numFmtId="172" fontId="17" fillId="0" borderId="13" xfId="6" applyNumberFormat="1" applyFont="1" applyFill="1" applyBorder="1" applyAlignment="1">
      <alignment horizontal="center" vertical="center"/>
    </xf>
    <xf numFmtId="169" fontId="17" fillId="2" borderId="1" xfId="2" applyNumberFormat="1" applyFont="1" applyFill="1" applyBorder="1" applyAlignment="1" applyProtection="1">
      <alignment horizontal="right" vertical="top"/>
    </xf>
    <xf numFmtId="0" fontId="17" fillId="0" borderId="1" xfId="5" applyFont="1" applyBorder="1" applyAlignment="1">
      <alignment horizontal="right" vertical="top"/>
    </xf>
    <xf numFmtId="0" fontId="17" fillId="0" borderId="1" xfId="2" applyFont="1" applyBorder="1" applyAlignment="1" applyProtection="1">
      <alignment horizontal="right" vertical="top" wrapText="1"/>
    </xf>
    <xf numFmtId="10" fontId="17" fillId="0" borderId="1" xfId="2" applyNumberFormat="1" applyFont="1" applyBorder="1" applyAlignment="1" applyProtection="1">
      <alignment horizontal="right" vertical="top" wrapText="1"/>
    </xf>
    <xf numFmtId="0" fontId="17" fillId="0" borderId="0" xfId="2" applyFont="1" applyBorder="1" applyAlignment="1" applyProtection="1">
      <alignment horizontal="right" vertical="top" wrapText="1"/>
    </xf>
    <xf numFmtId="0" fontId="17" fillId="0" borderId="13" xfId="5" applyFont="1" applyBorder="1" applyAlignment="1">
      <alignment horizontal="right" vertical="top"/>
    </xf>
    <xf numFmtId="0" fontId="17" fillId="0" borderId="17" xfId="5" applyFont="1" applyBorder="1" applyAlignment="1">
      <alignment horizontal="right" vertical="top"/>
    </xf>
    <xf numFmtId="0" fontId="17" fillId="0" borderId="17" xfId="2" applyFont="1" applyBorder="1" applyAlignment="1" applyProtection="1">
      <alignment horizontal="right" vertical="top" wrapText="1"/>
    </xf>
    <xf numFmtId="0" fontId="10" fillId="4" borderId="1" xfId="5" applyFont="1" applyFill="1" applyBorder="1" applyAlignment="1">
      <alignment horizontal="left" vertical="center" wrapText="1"/>
    </xf>
    <xf numFmtId="0" fontId="10" fillId="4" borderId="13" xfId="5" applyFont="1" applyFill="1" applyBorder="1" applyAlignment="1">
      <alignment horizontal="left" vertical="center" wrapText="1"/>
    </xf>
    <xf numFmtId="43" fontId="10" fillId="0" borderId="0" xfId="5" applyNumberFormat="1" applyFont="1" applyFill="1" applyBorder="1" applyAlignment="1">
      <alignment horizontal="center" vertical="center"/>
    </xf>
    <xf numFmtId="0" fontId="17" fillId="0" borderId="1" xfId="5" applyNumberFormat="1" applyFont="1" applyBorder="1" applyAlignment="1">
      <alignment horizontal="right" vertical="top"/>
    </xf>
    <xf numFmtId="166" fontId="17" fillId="0" borderId="13" xfId="4" applyNumberFormat="1" applyFont="1" applyBorder="1" applyAlignment="1">
      <alignment vertical="center"/>
    </xf>
    <xf numFmtId="166" fontId="17" fillId="0" borderId="20" xfId="4" applyNumberFormat="1" applyFont="1" applyFill="1" applyBorder="1"/>
    <xf numFmtId="10" fontId="19" fillId="0" borderId="16" xfId="4" applyNumberFormat="1" applyFont="1" applyFill="1" applyBorder="1" applyAlignment="1" applyProtection="1">
      <alignment horizontal="right"/>
    </xf>
    <xf numFmtId="14" fontId="17" fillId="2" borderId="11" xfId="4" applyNumberFormat="1" applyFont="1" applyFill="1" applyBorder="1" applyAlignment="1" applyProtection="1">
      <alignment horizontal="right"/>
    </xf>
    <xf numFmtId="14" fontId="17" fillId="3" borderId="13" xfId="4" applyNumberFormat="1" applyFont="1" applyFill="1" applyBorder="1" applyAlignment="1" applyProtection="1">
      <alignment horizontal="right"/>
    </xf>
    <xf numFmtId="0" fontId="10" fillId="0" borderId="1" xfId="5" applyFont="1" applyFill="1" applyBorder="1" applyAlignment="1">
      <alignment horizontal="center" vertical="center"/>
    </xf>
    <xf numFmtId="0" fontId="10" fillId="0" borderId="1" xfId="5" applyFont="1" applyBorder="1"/>
    <xf numFmtId="165" fontId="17" fillId="0" borderId="1" xfId="5" applyNumberFormat="1" applyFont="1" applyFill="1" applyBorder="1" applyAlignment="1">
      <alignment horizontal="center" vertical="center" wrapText="1"/>
    </xf>
    <xf numFmtId="0" fontId="17" fillId="0" borderId="16" xfId="5" applyFont="1" applyBorder="1" applyAlignment="1">
      <alignment horizontal="right" vertical="top"/>
    </xf>
    <xf numFmtId="174" fontId="10" fillId="0" borderId="15" xfId="6" applyNumberFormat="1" applyFont="1" applyFill="1" applyBorder="1" applyAlignment="1">
      <alignment horizontal="center" vertical="center"/>
    </xf>
    <xf numFmtId="165" fontId="17" fillId="0" borderId="1" xfId="6" applyNumberFormat="1" applyFont="1" applyFill="1" applyBorder="1" applyAlignment="1">
      <alignment horizontal="center" vertical="center"/>
    </xf>
    <xf numFmtId="165" fontId="10" fillId="0" borderId="15" xfId="6" applyNumberFormat="1" applyFont="1" applyFill="1" applyBorder="1" applyAlignment="1">
      <alignment horizontal="center" vertical="center"/>
    </xf>
    <xf numFmtId="165" fontId="10" fillId="0" borderId="1" xfId="6" applyFont="1" applyFill="1" applyBorder="1" applyAlignment="1">
      <alignment horizontal="center" vertical="center"/>
    </xf>
    <xf numFmtId="43" fontId="10" fillId="0" borderId="1" xfId="5" applyNumberFormat="1" applyFont="1" applyFill="1" applyBorder="1" applyAlignment="1">
      <alignment wrapText="1"/>
    </xf>
    <xf numFmtId="175" fontId="17" fillId="2" borderId="13" xfId="4" applyNumberFormat="1" applyFont="1" applyFill="1" applyBorder="1" applyAlignment="1" applyProtection="1">
      <alignment horizontal="right"/>
    </xf>
    <xf numFmtId="14" fontId="17" fillId="0" borderId="0" xfId="6" applyNumberFormat="1" applyFont="1" applyFill="1" applyBorder="1" applyAlignment="1">
      <alignment horizontal="center" vertical="center"/>
    </xf>
    <xf numFmtId="14" fontId="17" fillId="0" borderId="0" xfId="5" applyNumberFormat="1" applyFont="1" applyFill="1" applyBorder="1" applyAlignment="1">
      <alignment vertical="center"/>
    </xf>
    <xf numFmtId="172" fontId="10" fillId="0" borderId="0" xfId="6" applyNumberFormat="1" applyFont="1" applyFill="1" applyBorder="1" applyAlignment="1">
      <alignment horizontal="center" vertical="center"/>
    </xf>
    <xf numFmtId="0" fontId="17" fillId="0" borderId="0" xfId="2" applyFont="1" applyFill="1" applyBorder="1" applyAlignment="1" applyProtection="1">
      <alignment wrapText="1"/>
    </xf>
    <xf numFmtId="0" fontId="17" fillId="0" borderId="0" xfId="5" applyFont="1" applyAlignment="1"/>
    <xf numFmtId="0" fontId="17" fillId="0" borderId="0" xfId="0" applyFont="1">
      <alignment vertical="center"/>
    </xf>
    <xf numFmtId="168" fontId="17" fillId="0" borderId="0" xfId="5" applyNumberFormat="1" applyFont="1" applyAlignment="1"/>
    <xf numFmtId="0" fontId="17" fillId="0" borderId="0" xfId="5" applyFont="1"/>
    <xf numFmtId="0" fontId="17" fillId="0" borderId="0" xfId="5" applyFont="1" applyBorder="1"/>
    <xf numFmtId="0" fontId="17" fillId="0" borderId="20" xfId="5" applyFont="1" applyBorder="1"/>
    <xf numFmtId="0" fontId="17" fillId="0" borderId="18" xfId="5" applyFont="1" applyBorder="1"/>
    <xf numFmtId="43" fontId="17" fillId="0" borderId="0" xfId="5" applyNumberFormat="1" applyFont="1"/>
    <xf numFmtId="170" fontId="17" fillId="0" borderId="0" xfId="7" applyNumberFormat="1" applyFont="1" applyFill="1" applyBorder="1" applyAlignment="1"/>
    <xf numFmtId="170" fontId="17" fillId="0" borderId="0" xfId="7" applyNumberFormat="1" applyFont="1" applyFill="1" applyBorder="1"/>
    <xf numFmtId="0" fontId="17" fillId="0" borderId="0" xfId="5" applyFont="1" applyFill="1" applyBorder="1"/>
    <xf numFmtId="0" fontId="17" fillId="0" borderId="1" xfId="0" applyFont="1" applyBorder="1" applyAlignment="1">
      <alignment vertical="center" wrapText="1"/>
    </xf>
    <xf numFmtId="0" fontId="17" fillId="0" borderId="0" xfId="5" applyFont="1" applyAlignment="1">
      <alignment horizontal="center"/>
    </xf>
    <xf numFmtId="0" fontId="10" fillId="5" borderId="1" xfId="5" applyFont="1" applyFill="1" applyBorder="1" applyAlignment="1">
      <alignment horizontal="center" vertical="center"/>
    </xf>
    <xf numFmtId="0" fontId="11" fillId="5" borderId="1" xfId="5" applyFont="1" applyFill="1" applyBorder="1" applyAlignment="1">
      <alignment horizontal="center" vertical="center"/>
    </xf>
    <xf numFmtId="0" fontId="10" fillId="5" borderId="13" xfId="5" applyFont="1" applyFill="1" applyBorder="1" applyAlignment="1">
      <alignment horizontal="center" vertical="center"/>
    </xf>
    <xf numFmtId="0" fontId="10" fillId="0" borderId="12" xfId="5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2" xfId="5" applyFont="1" applyBorder="1" applyAlignment="1">
      <alignment horizontal="left" vertical="top"/>
    </xf>
    <xf numFmtId="0" fontId="10" fillId="0" borderId="12" xfId="2" applyFont="1" applyBorder="1" applyAlignment="1" applyProtection="1">
      <alignment horizontal="left" vertical="top" wrapText="1"/>
    </xf>
    <xf numFmtId="0" fontId="10" fillId="0" borderId="0" xfId="5" applyFont="1" applyFill="1" applyBorder="1" applyAlignment="1">
      <alignment horizontal="left" vertical="center"/>
    </xf>
    <xf numFmtId="0" fontId="10" fillId="0" borderId="0" xfId="5" applyFont="1" applyFill="1" applyBorder="1" applyAlignment="1">
      <alignment horizontal="center" vertical="center" wrapText="1"/>
    </xf>
    <xf numFmtId="173" fontId="17" fillId="0" borderId="0" xfId="5" applyNumberFormat="1" applyFont="1" applyFill="1" applyBorder="1"/>
    <xf numFmtId="0" fontId="10" fillId="0" borderId="14" xfId="5" applyFont="1" applyBorder="1"/>
    <xf numFmtId="0" fontId="17" fillId="0" borderId="15" xfId="5" applyFont="1" applyBorder="1" applyAlignment="1">
      <alignment vertical="top"/>
    </xf>
    <xf numFmtId="165" fontId="17" fillId="0" borderId="1" xfId="5" applyNumberFormat="1" applyFont="1" applyBorder="1"/>
    <xf numFmtId="3" fontId="17" fillId="0" borderId="1" xfId="0" applyNumberFormat="1" applyFont="1" applyBorder="1" applyAlignment="1">
      <alignment horizontal="justify" vertical="center" wrapText="1"/>
    </xf>
    <xf numFmtId="176" fontId="17" fillId="0" borderId="0" xfId="5" applyNumberFormat="1" applyFont="1" applyFill="1" applyBorder="1"/>
    <xf numFmtId="43" fontId="17" fillId="0" borderId="1" xfId="5" applyNumberFormat="1" applyFont="1" applyFill="1" applyBorder="1" applyAlignment="1">
      <alignment vertical="center"/>
    </xf>
    <xf numFmtId="173" fontId="17" fillId="0" borderId="1" xfId="0" applyNumberFormat="1" applyFont="1" applyBorder="1" applyAlignment="1">
      <alignment horizontal="left" vertical="center" wrapText="1" indent="1"/>
    </xf>
    <xf numFmtId="177" fontId="10" fillId="0" borderId="0" xfId="5" applyNumberFormat="1" applyFont="1" applyFill="1" applyBorder="1" applyAlignment="1">
      <alignment vertical="center"/>
    </xf>
    <xf numFmtId="173" fontId="10" fillId="0" borderId="1" xfId="4" applyNumberFormat="1" applyFont="1" applyFill="1" applyBorder="1"/>
    <xf numFmtId="166" fontId="10" fillId="0" borderId="1" xfId="4" applyFont="1" applyBorder="1" applyAlignment="1">
      <alignment horizontal="center" vertical="center"/>
    </xf>
    <xf numFmtId="0" fontId="10" fillId="0" borderId="17" xfId="5" applyFont="1" applyFill="1" applyBorder="1" applyAlignment="1">
      <alignment horizontal="center" vertical="center"/>
    </xf>
    <xf numFmtId="0" fontId="10" fillId="0" borderId="24" xfId="5" applyFont="1" applyFill="1" applyBorder="1" applyAlignment="1">
      <alignment horizontal="center" vertical="center"/>
    </xf>
    <xf numFmtId="0" fontId="10" fillId="0" borderId="25" xfId="5" applyFont="1" applyFill="1" applyBorder="1" applyAlignment="1">
      <alignment horizontal="center" vertical="center"/>
    </xf>
    <xf numFmtId="0" fontId="10" fillId="0" borderId="1" xfId="5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top" wrapText="1"/>
    </xf>
    <xf numFmtId="0" fontId="10" fillId="0" borderId="6" xfId="5" applyFont="1" applyBorder="1" applyAlignment="1">
      <alignment horizontal="center" vertical="center"/>
    </xf>
    <xf numFmtId="0" fontId="10" fillId="0" borderId="7" xfId="5" applyFont="1" applyBorder="1" applyAlignment="1">
      <alignment horizontal="center" vertical="center"/>
    </xf>
    <xf numFmtId="0" fontId="17" fillId="0" borderId="12" xfId="2" applyFont="1" applyBorder="1" applyAlignment="1" applyProtection="1">
      <alignment horizontal="left" wrapText="1"/>
    </xf>
    <xf numFmtId="0" fontId="17" fillId="0" borderId="1" xfId="2" applyFont="1" applyBorder="1" applyAlignment="1" applyProtection="1">
      <alignment horizontal="left" wrapText="1"/>
    </xf>
    <xf numFmtId="0" fontId="10" fillId="5" borderId="9" xfId="5" applyFont="1" applyFill="1" applyBorder="1" applyAlignment="1">
      <alignment horizontal="center" vertical="center"/>
    </xf>
    <xf numFmtId="0" fontId="10" fillId="5" borderId="10" xfId="5" applyFont="1" applyFill="1" applyBorder="1" applyAlignment="1">
      <alignment horizontal="center" vertical="center"/>
    </xf>
    <xf numFmtId="0" fontId="10" fillId="5" borderId="21" xfId="5" applyFont="1" applyFill="1" applyBorder="1" applyAlignment="1">
      <alignment horizontal="center" vertical="center"/>
    </xf>
    <xf numFmtId="0" fontId="10" fillId="0" borderId="22" xfId="5" applyFont="1" applyBorder="1" applyAlignment="1">
      <alignment horizontal="center" vertical="center"/>
    </xf>
    <xf numFmtId="0" fontId="10" fillId="0" borderId="23" xfId="5" applyFont="1" applyBorder="1" applyAlignment="1">
      <alignment horizontal="center" vertical="center"/>
    </xf>
    <xf numFmtId="0" fontId="17" fillId="0" borderId="14" xfId="2" applyFont="1" applyFill="1" applyBorder="1" applyAlignment="1" applyProtection="1">
      <alignment horizontal="left" wrapText="1"/>
    </xf>
    <xf numFmtId="0" fontId="17" fillId="0" borderId="15" xfId="2" applyFont="1" applyFill="1" applyBorder="1" applyAlignment="1" applyProtection="1">
      <alignment horizontal="left" wrapText="1"/>
    </xf>
    <xf numFmtId="0" fontId="10" fillId="5" borderId="12" xfId="5" applyFont="1" applyFill="1" applyBorder="1" applyAlignment="1">
      <alignment horizontal="center" vertical="center"/>
    </xf>
    <xf numFmtId="0" fontId="10" fillId="4" borderId="12" xfId="5" applyFont="1" applyFill="1" applyBorder="1" applyAlignment="1">
      <alignment horizontal="center" vertical="center"/>
    </xf>
    <xf numFmtId="166" fontId="3" fillId="0" borderId="2" xfId="4" applyNumberFormat="1" applyFont="1" applyBorder="1" applyAlignment="1">
      <alignment vertical="center"/>
    </xf>
    <xf numFmtId="166" fontId="3" fillId="0" borderId="8" xfId="4" applyNumberFormat="1" applyFont="1" applyBorder="1" applyAlignment="1">
      <alignment vertical="center"/>
    </xf>
    <xf numFmtId="166" fontId="3" fillId="0" borderId="2" xfId="4" applyNumberFormat="1" applyFont="1" applyBorder="1" applyAlignment="1">
      <alignment horizontal="center" vertical="center"/>
    </xf>
    <xf numFmtId="166" fontId="3" fillId="0" borderId="3" xfId="4" applyNumberFormat="1" applyFont="1" applyBorder="1" applyAlignment="1">
      <alignment horizontal="center" vertical="center"/>
    </xf>
    <xf numFmtId="166" fontId="3" fillId="0" borderId="8" xfId="4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3" fillId="6" borderId="1" xfId="0" applyNumberFormat="1" applyFont="1" applyFill="1" applyBorder="1" applyAlignment="1">
      <alignment horizontal="center" vertical="center"/>
    </xf>
  </cellXfs>
  <cellStyles count="10">
    <cellStyle name="Comma" xfId="4" builtinId="3"/>
    <cellStyle name="Comma [0] 2" xfId="7" xr:uid="{DBB55ED2-373D-4EEC-8E10-3F61FF09727F}"/>
    <cellStyle name="Comma 2" xfId="6" xr:uid="{FA5A7F80-0D2E-4740-BE16-51FE5710921C}"/>
    <cellStyle name="Comma 3" xfId="9" xr:uid="{29039A81-9535-4A93-AA20-E3DAFB06467A}"/>
    <cellStyle name="Normal" xfId="0" builtinId="0"/>
    <cellStyle name="Normal 2" xfId="5" xr:uid="{681F7BFE-98F4-4572-8A15-5919B888D326}"/>
    <cellStyle name="Normal 2 2" xfId="2" xr:uid="{00000000-0005-0000-0000-000002000000}"/>
    <cellStyle name="Normal 3" xfId="8" xr:uid="{85A50F7D-7BB1-4DAF-9DA7-3F6ADE9A9EF8}"/>
    <cellStyle name="Percent" xfId="1" builtinId="5"/>
    <cellStyle name="Percent 2" xfId="3" xr:uid="{00000000-0005-0000-0000-000004000000}"/>
  </cellStyles>
  <dxfs count="0"/>
  <tableStyles count="0" defaultTableStyle="TableStyleMedium2" defaultPivotStyle="PivotStyleLight16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www.wps.cn/officeDocument/2020/cellImage" Target="NUL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196487</xdr:colOff>
      <xdr:row>0</xdr:row>
      <xdr:rowOff>143600</xdr:rowOff>
    </xdr:from>
    <xdr:to>
      <xdr:col>8</xdr:col>
      <xdr:colOff>181429</xdr:colOff>
      <xdr:row>1</xdr:row>
      <xdr:rowOff>21279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CAECC8-A70C-41BD-BE08-A082763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3451" y="143600"/>
          <a:ext cx="1322978" cy="27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207736</xdr:colOff>
      <xdr:row>1</xdr:row>
      <xdr:rowOff>54882</xdr:rowOff>
    </xdr:from>
    <xdr:to>
      <xdr:col>9</xdr:col>
      <xdr:colOff>693602</xdr:colOff>
      <xdr:row>1</xdr:row>
      <xdr:rowOff>283482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01C3BC-5DCB-454A-9ABF-49B25624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218" y="451757"/>
          <a:ext cx="4658723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171995</xdr:colOff>
      <xdr:row>1</xdr:row>
      <xdr:rowOff>328840</xdr:rowOff>
    </xdr:from>
    <xdr:to>
      <xdr:col>8</xdr:col>
      <xdr:colOff>267536</xdr:colOff>
      <xdr:row>2</xdr:row>
      <xdr:rowOff>219364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141A78F-F73B-40BE-80AF-50821729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450" y="732931"/>
          <a:ext cx="4067177" cy="236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56062</xdr:colOff>
      <xdr:row>5</xdr:row>
      <xdr:rowOff>144145</xdr:rowOff>
    </xdr:from>
    <xdr:to>
      <xdr:col>1</xdr:col>
      <xdr:colOff>1356814</xdr:colOff>
      <xdr:row>5</xdr:row>
      <xdr:rowOff>616948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32DE1D1-E46D-49D6-A8BD-43CD13D8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87" y="2332627"/>
          <a:ext cx="1300752" cy="472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1096101</xdr:colOff>
      <xdr:row>0</xdr:row>
      <xdr:rowOff>102052</xdr:rowOff>
    </xdr:from>
    <xdr:to>
      <xdr:col>11</xdr:col>
      <xdr:colOff>648825</xdr:colOff>
      <xdr:row>1</xdr:row>
      <xdr:rowOff>102052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36B4D96-B29E-4C46-BAC5-1C75F07E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7440" y="102052"/>
          <a:ext cx="3203974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1054554</xdr:colOff>
      <xdr:row>1</xdr:row>
      <xdr:rowOff>158750</xdr:rowOff>
    </xdr:from>
    <xdr:to>
      <xdr:col>11</xdr:col>
      <xdr:colOff>716904</xdr:colOff>
      <xdr:row>2</xdr:row>
      <xdr:rowOff>247559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7CF5249-1777-4B07-B635-68E10364D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5893" y="555625"/>
          <a:ext cx="3313600" cy="440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41B1E-19C4-4DAE-AB18-6E5D79C1867B}">
  <dimension ref="B1:X23"/>
  <sheetViews>
    <sheetView tabSelected="1" topLeftCell="A7" zoomScale="70" zoomScaleNormal="70" workbookViewId="0">
      <selection activeCell="H9" sqref="H9"/>
    </sheetView>
  </sheetViews>
  <sheetFormatPr defaultColWidth="9.6328125" defaultRowHeight="14"/>
  <cols>
    <col min="1" max="1" width="8.08984375" style="132" customWidth="1"/>
    <col min="2" max="2" width="21.1796875" style="132" customWidth="1"/>
    <col min="3" max="3" width="16.36328125" style="132" customWidth="1"/>
    <col min="4" max="4" width="25.08984375" style="132" customWidth="1"/>
    <col min="5" max="5" width="16.36328125" style="132" customWidth="1"/>
    <col min="6" max="6" width="21.81640625" style="132" customWidth="1"/>
    <col min="7" max="8" width="28.36328125" style="132" customWidth="1"/>
    <col min="9" max="9" width="29.90625" style="132" customWidth="1"/>
    <col min="10" max="10" width="26" style="132" customWidth="1"/>
    <col min="11" max="11" width="25.6328125" style="132" customWidth="1"/>
    <col min="12" max="12" width="37.6328125" style="132" customWidth="1"/>
    <col min="13" max="13" width="24.36328125" style="132" customWidth="1"/>
    <col min="14" max="14" width="21.6328125" style="132" customWidth="1"/>
    <col min="15" max="15" width="21.54296875" style="132" customWidth="1"/>
    <col min="16" max="16" width="21.1796875" style="132" customWidth="1"/>
    <col min="17" max="17" width="21.453125" style="132" customWidth="1"/>
    <col min="18" max="18" width="17.1796875" style="132" customWidth="1"/>
    <col min="19" max="19" width="22.90625" style="132" customWidth="1"/>
    <col min="20" max="21" width="14.6328125" style="132" customWidth="1"/>
    <col min="22" max="22" width="11.81640625" style="132" customWidth="1"/>
    <col min="23" max="23" width="12.90625" style="132" customWidth="1"/>
    <col min="24" max="24" width="11.90625" style="132" customWidth="1"/>
    <col min="25" max="25" width="13" style="132" customWidth="1"/>
    <col min="26" max="16384" width="9.6328125" style="132"/>
  </cols>
  <sheetData>
    <row r="1" spans="2:24" ht="31.75" customHeight="1" thickBot="1">
      <c r="Q1" s="129"/>
      <c r="R1" s="129"/>
      <c r="S1" s="129"/>
      <c r="T1" s="129"/>
      <c r="U1" s="129"/>
      <c r="V1" s="129"/>
      <c r="W1" s="141"/>
      <c r="X1" s="141"/>
    </row>
    <row r="2" spans="2:24" ht="27.65" customHeight="1">
      <c r="B2" s="129"/>
      <c r="C2" s="47" t="s">
        <v>29</v>
      </c>
      <c r="D2" s="48"/>
      <c r="E2" s="48"/>
      <c r="F2" s="49"/>
      <c r="G2" s="130"/>
      <c r="H2" s="130"/>
      <c r="I2" s="129"/>
      <c r="J2" s="129"/>
      <c r="K2" s="129"/>
      <c r="L2" s="129"/>
      <c r="M2" s="131"/>
      <c r="N2" s="129"/>
      <c r="O2" s="129"/>
      <c r="P2" s="129"/>
      <c r="Q2" s="129"/>
    </row>
    <row r="3" spans="2:24" ht="22.25" customHeight="1" thickBot="1">
      <c r="C3" s="167" t="s">
        <v>19</v>
      </c>
      <c r="D3" s="168"/>
      <c r="E3" s="133"/>
      <c r="F3" s="134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2:24" ht="43.25" customHeight="1">
      <c r="E4" s="174" t="s">
        <v>40</v>
      </c>
      <c r="F4" s="175"/>
      <c r="G4" s="50"/>
      <c r="H4" s="50"/>
      <c r="I4" s="50"/>
      <c r="J4" s="50"/>
      <c r="K4" s="50"/>
      <c r="L4" s="50"/>
      <c r="M4" s="50"/>
      <c r="N4" s="51"/>
      <c r="O4" s="51"/>
      <c r="P4" s="135"/>
    </row>
    <row r="5" spans="2:24" ht="47.4" customHeight="1" thickBot="1">
      <c r="E5" s="178" t="s">
        <v>22</v>
      </c>
      <c r="F5" s="142" t="s">
        <v>70</v>
      </c>
      <c r="G5" s="143" t="s">
        <v>71</v>
      </c>
      <c r="H5" s="143" t="s">
        <v>91</v>
      </c>
      <c r="I5" s="142" t="s">
        <v>72</v>
      </c>
      <c r="J5" s="142" t="s">
        <v>73</v>
      </c>
      <c r="K5" s="142" t="s">
        <v>74</v>
      </c>
      <c r="L5" s="142" t="s">
        <v>75</v>
      </c>
      <c r="M5" s="142" t="s">
        <v>76</v>
      </c>
      <c r="N5" s="142" t="s">
        <v>77</v>
      </c>
      <c r="O5" s="142" t="s">
        <v>78</v>
      </c>
      <c r="P5" s="144" t="s">
        <v>79</v>
      </c>
    </row>
    <row r="6" spans="2:24" ht="76.25" customHeight="1" thickBot="1">
      <c r="E6" s="179"/>
      <c r="F6" s="106" t="s">
        <v>50</v>
      </c>
      <c r="G6" s="106" t="s">
        <v>56</v>
      </c>
      <c r="H6" s="106" t="s">
        <v>92</v>
      </c>
      <c r="I6" s="106" t="s">
        <v>38</v>
      </c>
      <c r="J6" s="106" t="s">
        <v>39</v>
      </c>
      <c r="K6" s="106" t="s">
        <v>42</v>
      </c>
      <c r="L6" s="106" t="s">
        <v>51</v>
      </c>
      <c r="M6" s="106" t="s">
        <v>37</v>
      </c>
      <c r="N6" s="106" t="s">
        <v>53</v>
      </c>
      <c r="O6" s="106" t="s">
        <v>52</v>
      </c>
      <c r="P6" s="107" t="s">
        <v>54</v>
      </c>
      <c r="R6" s="37" t="s">
        <v>1</v>
      </c>
      <c r="S6" s="38"/>
      <c r="T6" s="113">
        <v>43405</v>
      </c>
    </row>
    <row r="7" spans="2:24" ht="28.25" customHeight="1">
      <c r="B7" s="171" t="s">
        <v>23</v>
      </c>
      <c r="C7" s="172"/>
      <c r="D7" s="173"/>
      <c r="E7" s="179"/>
      <c r="F7" s="86" t="s">
        <v>41</v>
      </c>
      <c r="G7" s="86" t="s">
        <v>14</v>
      </c>
      <c r="H7" s="86" t="s">
        <v>41</v>
      </c>
      <c r="I7" s="86" t="s">
        <v>60</v>
      </c>
      <c r="J7" s="86" t="s">
        <v>59</v>
      </c>
      <c r="K7" s="86" t="s">
        <v>13</v>
      </c>
      <c r="L7" s="86" t="s">
        <v>13</v>
      </c>
      <c r="M7" s="86" t="s">
        <v>59</v>
      </c>
      <c r="N7" s="86" t="s">
        <v>59</v>
      </c>
      <c r="O7" s="86" t="s">
        <v>59</v>
      </c>
      <c r="P7" s="87" t="s">
        <v>58</v>
      </c>
      <c r="R7" s="39" t="s">
        <v>2</v>
      </c>
      <c r="S7" s="40"/>
      <c r="T7" s="114">
        <v>44500</v>
      </c>
    </row>
    <row r="8" spans="2:24" ht="32.4" customHeight="1">
      <c r="B8" s="145" t="s">
        <v>80</v>
      </c>
      <c r="C8" s="99">
        <v>0.1</v>
      </c>
      <c r="D8" s="104"/>
      <c r="E8" s="45" t="s">
        <v>15</v>
      </c>
      <c r="F8" s="69">
        <f>Flowmeter!F4</f>
        <v>2431246</v>
      </c>
      <c r="G8" s="42">
        <v>0.49</v>
      </c>
      <c r="H8" s="69">
        <f>F8*G8</f>
        <v>1191310.54</v>
      </c>
      <c r="I8" s="43">
        <f>F8*G8*$C$11</f>
        <v>794.41245011296564</v>
      </c>
      <c r="J8" s="88">
        <v>0</v>
      </c>
      <c r="K8" s="43">
        <f>'Electricity Generation'!K4</f>
        <v>6937.4969999999994</v>
      </c>
      <c r="L8" s="41">
        <f>SUM('Electricity Generation'!G4:G5)</f>
        <v>3.7999999999999999E-2</v>
      </c>
      <c r="M8" s="95">
        <f>K8*$C$13*(1+$C$15)</f>
        <v>3458.4810044399997</v>
      </c>
      <c r="N8" s="120">
        <f>(1-$C$8)*(I8-J8)*$C$9+M8</f>
        <v>23477.674747286736</v>
      </c>
      <c r="O8" s="43">
        <f>L8*1000*$C$13*(1+$C$14)/1000</f>
        <v>2.20704E-2</v>
      </c>
      <c r="P8" s="97">
        <f>N8-O8</f>
        <v>23477.652676886737</v>
      </c>
      <c r="R8" s="169" t="s">
        <v>3</v>
      </c>
      <c r="S8" s="170"/>
      <c r="T8" s="36">
        <f>T7-T6+1</f>
        <v>1096</v>
      </c>
    </row>
    <row r="9" spans="2:24" ht="33" customHeight="1">
      <c r="B9" s="145" t="s">
        <v>81</v>
      </c>
      <c r="C9" s="99">
        <v>28</v>
      </c>
      <c r="D9" s="105" t="s">
        <v>57</v>
      </c>
      <c r="E9" s="45">
        <v>2019</v>
      </c>
      <c r="F9" s="69">
        <f>Flowmeter!F6</f>
        <v>12860948</v>
      </c>
      <c r="G9" s="42">
        <v>0.49</v>
      </c>
      <c r="H9" s="69">
        <f t="shared" ref="H9:H11" si="0">F9*G9</f>
        <v>6301864.5199999996</v>
      </c>
      <c r="I9" s="43">
        <f>F9*G9*$C$11</f>
        <v>4202.3296743544024</v>
      </c>
      <c r="J9" s="88">
        <v>0</v>
      </c>
      <c r="K9" s="43">
        <f>'Electricity Generation'!K6</f>
        <v>39928.202000000005</v>
      </c>
      <c r="L9" s="41">
        <f>SUM('Electricity Generation'!G6:G17)</f>
        <v>0.51400000000000001</v>
      </c>
      <c r="M9" s="95">
        <f>K9*$C$13*(1+$C$15)</f>
        <v>19905.007261040002</v>
      </c>
      <c r="N9" s="120">
        <f>(1-$C$8)*(I9-J9)*$C$9+M9</f>
        <v>125803.71505477096</v>
      </c>
      <c r="O9" s="43">
        <f>L9*1000*$C$13*(1+$C$14)/1000</f>
        <v>0.29853119999999994</v>
      </c>
      <c r="P9" s="97">
        <f>N9-O9</f>
        <v>125803.41652357097</v>
      </c>
      <c r="R9" s="169" t="s">
        <v>4</v>
      </c>
      <c r="S9" s="170"/>
      <c r="T9" s="110">
        <v>82116</v>
      </c>
    </row>
    <row r="10" spans="2:24" ht="36" customHeight="1">
      <c r="B10" s="146" t="s">
        <v>82</v>
      </c>
      <c r="C10" s="101">
        <v>0.4</v>
      </c>
      <c r="D10" s="105"/>
      <c r="E10" s="45">
        <v>2020</v>
      </c>
      <c r="F10" s="69">
        <f>Flowmeter!F18</f>
        <v>11719425</v>
      </c>
      <c r="G10" s="42">
        <v>0.49</v>
      </c>
      <c r="H10" s="69">
        <f t="shared" si="0"/>
        <v>5742518.25</v>
      </c>
      <c r="I10" s="43">
        <f>F10*G10*$C$11</f>
        <v>3829.3357102346458</v>
      </c>
      <c r="J10" s="88">
        <v>0</v>
      </c>
      <c r="K10" s="43">
        <f>'Electricity Generation'!K18</f>
        <v>37716.83296</v>
      </c>
      <c r="L10" s="41">
        <f>SUM('Electricity Generation'!G18:G29)</f>
        <v>0.64200000000000002</v>
      </c>
      <c r="M10" s="95">
        <f>K10*$C$13*(1+$C$15)</f>
        <v>18802.595567219203</v>
      </c>
      <c r="N10" s="120">
        <f>(1-$C$8)*(I10-J10)*$C$9+M10</f>
        <v>115301.85546513228</v>
      </c>
      <c r="O10" s="43">
        <f>L10*1000*$C$13*(1+$C$14)/1000</f>
        <v>0.37287360000000003</v>
      </c>
      <c r="P10" s="97">
        <f>N10-O10</f>
        <v>115301.48259153227</v>
      </c>
      <c r="R10" s="169" t="s">
        <v>34</v>
      </c>
      <c r="S10" s="170"/>
      <c r="T10" s="124">
        <f>T9*T8/365.333</f>
        <v>246348.22477027806</v>
      </c>
      <c r="U10" s="132" t="s">
        <v>35</v>
      </c>
    </row>
    <row r="11" spans="2:24" ht="36.65" customHeight="1">
      <c r="B11" s="147" t="s">
        <v>83</v>
      </c>
      <c r="C11" s="100">
        <f>C19*C17/C16/C18/1000</f>
        <v>6.6683910150997709E-4</v>
      </c>
      <c r="D11" s="105" t="s">
        <v>55</v>
      </c>
      <c r="E11" s="45" t="s">
        <v>16</v>
      </c>
      <c r="F11" s="69">
        <f>Flowmeter!F30</f>
        <v>11614099</v>
      </c>
      <c r="G11" s="42">
        <v>0.49</v>
      </c>
      <c r="H11" s="69">
        <f t="shared" si="0"/>
        <v>5690908.5099999998</v>
      </c>
      <c r="I11" s="43">
        <f>F11*G11*$C$11</f>
        <v>3794.9203175838825</v>
      </c>
      <c r="J11" s="88">
        <v>0</v>
      </c>
      <c r="K11" s="43">
        <f>'Electricity Generation'!K30</f>
        <v>32480.88048</v>
      </c>
      <c r="L11" s="41">
        <f>SUM('Electricity Generation'!G30:G39)</f>
        <v>1.2110000000000001</v>
      </c>
      <c r="M11" s="95">
        <f t="shared" ref="M11" si="1">K11*$C$13*(1+$C$15)</f>
        <v>16192.3685368896</v>
      </c>
      <c r="N11" s="120">
        <f>(1-$C$8)*(I11-J11)*$C$9+M11</f>
        <v>111824.36054000343</v>
      </c>
      <c r="O11" s="43">
        <f>L11*1000*$C$13*(1+$C$14)/1000</f>
        <v>0.7033488</v>
      </c>
      <c r="P11" s="97">
        <f>N11-O11</f>
        <v>111823.65719120343</v>
      </c>
      <c r="R11" s="169" t="s">
        <v>36</v>
      </c>
      <c r="S11" s="170"/>
      <c r="T11" s="111">
        <f>21171/365.333*T8</f>
        <v>63513.057949870388</v>
      </c>
      <c r="U11" s="132" t="s">
        <v>13</v>
      </c>
      <c r="V11" s="136">
        <f>(K12-T11)/K12*100</f>
        <v>45.744740712711121</v>
      </c>
    </row>
    <row r="12" spans="2:24" ht="41.4" customHeight="1" thickBot="1">
      <c r="B12" s="145" t="s">
        <v>84</v>
      </c>
      <c r="C12" s="100">
        <v>35.9</v>
      </c>
      <c r="D12" s="105" t="s">
        <v>24</v>
      </c>
      <c r="E12" s="46" t="s">
        <v>12</v>
      </c>
      <c r="F12" s="70">
        <f>SUM(F8:F11)</f>
        <v>38625718</v>
      </c>
      <c r="G12" s="52">
        <f>(G8+G9+G10+G11)/4</f>
        <v>0.49</v>
      </c>
      <c r="H12" s="161">
        <f>F12*G12</f>
        <v>18926601.82</v>
      </c>
      <c r="I12" s="44">
        <f>SUM(I8:I11)</f>
        <v>12620.998152285896</v>
      </c>
      <c r="J12" s="89">
        <v>0</v>
      </c>
      <c r="K12" s="44">
        <f>SUM(K8:K11)</f>
        <v>117063.41244000001</v>
      </c>
      <c r="L12" s="119">
        <f>SUM(L8:L11)</f>
        <v>2.4050000000000002</v>
      </c>
      <c r="M12" s="96">
        <f t="shared" ref="M12" si="2">SUM(M8:M11)</f>
        <v>58358.452369588806</v>
      </c>
      <c r="N12" s="121">
        <f>SUM(N8:N11)</f>
        <v>376407.60580719344</v>
      </c>
      <c r="O12" s="44">
        <f>SUM(O8:O11)</f>
        <v>1.3968240000000001</v>
      </c>
      <c r="P12" s="92">
        <f>SUM(P8:P11)</f>
        <v>376406.20898319344</v>
      </c>
      <c r="R12" s="169" t="s">
        <v>21</v>
      </c>
      <c r="S12" s="170"/>
      <c r="T12" s="124">
        <f>O23</f>
        <v>246346.60524640002</v>
      </c>
    </row>
    <row r="13" spans="2:24" ht="34.75" customHeight="1" thickBot="1">
      <c r="B13" s="148" t="s">
        <v>85</v>
      </c>
      <c r="C13" s="98">
        <v>0.48399999999999999</v>
      </c>
      <c r="D13" s="103" t="s">
        <v>30</v>
      </c>
      <c r="E13" s="91"/>
      <c r="F13" s="91"/>
      <c r="G13" s="137"/>
      <c r="H13" s="137"/>
      <c r="I13" s="137"/>
      <c r="J13" s="137"/>
      <c r="K13" s="137"/>
      <c r="L13" s="138"/>
      <c r="M13" s="138"/>
      <c r="N13" s="139"/>
      <c r="P13" s="139"/>
      <c r="Q13" s="138"/>
      <c r="R13" s="176" t="s">
        <v>6</v>
      </c>
      <c r="S13" s="177"/>
      <c r="T13" s="112">
        <f>(T12-T10)/T12</f>
        <v>-6.5741676302573559E-6</v>
      </c>
    </row>
    <row r="14" spans="2:24" ht="31.25" customHeight="1">
      <c r="B14" s="166" t="s">
        <v>86</v>
      </c>
      <c r="C14" s="109">
        <v>0.2</v>
      </c>
      <c r="D14" s="103" t="s">
        <v>47</v>
      </c>
      <c r="E14" s="81"/>
      <c r="F14" s="76"/>
      <c r="I14" s="108"/>
      <c r="J14" s="76"/>
      <c r="K14" s="76"/>
      <c r="L14" s="76"/>
      <c r="M14" s="76"/>
      <c r="N14" s="94"/>
      <c r="P14" s="139"/>
      <c r="Q14" s="139"/>
    </row>
    <row r="15" spans="2:24" ht="31.25" customHeight="1">
      <c r="B15" s="166"/>
      <c r="C15" s="109">
        <v>0.03</v>
      </c>
      <c r="D15" s="103" t="s">
        <v>48</v>
      </c>
      <c r="E15" s="81"/>
      <c r="F15" s="102"/>
      <c r="G15" s="76"/>
      <c r="H15" s="76"/>
      <c r="I15" s="76"/>
      <c r="J15" s="76"/>
      <c r="K15" s="76"/>
      <c r="L15" s="76"/>
      <c r="M15" s="149" t="s">
        <v>66</v>
      </c>
      <c r="N15" s="94"/>
      <c r="P15" s="139"/>
      <c r="Q15" s="139"/>
    </row>
    <row r="16" spans="2:24" ht="33.65" customHeight="1">
      <c r="B16" s="146" t="s">
        <v>87</v>
      </c>
      <c r="C16" s="99">
        <v>8314</v>
      </c>
      <c r="D16" s="103" t="s">
        <v>43</v>
      </c>
      <c r="G16" s="73"/>
      <c r="H16" s="73"/>
      <c r="I16" s="150"/>
      <c r="J16" s="165" t="s">
        <v>27</v>
      </c>
      <c r="K16" s="165"/>
      <c r="L16" s="165"/>
      <c r="M16" s="165"/>
      <c r="N16" s="165"/>
      <c r="O16" s="165"/>
      <c r="P16" s="139"/>
      <c r="Q16" s="139"/>
    </row>
    <row r="17" spans="2:18" ht="31.75" customHeight="1">
      <c r="B17" s="145" t="s">
        <v>88</v>
      </c>
      <c r="C17" s="99">
        <v>16.04</v>
      </c>
      <c r="D17" s="103" t="s">
        <v>44</v>
      </c>
      <c r="G17" s="125">
        <v>43405</v>
      </c>
      <c r="H17" s="125"/>
      <c r="I17" s="94">
        <v>43465</v>
      </c>
      <c r="J17" s="41"/>
      <c r="K17" s="93" t="s">
        <v>31</v>
      </c>
      <c r="L17" s="115" t="s">
        <v>32</v>
      </c>
      <c r="M17" s="162" t="s">
        <v>33</v>
      </c>
      <c r="N17" s="163"/>
      <c r="O17" s="164"/>
      <c r="P17" s="151"/>
      <c r="Q17" s="78"/>
    </row>
    <row r="18" spans="2:18" ht="27" customHeight="1">
      <c r="B18" s="145" t="s">
        <v>89</v>
      </c>
      <c r="C18" s="99">
        <v>293.14999999999998</v>
      </c>
      <c r="D18" s="103" t="s">
        <v>46</v>
      </c>
      <c r="E18" s="132" t="s">
        <v>49</v>
      </c>
      <c r="G18" s="73">
        <f>I17-G17+1</f>
        <v>61</v>
      </c>
      <c r="H18" s="73"/>
      <c r="I18" s="77"/>
      <c r="J18" s="41"/>
      <c r="K18" s="41"/>
      <c r="L18" s="41"/>
      <c r="M18" s="41" t="s">
        <v>67</v>
      </c>
      <c r="N18" s="41" t="s">
        <v>68</v>
      </c>
      <c r="O18" s="155" t="s">
        <v>69</v>
      </c>
      <c r="P18" s="151"/>
      <c r="Q18" s="139"/>
      <c r="R18" s="139"/>
    </row>
    <row r="19" spans="2:18" ht="17.5" thickBot="1">
      <c r="B19" s="152" t="s">
        <v>90</v>
      </c>
      <c r="C19" s="153">
        <v>101325</v>
      </c>
      <c r="D19" s="118" t="s">
        <v>45</v>
      </c>
      <c r="E19" s="132" t="s">
        <v>49</v>
      </c>
      <c r="G19" s="125">
        <v>44197</v>
      </c>
      <c r="H19" s="125"/>
      <c r="I19" s="126">
        <v>44500</v>
      </c>
      <c r="J19" s="116">
        <v>2018</v>
      </c>
      <c r="K19" s="117">
        <v>6937.4969999999994</v>
      </c>
      <c r="L19" s="140" t="s">
        <v>61</v>
      </c>
      <c r="M19" s="157">
        <f>82116*G18/365</f>
        <v>13723.495890410959</v>
      </c>
      <c r="N19" s="154">
        <v>0.02</v>
      </c>
      <c r="O19" s="158">
        <f>(M19-N19)</f>
        <v>13723.475890410959</v>
      </c>
      <c r="P19" s="156"/>
      <c r="Q19" s="139"/>
      <c r="R19" s="139"/>
    </row>
    <row r="20" spans="2:18" ht="51" customHeight="1">
      <c r="G20" s="127">
        <f>I19-G19+1</f>
        <v>304</v>
      </c>
      <c r="H20" s="127"/>
      <c r="I20" s="77">
        <f>I19-G17+1</f>
        <v>1096</v>
      </c>
      <c r="J20" s="116">
        <v>2019</v>
      </c>
      <c r="K20" s="117">
        <v>39928.202000000005</v>
      </c>
      <c r="L20" s="140" t="s">
        <v>62</v>
      </c>
      <c r="M20" s="157">
        <f>82116</f>
        <v>82116</v>
      </c>
      <c r="N20" s="154">
        <f t="shared" ref="N20:N22" si="3">O9</f>
        <v>0.29853119999999994</v>
      </c>
      <c r="O20" s="158">
        <f t="shared" ref="O20:O22" si="4">(M20-N20)</f>
        <v>82115.701468800005</v>
      </c>
      <c r="P20" s="151"/>
      <c r="Q20" s="139"/>
      <c r="R20" s="139"/>
    </row>
    <row r="21" spans="2:18" ht="53.4" customHeight="1">
      <c r="I21" s="77"/>
      <c r="J21" s="116">
        <v>2020</v>
      </c>
      <c r="K21" s="117">
        <v>37716.83296</v>
      </c>
      <c r="L21" s="140" t="s">
        <v>63</v>
      </c>
      <c r="M21" s="157">
        <f>82116</f>
        <v>82116</v>
      </c>
      <c r="N21" s="154">
        <f t="shared" si="3"/>
        <v>0.37287360000000003</v>
      </c>
      <c r="O21" s="158">
        <f t="shared" si="4"/>
        <v>82115.627126399995</v>
      </c>
      <c r="P21" s="151"/>
      <c r="Q21" s="128"/>
      <c r="R21" s="74"/>
    </row>
    <row r="22" spans="2:18" ht="43.75" customHeight="1">
      <c r="E22" s="79"/>
      <c r="F22" s="159">
        <f>2*1.1416</f>
        <v>2.2831999999999999</v>
      </c>
      <c r="G22" s="80"/>
      <c r="H22" s="80"/>
      <c r="I22" s="81"/>
      <c r="J22" s="116">
        <v>2021</v>
      </c>
      <c r="K22" s="117">
        <v>32480.88048</v>
      </c>
      <c r="L22" s="140" t="s">
        <v>64</v>
      </c>
      <c r="M22" s="157">
        <f>82116*G20/365</f>
        <v>68392.504109589048</v>
      </c>
      <c r="N22" s="154">
        <f t="shared" si="3"/>
        <v>0.7033488</v>
      </c>
      <c r="O22" s="158">
        <f t="shared" si="4"/>
        <v>68391.800760789047</v>
      </c>
      <c r="P22" s="151"/>
      <c r="Q22" s="128"/>
      <c r="R22" s="75"/>
    </row>
    <row r="23" spans="2:18" ht="31" customHeight="1">
      <c r="J23" s="122" t="s">
        <v>5</v>
      </c>
      <c r="K23" s="122">
        <v>117063.41244000001</v>
      </c>
      <c r="L23" s="123" t="s">
        <v>65</v>
      </c>
      <c r="M23" s="160">
        <f>SUM(M19:M22)</f>
        <v>246348</v>
      </c>
      <c r="N23" s="154">
        <f>O12</f>
        <v>1.3968240000000001</v>
      </c>
      <c r="O23" s="158">
        <f>SUM(O19:O22)</f>
        <v>246346.60524640002</v>
      </c>
      <c r="P23" s="151"/>
      <c r="Q23" s="133"/>
    </row>
  </sheetData>
  <mergeCells count="13">
    <mergeCell ref="M17:O17"/>
    <mergeCell ref="J16:O16"/>
    <mergeCell ref="B14:B15"/>
    <mergeCell ref="C3:D3"/>
    <mergeCell ref="R10:S10"/>
    <mergeCell ref="R9:S9"/>
    <mergeCell ref="R8:S8"/>
    <mergeCell ref="B7:D7"/>
    <mergeCell ref="E4:F4"/>
    <mergeCell ref="R13:S13"/>
    <mergeCell ref="R12:S12"/>
    <mergeCell ref="E5:E7"/>
    <mergeCell ref="R11:S11"/>
  </mergeCells>
  <phoneticPr fontId="16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3"/>
  <sheetViews>
    <sheetView showGridLines="0" zoomScale="83" zoomScaleNormal="83" workbookViewId="0">
      <selection activeCell="G40" sqref="G40"/>
    </sheetView>
  </sheetViews>
  <sheetFormatPr defaultColWidth="10" defaultRowHeight="14.5"/>
  <cols>
    <col min="2" max="2" width="12.08984375" customWidth="1"/>
    <col min="3" max="3" width="10.90625" customWidth="1"/>
    <col min="4" max="4" width="13.36328125" bestFit="1" customWidth="1"/>
    <col min="5" max="5" width="14.453125" bestFit="1" customWidth="1"/>
    <col min="6" max="6" width="14.54296875" bestFit="1" customWidth="1"/>
    <col min="7" max="7" width="14.453125" customWidth="1"/>
    <col min="8" max="8" width="15.08984375" customWidth="1"/>
    <col min="9" max="9" width="17" customWidth="1"/>
    <col min="10" max="10" width="39.81640625" customWidth="1"/>
    <col min="11" max="11" width="26.453125" customWidth="1"/>
    <col min="12" max="12" width="15.6328125" customWidth="1"/>
    <col min="13" max="13" width="10.453125" bestFit="1" customWidth="1"/>
    <col min="20" max="20" width="10.08984375" customWidth="1"/>
  </cols>
  <sheetData>
    <row r="2" spans="2:14" ht="15" thickBot="1">
      <c r="B2" s="1"/>
      <c r="C2" s="3"/>
      <c r="D2" s="3"/>
      <c r="E2" s="3"/>
      <c r="F2" s="3"/>
      <c r="G2" s="3"/>
      <c r="H2" s="3"/>
      <c r="I2" s="53"/>
      <c r="M2" s="31"/>
      <c r="N2" s="31"/>
    </row>
    <row r="3" spans="2:14" ht="72.5">
      <c r="B3" s="1"/>
      <c r="C3" s="65" t="s">
        <v>0</v>
      </c>
      <c r="D3" s="66" t="s">
        <v>8</v>
      </c>
      <c r="E3" s="66" t="s">
        <v>9</v>
      </c>
      <c r="F3" s="67" t="s">
        <v>25</v>
      </c>
      <c r="G3" s="67" t="s">
        <v>26</v>
      </c>
      <c r="H3" s="67" t="s">
        <v>11</v>
      </c>
      <c r="I3" s="67" t="s">
        <v>28</v>
      </c>
      <c r="J3" s="67" t="s">
        <v>10</v>
      </c>
      <c r="K3" s="84" t="s">
        <v>27</v>
      </c>
      <c r="L3" s="68" t="s">
        <v>7</v>
      </c>
      <c r="M3" s="57"/>
      <c r="N3" s="31"/>
    </row>
    <row r="4" spans="2:14">
      <c r="B4" s="1"/>
      <c r="C4" s="58">
        <v>43405</v>
      </c>
      <c r="D4" s="9">
        <v>43405</v>
      </c>
      <c r="E4" s="9">
        <v>43434</v>
      </c>
      <c r="F4" s="10">
        <v>3336.0940000000001</v>
      </c>
      <c r="G4" s="10">
        <v>0</v>
      </c>
      <c r="H4" s="4">
        <f t="shared" ref="H4:H39" si="0">F4-G4</f>
        <v>3336.0940000000001</v>
      </c>
      <c r="I4" s="4">
        <f>(3342790.08-15.12)/1000</f>
        <v>3342.7749599999997</v>
      </c>
      <c r="J4" s="8">
        <f>MIN(H4,I4)</f>
        <v>3336.0940000000001</v>
      </c>
      <c r="K4" s="180">
        <f>SUM(J4:J5)</f>
        <v>6937.4969999999994</v>
      </c>
      <c r="L4" s="59">
        <f t="shared" ref="L4:L39" si="1">H4-I4</f>
        <v>-6.6809599999996863</v>
      </c>
      <c r="M4" s="17"/>
      <c r="N4" s="31"/>
    </row>
    <row r="5" spans="2:14">
      <c r="B5" s="1"/>
      <c r="C5" s="58">
        <v>43435</v>
      </c>
      <c r="D5" s="9">
        <v>43435</v>
      </c>
      <c r="E5" s="9">
        <v>43465</v>
      </c>
      <c r="F5" s="10">
        <v>3601.4409999999998</v>
      </c>
      <c r="G5" s="10">
        <v>3.7999999999999999E-2</v>
      </c>
      <c r="H5" s="4">
        <f t="shared" si="0"/>
        <v>3601.4029999999998</v>
      </c>
      <c r="I5" s="4">
        <f>(3609007.92-68.04)/1000</f>
        <v>3608.9398799999999</v>
      </c>
      <c r="J5" s="8">
        <f t="shared" ref="J5:J39" si="2">MIN(H5,I5)</f>
        <v>3601.4029999999998</v>
      </c>
      <c r="K5" s="181"/>
      <c r="L5" s="59">
        <f>H5-I5</f>
        <v>-7.5368800000001102</v>
      </c>
      <c r="M5" s="17"/>
      <c r="N5" s="31"/>
    </row>
    <row r="6" spans="2:14">
      <c r="B6" s="1"/>
      <c r="C6" s="58">
        <v>43466</v>
      </c>
      <c r="D6" s="9">
        <v>43466</v>
      </c>
      <c r="E6" s="9">
        <v>43496</v>
      </c>
      <c r="F6" s="10">
        <v>3275.6860000000001</v>
      </c>
      <c r="G6" s="10">
        <v>0.151</v>
      </c>
      <c r="H6" s="4">
        <f t="shared" si="0"/>
        <v>3275.5350000000003</v>
      </c>
      <c r="I6" s="4">
        <f>(3281977.44-181.44)/1000</f>
        <v>3281.7959999999998</v>
      </c>
      <c r="J6" s="8">
        <f t="shared" si="2"/>
        <v>3275.5350000000003</v>
      </c>
      <c r="K6" s="182">
        <f>SUM(J6:J17)</f>
        <v>39928.202000000005</v>
      </c>
      <c r="L6" s="59">
        <f t="shared" si="1"/>
        <v>-6.2609999999995125</v>
      </c>
      <c r="M6" s="17"/>
      <c r="N6" s="31"/>
    </row>
    <row r="7" spans="2:14">
      <c r="B7" s="1"/>
      <c r="C7" s="58">
        <v>43497</v>
      </c>
      <c r="D7" s="9">
        <v>43497</v>
      </c>
      <c r="E7" s="9">
        <v>43524</v>
      </c>
      <c r="F7" s="11">
        <v>3246.3670000000002</v>
      </c>
      <c r="G7" s="11">
        <v>3.7999999999999999E-2</v>
      </c>
      <c r="H7" s="4">
        <f t="shared" si="0"/>
        <v>3246.3290000000002</v>
      </c>
      <c r="I7" s="4">
        <f>(3253158.72-45.36)/1000</f>
        <v>3253.1133600000003</v>
      </c>
      <c r="J7" s="8">
        <f t="shared" si="2"/>
        <v>3246.3290000000002</v>
      </c>
      <c r="K7" s="183"/>
      <c r="L7" s="59">
        <f t="shared" si="1"/>
        <v>-6.7843600000001061</v>
      </c>
      <c r="M7" s="17"/>
      <c r="N7" s="31"/>
    </row>
    <row r="8" spans="2:14">
      <c r="B8" s="1"/>
      <c r="C8" s="58">
        <v>43525</v>
      </c>
      <c r="D8" s="9">
        <v>43525</v>
      </c>
      <c r="E8" s="9">
        <v>43555</v>
      </c>
      <c r="F8" s="11">
        <v>3514.299</v>
      </c>
      <c r="G8" s="11">
        <v>1.4999999999999999E-2</v>
      </c>
      <c r="H8" s="4">
        <f t="shared" si="0"/>
        <v>3514.2840000000001</v>
      </c>
      <c r="I8" s="4">
        <f>(3521500.92-52.92)/1000</f>
        <v>3521.4479999999999</v>
      </c>
      <c r="J8" s="8">
        <f t="shared" si="2"/>
        <v>3514.2840000000001</v>
      </c>
      <c r="K8" s="183"/>
      <c r="L8" s="59">
        <f t="shared" si="1"/>
        <v>-7.1639999999997599</v>
      </c>
      <c r="M8" s="17"/>
      <c r="N8" s="31"/>
    </row>
    <row r="9" spans="2:14">
      <c r="B9" s="1"/>
      <c r="C9" s="58">
        <v>43556</v>
      </c>
      <c r="D9" s="9">
        <v>43556</v>
      </c>
      <c r="E9" s="9">
        <v>43585</v>
      </c>
      <c r="F9" s="11">
        <v>3017.1959999999999</v>
      </c>
      <c r="G9" s="11">
        <v>2.3E-2</v>
      </c>
      <c r="H9" s="4">
        <f t="shared" si="0"/>
        <v>3017.1729999999998</v>
      </c>
      <c r="I9" s="4">
        <f>(3022729.92-60.48)/1000</f>
        <v>3022.6694400000001</v>
      </c>
      <c r="J9" s="8">
        <f t="shared" si="2"/>
        <v>3017.1729999999998</v>
      </c>
      <c r="K9" s="183"/>
      <c r="L9" s="59">
        <f t="shared" si="1"/>
        <v>-5.4964400000003479</v>
      </c>
      <c r="M9" s="17"/>
      <c r="N9" s="31"/>
    </row>
    <row r="10" spans="2:14">
      <c r="B10" s="1"/>
      <c r="C10" s="58">
        <v>43586</v>
      </c>
      <c r="D10" s="9">
        <v>43586</v>
      </c>
      <c r="E10" s="9">
        <v>43616</v>
      </c>
      <c r="F10" s="11">
        <v>3572.1379999999999</v>
      </c>
      <c r="G10" s="11">
        <v>0.03</v>
      </c>
      <c r="H10" s="4">
        <f t="shared" si="0"/>
        <v>3572.1079999999997</v>
      </c>
      <c r="I10" s="4">
        <f>(3579614.64-37.8)/1000</f>
        <v>3579.5768400000002</v>
      </c>
      <c r="J10" s="8">
        <f t="shared" si="2"/>
        <v>3572.1079999999997</v>
      </c>
      <c r="K10" s="183"/>
      <c r="L10" s="59">
        <f t="shared" si="1"/>
        <v>-7.4688400000004549</v>
      </c>
      <c r="M10" s="17"/>
      <c r="N10" s="31"/>
    </row>
    <row r="11" spans="2:14">
      <c r="B11" s="1"/>
      <c r="C11" s="58">
        <v>43617</v>
      </c>
      <c r="D11" s="9">
        <v>43617</v>
      </c>
      <c r="E11" s="9">
        <v>43646</v>
      </c>
      <c r="F11" s="11">
        <v>3218.32</v>
      </c>
      <c r="G11" s="11">
        <v>8.3000000000000004E-2</v>
      </c>
      <c r="H11" s="4">
        <f t="shared" si="0"/>
        <v>3218.2370000000001</v>
      </c>
      <c r="I11" s="4">
        <f>(3224680.2-90.72)/1000</f>
        <v>3224.5894800000001</v>
      </c>
      <c r="J11" s="90">
        <f t="shared" si="2"/>
        <v>3218.2370000000001</v>
      </c>
      <c r="K11" s="183"/>
      <c r="L11" s="59">
        <f t="shared" si="1"/>
        <v>-6.3524800000000141</v>
      </c>
      <c r="M11" s="17"/>
      <c r="N11" s="31"/>
    </row>
    <row r="12" spans="2:14">
      <c r="B12" s="2"/>
      <c r="C12" s="58">
        <v>43647</v>
      </c>
      <c r="D12" s="9">
        <v>43647</v>
      </c>
      <c r="E12" s="9">
        <v>43677</v>
      </c>
      <c r="F12" s="11">
        <v>3645.5990000000002</v>
      </c>
      <c r="G12" s="11">
        <v>0</v>
      </c>
      <c r="H12" s="4">
        <f t="shared" si="0"/>
        <v>3645.5990000000002</v>
      </c>
      <c r="I12" s="4">
        <f>(3640563.36-0)/1000</f>
        <v>3640.5633599999996</v>
      </c>
      <c r="J12" s="8">
        <f t="shared" si="2"/>
        <v>3640.5633599999996</v>
      </c>
      <c r="K12" s="183"/>
      <c r="L12" s="59">
        <f t="shared" si="1"/>
        <v>5.0356400000005124</v>
      </c>
      <c r="M12" s="17"/>
      <c r="N12" s="6"/>
    </row>
    <row r="13" spans="2:14">
      <c r="B13" s="2"/>
      <c r="C13" s="58">
        <v>43678</v>
      </c>
      <c r="D13" s="9">
        <v>43678</v>
      </c>
      <c r="E13" s="9">
        <v>43708</v>
      </c>
      <c r="F13" s="11">
        <v>3639.136</v>
      </c>
      <c r="G13" s="11">
        <v>4.4999999999999998E-2</v>
      </c>
      <c r="H13" s="4">
        <f t="shared" si="0"/>
        <v>3639.0909999999999</v>
      </c>
      <c r="I13" s="4">
        <f>(3646777.68-45.36)/1000</f>
        <v>3646.7323200000001</v>
      </c>
      <c r="J13" s="8">
        <f t="shared" si="2"/>
        <v>3639.0909999999999</v>
      </c>
      <c r="K13" s="183"/>
      <c r="L13" s="59">
        <f t="shared" si="1"/>
        <v>-7.641320000000178</v>
      </c>
      <c r="M13" s="17"/>
      <c r="N13" s="5"/>
    </row>
    <row r="14" spans="2:14">
      <c r="B14" s="2"/>
      <c r="C14" s="58">
        <v>43709</v>
      </c>
      <c r="D14" s="9">
        <v>43709</v>
      </c>
      <c r="E14" s="9">
        <v>43738</v>
      </c>
      <c r="F14" s="11">
        <v>2839.7220000000002</v>
      </c>
      <c r="G14" s="11">
        <v>8.0000000000000002E-3</v>
      </c>
      <c r="H14" s="4">
        <f t="shared" si="0"/>
        <v>2839.7140000000004</v>
      </c>
      <c r="I14" s="4">
        <f>(2840617.08-7.56)/1000</f>
        <v>2840.60952</v>
      </c>
      <c r="J14" s="8">
        <f t="shared" si="2"/>
        <v>2839.7140000000004</v>
      </c>
      <c r="K14" s="183"/>
      <c r="L14" s="59">
        <f t="shared" si="1"/>
        <v>-0.89551999999957843</v>
      </c>
      <c r="M14" s="17"/>
      <c r="N14" s="5"/>
    </row>
    <row r="15" spans="2:14">
      <c r="B15" s="2"/>
      <c r="C15" s="58">
        <v>43739</v>
      </c>
      <c r="D15" s="9">
        <v>43739</v>
      </c>
      <c r="E15" s="9">
        <v>43769</v>
      </c>
      <c r="F15" s="11">
        <v>3171.2730000000001</v>
      </c>
      <c r="G15" s="11">
        <v>1.4999999999999999E-2</v>
      </c>
      <c r="H15" s="4">
        <f t="shared" si="0"/>
        <v>3171.2580000000003</v>
      </c>
      <c r="I15" s="4">
        <f>(2081744.28+1046704.68-2245.32-0)/1000</f>
        <v>3126.2036400000002</v>
      </c>
      <c r="J15" s="8">
        <f t="shared" si="2"/>
        <v>3126.2036400000002</v>
      </c>
      <c r="K15" s="183"/>
      <c r="L15" s="59">
        <f t="shared" si="1"/>
        <v>45.054360000000088</v>
      </c>
      <c r="M15" s="17"/>
      <c r="N15" s="31"/>
    </row>
    <row r="16" spans="2:14">
      <c r="B16" s="2"/>
      <c r="C16" s="58">
        <v>43770</v>
      </c>
      <c r="D16" s="9">
        <v>43770</v>
      </c>
      <c r="E16" s="9">
        <v>43799</v>
      </c>
      <c r="F16" s="11">
        <v>3425.373</v>
      </c>
      <c r="G16" s="11">
        <v>3.7999999999999999E-2</v>
      </c>
      <c r="H16" s="4">
        <f t="shared" si="0"/>
        <v>3425.335</v>
      </c>
      <c r="I16" s="4">
        <f>(3432383.64-37.8)/1000</f>
        <v>3432.3458400000004</v>
      </c>
      <c r="J16" s="8">
        <f t="shared" si="2"/>
        <v>3425.335</v>
      </c>
      <c r="K16" s="183"/>
      <c r="L16" s="59">
        <f t="shared" si="1"/>
        <v>-7.0108400000003712</v>
      </c>
      <c r="M16" s="17"/>
      <c r="N16" s="31"/>
    </row>
    <row r="17" spans="2:14">
      <c r="B17" s="2"/>
      <c r="C17" s="58">
        <v>43800</v>
      </c>
      <c r="D17" s="9">
        <v>43800</v>
      </c>
      <c r="E17" s="9">
        <v>43830</v>
      </c>
      <c r="F17" s="11">
        <v>3413.6970000000001</v>
      </c>
      <c r="G17" s="11">
        <v>6.8000000000000005E-2</v>
      </c>
      <c r="H17" s="4">
        <f>F17-G17</f>
        <v>3413.6289999999999</v>
      </c>
      <c r="I17" s="83"/>
      <c r="J17" s="8">
        <f t="shared" si="2"/>
        <v>3413.6289999999999</v>
      </c>
      <c r="K17" s="184"/>
      <c r="L17" s="59"/>
      <c r="M17" s="17"/>
      <c r="N17" s="31"/>
    </row>
    <row r="18" spans="2:14">
      <c r="B18" s="2"/>
      <c r="C18" s="60">
        <v>43831</v>
      </c>
      <c r="D18" s="54">
        <v>43831</v>
      </c>
      <c r="E18" s="54">
        <v>43861</v>
      </c>
      <c r="F18" s="55">
        <v>3204.4769999999999</v>
      </c>
      <c r="G18" s="55">
        <v>3.7999999999999999E-2</v>
      </c>
      <c r="H18" s="4">
        <f t="shared" si="0"/>
        <v>3204.4389999999999</v>
      </c>
      <c r="I18" s="4">
        <f>(3210490.08-37.8)/1000</f>
        <v>3210.4522800000004</v>
      </c>
      <c r="J18" s="8">
        <f t="shared" si="2"/>
        <v>3204.4389999999999</v>
      </c>
      <c r="K18" s="182">
        <f>SUM(J18:J29)</f>
        <v>37716.83296</v>
      </c>
      <c r="L18" s="59">
        <f t="shared" si="1"/>
        <v>-6.0132800000005773</v>
      </c>
      <c r="M18" s="17"/>
      <c r="N18" s="31"/>
    </row>
    <row r="19" spans="2:14">
      <c r="B19" s="2"/>
      <c r="C19" s="58">
        <v>43862</v>
      </c>
      <c r="D19" s="9">
        <v>43862</v>
      </c>
      <c r="E19" s="9">
        <v>43890</v>
      </c>
      <c r="F19" s="11">
        <v>2971.002</v>
      </c>
      <c r="G19" s="11">
        <v>0.14399999999999999</v>
      </c>
      <c r="H19" s="4">
        <f t="shared" si="0"/>
        <v>2970.8580000000002</v>
      </c>
      <c r="I19" s="4">
        <f>(2976712.2-143.64)/1000</f>
        <v>2976.5685600000002</v>
      </c>
      <c r="J19" s="8">
        <f t="shared" si="2"/>
        <v>2970.8580000000002</v>
      </c>
      <c r="K19" s="183"/>
      <c r="L19" s="59">
        <f t="shared" si="1"/>
        <v>-5.7105599999999868</v>
      </c>
      <c r="M19" s="17"/>
      <c r="N19" s="31"/>
    </row>
    <row r="20" spans="2:14">
      <c r="C20" s="58">
        <v>43891</v>
      </c>
      <c r="D20" s="9">
        <v>43891</v>
      </c>
      <c r="E20" s="9">
        <v>43921</v>
      </c>
      <c r="F20" s="11">
        <v>3341.1970000000001</v>
      </c>
      <c r="G20" s="11">
        <v>0.03</v>
      </c>
      <c r="H20" s="4">
        <f t="shared" si="0"/>
        <v>3341.1669999999999</v>
      </c>
      <c r="I20" s="4">
        <f>(3348482.76-30.24)/1000</f>
        <v>3348.4525199999994</v>
      </c>
      <c r="J20" s="8">
        <f t="shared" si="2"/>
        <v>3341.1669999999999</v>
      </c>
      <c r="K20" s="183"/>
      <c r="L20" s="59">
        <f t="shared" si="1"/>
        <v>-7.2855199999994511</v>
      </c>
      <c r="M20" s="17"/>
      <c r="N20" s="31"/>
    </row>
    <row r="21" spans="2:14">
      <c r="C21" s="58">
        <v>43922</v>
      </c>
      <c r="D21" s="9">
        <v>43922</v>
      </c>
      <c r="E21" s="9">
        <v>43951</v>
      </c>
      <c r="F21" s="11">
        <v>3121.9630000000002</v>
      </c>
      <c r="G21" s="11">
        <v>0.03</v>
      </c>
      <c r="H21" s="4">
        <f t="shared" si="0"/>
        <v>3121.933</v>
      </c>
      <c r="I21" s="4"/>
      <c r="J21" s="8">
        <f t="shared" si="2"/>
        <v>3121.933</v>
      </c>
      <c r="K21" s="183"/>
      <c r="L21" s="59"/>
      <c r="M21" s="17"/>
      <c r="N21" s="31"/>
    </row>
    <row r="22" spans="2:14">
      <c r="C22" s="58">
        <v>43952</v>
      </c>
      <c r="D22" s="9">
        <v>43952</v>
      </c>
      <c r="E22" s="9">
        <v>43982</v>
      </c>
      <c r="F22" s="11">
        <v>3106.02</v>
      </c>
      <c r="G22" s="11">
        <v>2.3E-2</v>
      </c>
      <c r="H22" s="4">
        <f t="shared" si="0"/>
        <v>3105.9969999999998</v>
      </c>
      <c r="I22" s="4">
        <f>(3111627.96-22.68)/1000</f>
        <v>3111.6052799999998</v>
      </c>
      <c r="J22" s="8">
        <f t="shared" si="2"/>
        <v>3105.9969999999998</v>
      </c>
      <c r="K22" s="183"/>
      <c r="L22" s="59">
        <f t="shared" si="1"/>
        <v>-5.6082799999999224</v>
      </c>
      <c r="M22" s="17"/>
      <c r="N22" s="31"/>
    </row>
    <row r="23" spans="2:14">
      <c r="C23" s="58">
        <v>43983</v>
      </c>
      <c r="D23" s="9">
        <v>43983</v>
      </c>
      <c r="E23" s="9">
        <v>44012</v>
      </c>
      <c r="F23" s="11">
        <v>3484.3960000000002</v>
      </c>
      <c r="G23" s="11">
        <v>6.8000000000000005E-2</v>
      </c>
      <c r="H23" s="4">
        <f t="shared" si="0"/>
        <v>3484.328</v>
      </c>
      <c r="I23" s="4">
        <f>(3491684.28-68.04)/1000</f>
        <v>3491.6162399999998</v>
      </c>
      <c r="J23" s="8">
        <f t="shared" si="2"/>
        <v>3484.328</v>
      </c>
      <c r="K23" s="183"/>
      <c r="L23" s="59">
        <f t="shared" si="1"/>
        <v>-7.2882399999998597</v>
      </c>
      <c r="M23" s="17"/>
      <c r="N23" s="31"/>
    </row>
    <row r="24" spans="2:14">
      <c r="C24" s="58">
        <v>44013</v>
      </c>
      <c r="D24" s="9">
        <v>44013</v>
      </c>
      <c r="E24" s="9">
        <v>44043</v>
      </c>
      <c r="F24" s="11">
        <v>3579.4459999999999</v>
      </c>
      <c r="G24" s="11">
        <v>3.7999999999999999E-2</v>
      </c>
      <c r="H24" s="4">
        <f t="shared" si="0"/>
        <v>3579.4079999999999</v>
      </c>
      <c r="I24" s="4">
        <f>(3586872.24-37.8)/1000</f>
        <v>3586.8344400000005</v>
      </c>
      <c r="J24" s="8">
        <f t="shared" si="2"/>
        <v>3579.4079999999999</v>
      </c>
      <c r="K24" s="183"/>
      <c r="L24" s="59">
        <f t="shared" si="1"/>
        <v>-7.426440000000639</v>
      </c>
      <c r="M24" s="17"/>
      <c r="N24" s="31"/>
    </row>
    <row r="25" spans="2:14">
      <c r="C25" s="58">
        <v>44044</v>
      </c>
      <c r="D25" s="9">
        <v>44044</v>
      </c>
      <c r="E25" s="9">
        <v>44074</v>
      </c>
      <c r="F25" s="11">
        <v>2854.7379999999998</v>
      </c>
      <c r="G25" s="11">
        <v>2.3E-2</v>
      </c>
      <c r="H25" s="4">
        <f t="shared" si="0"/>
        <v>2854.7149999999997</v>
      </c>
      <c r="I25" s="4">
        <f>(2851586.64-22.68)/1000</f>
        <v>2851.56396</v>
      </c>
      <c r="J25" s="8">
        <f t="shared" si="2"/>
        <v>2851.56396</v>
      </c>
      <c r="K25" s="183"/>
      <c r="L25" s="59">
        <f t="shared" si="1"/>
        <v>3.1510399999997389</v>
      </c>
      <c r="M25" s="17"/>
      <c r="N25" s="31"/>
    </row>
    <row r="26" spans="2:14">
      <c r="C26" s="58">
        <v>44075</v>
      </c>
      <c r="D26" s="9">
        <v>44075</v>
      </c>
      <c r="E26" s="9">
        <v>44104</v>
      </c>
      <c r="F26" s="11">
        <v>2549.9450000000002</v>
      </c>
      <c r="G26" s="11">
        <v>0.06</v>
      </c>
      <c r="H26" s="4">
        <f t="shared" si="0"/>
        <v>2549.8850000000002</v>
      </c>
      <c r="I26" s="4">
        <f>(2444200.92-60.48)/1000</f>
        <v>2444.1404400000001</v>
      </c>
      <c r="J26" s="8">
        <f t="shared" si="2"/>
        <v>2444.1404400000001</v>
      </c>
      <c r="K26" s="183"/>
      <c r="L26" s="59">
        <f t="shared" si="1"/>
        <v>105.74456000000009</v>
      </c>
      <c r="M26" s="17"/>
      <c r="N26" s="31"/>
    </row>
    <row r="27" spans="2:14">
      <c r="C27" s="58">
        <v>44105</v>
      </c>
      <c r="D27" s="9">
        <v>44105</v>
      </c>
      <c r="E27" s="9">
        <v>44135</v>
      </c>
      <c r="F27" s="11">
        <v>3247.558</v>
      </c>
      <c r="G27" s="11">
        <v>8.3000000000000004E-2</v>
      </c>
      <c r="H27" s="4">
        <f t="shared" si="0"/>
        <v>3247.4749999999999</v>
      </c>
      <c r="I27" s="4">
        <f>(3253725.72-83.16)/1000</f>
        <v>3253.6425600000002</v>
      </c>
      <c r="J27" s="8">
        <f t="shared" si="2"/>
        <v>3247.4749999999999</v>
      </c>
      <c r="K27" s="183"/>
      <c r="L27" s="59">
        <f t="shared" si="1"/>
        <v>-6.1675600000003215</v>
      </c>
      <c r="M27" s="17"/>
      <c r="N27" s="31"/>
    </row>
    <row r="28" spans="2:14">
      <c r="C28" s="58">
        <v>44136</v>
      </c>
      <c r="D28" s="9">
        <v>44136</v>
      </c>
      <c r="E28" s="9">
        <v>44165</v>
      </c>
      <c r="F28" s="11">
        <v>3111.9409999999998</v>
      </c>
      <c r="G28" s="11">
        <v>0.06</v>
      </c>
      <c r="H28" s="4">
        <f t="shared" si="0"/>
        <v>3111.8809999999999</v>
      </c>
      <c r="I28" s="4">
        <f t="shared" ref="I28:I39" si="3">(3253725.72-83.16)/1000</f>
        <v>3253.6425600000002</v>
      </c>
      <c r="J28" s="8">
        <f t="shared" si="2"/>
        <v>3111.8809999999999</v>
      </c>
      <c r="K28" s="183"/>
      <c r="L28" s="59">
        <f t="shared" si="1"/>
        <v>-141.76156000000037</v>
      </c>
      <c r="M28" s="17"/>
      <c r="N28" s="31"/>
    </row>
    <row r="29" spans="2:14">
      <c r="C29" s="58">
        <v>44166</v>
      </c>
      <c r="D29" s="9">
        <v>44166</v>
      </c>
      <c r="E29" s="9">
        <v>44196</v>
      </c>
      <c r="F29" s="11">
        <v>3461.547</v>
      </c>
      <c r="G29" s="11">
        <v>4.4999999999999998E-2</v>
      </c>
      <c r="H29" s="4">
        <f t="shared" si="0"/>
        <v>3461.502</v>
      </c>
      <c r="I29" s="4">
        <f t="shared" si="3"/>
        <v>3253.6425600000002</v>
      </c>
      <c r="J29" s="8">
        <f t="shared" si="2"/>
        <v>3253.6425600000002</v>
      </c>
      <c r="K29" s="184"/>
      <c r="L29" s="59">
        <f t="shared" si="1"/>
        <v>207.85943999999972</v>
      </c>
      <c r="M29" s="17"/>
      <c r="N29" s="31"/>
    </row>
    <row r="30" spans="2:14">
      <c r="C30" s="58">
        <v>44197</v>
      </c>
      <c r="D30" s="9">
        <v>44197</v>
      </c>
      <c r="E30" s="9">
        <v>44227</v>
      </c>
      <c r="F30" s="11">
        <v>3242.8429999999998</v>
      </c>
      <c r="G30" s="11">
        <v>2.3E-2</v>
      </c>
      <c r="H30" s="4">
        <f t="shared" si="0"/>
        <v>3242.8199999999997</v>
      </c>
      <c r="I30" s="4">
        <f t="shared" si="3"/>
        <v>3253.6425600000002</v>
      </c>
      <c r="J30" s="8">
        <f t="shared" si="2"/>
        <v>3242.8199999999997</v>
      </c>
      <c r="K30" s="182">
        <f>SUM(J30:J39)</f>
        <v>32480.88048</v>
      </c>
      <c r="L30" s="59">
        <f t="shared" si="1"/>
        <v>-10.822560000000522</v>
      </c>
      <c r="M30" s="17"/>
      <c r="N30" s="31"/>
    </row>
    <row r="31" spans="2:14">
      <c r="C31" s="58">
        <v>44228</v>
      </c>
      <c r="D31" s="9">
        <v>44228</v>
      </c>
      <c r="E31" s="9">
        <v>44255</v>
      </c>
      <c r="F31" s="11">
        <v>3208.9960000000001</v>
      </c>
      <c r="G31" s="11">
        <v>7.5999999999999998E-2</v>
      </c>
      <c r="H31" s="4">
        <f t="shared" si="0"/>
        <v>3208.92</v>
      </c>
      <c r="I31" s="4">
        <f t="shared" si="3"/>
        <v>3253.6425600000002</v>
      </c>
      <c r="J31" s="8">
        <f t="shared" si="2"/>
        <v>3208.92</v>
      </c>
      <c r="K31" s="183"/>
      <c r="L31" s="59">
        <f t="shared" si="1"/>
        <v>-44.722560000000158</v>
      </c>
      <c r="M31" s="17"/>
      <c r="N31" s="31"/>
    </row>
    <row r="32" spans="2:14">
      <c r="C32" s="58">
        <v>44256</v>
      </c>
      <c r="D32" s="9">
        <v>44256</v>
      </c>
      <c r="E32" s="9">
        <v>44286</v>
      </c>
      <c r="F32" s="11">
        <v>3464.2420000000002</v>
      </c>
      <c r="G32" s="11">
        <v>0.03</v>
      </c>
      <c r="H32" s="4">
        <f t="shared" si="0"/>
        <v>3464.212</v>
      </c>
      <c r="I32" s="4">
        <f t="shared" si="3"/>
        <v>3253.6425600000002</v>
      </c>
      <c r="J32" s="8">
        <f t="shared" si="2"/>
        <v>3253.6425600000002</v>
      </c>
      <c r="K32" s="183"/>
      <c r="L32" s="59">
        <f t="shared" si="1"/>
        <v>210.56943999999976</v>
      </c>
      <c r="M32" s="17"/>
      <c r="N32" s="31"/>
    </row>
    <row r="33" spans="3:14">
      <c r="C33" s="58">
        <v>44287</v>
      </c>
      <c r="D33" s="9">
        <v>44287</v>
      </c>
      <c r="E33" s="9">
        <v>44316</v>
      </c>
      <c r="F33" s="11">
        <v>3309.0050000000001</v>
      </c>
      <c r="G33" s="11">
        <v>9.8000000000000004E-2</v>
      </c>
      <c r="H33" s="4">
        <f t="shared" si="0"/>
        <v>3308.9070000000002</v>
      </c>
      <c r="I33" s="4">
        <f t="shared" si="3"/>
        <v>3253.6425600000002</v>
      </c>
      <c r="J33" s="8">
        <f t="shared" si="2"/>
        <v>3253.6425600000002</v>
      </c>
      <c r="K33" s="183"/>
      <c r="L33" s="59">
        <f t="shared" si="1"/>
        <v>55.264439999999922</v>
      </c>
      <c r="M33" s="17"/>
      <c r="N33" s="31"/>
    </row>
    <row r="34" spans="3:14">
      <c r="C34" s="58">
        <v>44317</v>
      </c>
      <c r="D34" s="9">
        <v>44317</v>
      </c>
      <c r="E34" s="9">
        <v>44347</v>
      </c>
      <c r="F34" s="11">
        <v>3641.3890000000001</v>
      </c>
      <c r="G34" s="11">
        <v>7.5999999999999998E-2</v>
      </c>
      <c r="H34" s="4">
        <f t="shared" si="0"/>
        <v>3641.3130000000001</v>
      </c>
      <c r="I34" s="4">
        <f t="shared" si="3"/>
        <v>3253.6425600000002</v>
      </c>
      <c r="J34" s="8">
        <f t="shared" si="2"/>
        <v>3253.6425600000002</v>
      </c>
      <c r="K34" s="183"/>
      <c r="L34" s="59">
        <f t="shared" si="1"/>
        <v>387.67043999999987</v>
      </c>
      <c r="M34" s="17"/>
      <c r="N34" s="31"/>
    </row>
    <row r="35" spans="3:14">
      <c r="C35" s="58">
        <v>44348</v>
      </c>
      <c r="D35" s="9">
        <v>44348</v>
      </c>
      <c r="E35" s="9">
        <v>44377</v>
      </c>
      <c r="F35" s="11">
        <v>3495.1309999999999</v>
      </c>
      <c r="G35" s="11">
        <v>0.21199999999999999</v>
      </c>
      <c r="H35" s="4">
        <f t="shared" si="0"/>
        <v>3494.9189999999999</v>
      </c>
      <c r="I35" s="4">
        <f t="shared" si="3"/>
        <v>3253.6425600000002</v>
      </c>
      <c r="J35" s="8">
        <f t="shared" si="2"/>
        <v>3253.6425600000002</v>
      </c>
      <c r="K35" s="183"/>
      <c r="L35" s="59">
        <f t="shared" si="1"/>
        <v>241.27643999999964</v>
      </c>
      <c r="M35" s="17"/>
      <c r="N35" s="31"/>
    </row>
    <row r="36" spans="3:14">
      <c r="C36" s="58">
        <v>44378</v>
      </c>
      <c r="D36" s="9">
        <v>44378</v>
      </c>
      <c r="E36" s="9">
        <v>44408</v>
      </c>
      <c r="F36" s="11">
        <v>3465.645</v>
      </c>
      <c r="G36" s="11">
        <v>0.24199999999999999</v>
      </c>
      <c r="H36" s="4">
        <f t="shared" si="0"/>
        <v>3465.4029999999998</v>
      </c>
      <c r="I36" s="4">
        <f t="shared" si="3"/>
        <v>3253.6425600000002</v>
      </c>
      <c r="J36" s="8">
        <f t="shared" si="2"/>
        <v>3253.6425600000002</v>
      </c>
      <c r="K36" s="183"/>
      <c r="L36" s="59">
        <f t="shared" si="1"/>
        <v>211.76043999999956</v>
      </c>
      <c r="M36" s="17"/>
      <c r="N36" s="31"/>
    </row>
    <row r="37" spans="3:14">
      <c r="C37" s="58">
        <v>44409</v>
      </c>
      <c r="D37" s="9">
        <v>44409</v>
      </c>
      <c r="E37" s="9">
        <v>44439</v>
      </c>
      <c r="F37" s="11">
        <v>4008.5529999999999</v>
      </c>
      <c r="G37" s="11">
        <v>0.21199999999999999</v>
      </c>
      <c r="H37" s="4">
        <f t="shared" si="0"/>
        <v>4008.3409999999999</v>
      </c>
      <c r="I37" s="4">
        <f t="shared" si="3"/>
        <v>3253.6425600000002</v>
      </c>
      <c r="J37" s="8">
        <f t="shared" si="2"/>
        <v>3253.6425600000002</v>
      </c>
      <c r="K37" s="183"/>
      <c r="L37" s="59">
        <f t="shared" si="1"/>
        <v>754.69843999999966</v>
      </c>
      <c r="M37" s="17"/>
      <c r="N37" s="31"/>
    </row>
    <row r="38" spans="3:14">
      <c r="C38" s="58">
        <v>44440</v>
      </c>
      <c r="D38" s="9">
        <v>44440</v>
      </c>
      <c r="E38" s="9">
        <v>44469</v>
      </c>
      <c r="F38" s="11">
        <v>3915.098</v>
      </c>
      <c r="G38" s="11">
        <v>5.2999999999999999E-2</v>
      </c>
      <c r="H38" s="4">
        <f t="shared" si="0"/>
        <v>3915.0450000000001</v>
      </c>
      <c r="I38" s="4">
        <f t="shared" si="3"/>
        <v>3253.6425600000002</v>
      </c>
      <c r="J38" s="8">
        <f t="shared" si="2"/>
        <v>3253.6425600000002</v>
      </c>
      <c r="K38" s="183"/>
      <c r="L38" s="59">
        <f t="shared" si="1"/>
        <v>661.40243999999984</v>
      </c>
      <c r="M38" s="17"/>
      <c r="N38" s="31"/>
    </row>
    <row r="39" spans="3:14">
      <c r="C39" s="58">
        <v>44470</v>
      </c>
      <c r="D39" s="9">
        <v>44470</v>
      </c>
      <c r="E39" s="9">
        <v>44500</v>
      </c>
      <c r="F39" s="11">
        <v>4031.163</v>
      </c>
      <c r="G39" s="11">
        <v>0.189</v>
      </c>
      <c r="H39" s="4">
        <f t="shared" si="0"/>
        <v>4030.9740000000002</v>
      </c>
      <c r="I39" s="4">
        <f t="shared" si="3"/>
        <v>3253.6425600000002</v>
      </c>
      <c r="J39" s="8">
        <f t="shared" si="2"/>
        <v>3253.6425600000002</v>
      </c>
      <c r="K39" s="184"/>
      <c r="L39" s="59">
        <f t="shared" si="1"/>
        <v>777.33143999999993</v>
      </c>
      <c r="M39" s="56"/>
      <c r="N39" s="31"/>
    </row>
    <row r="40" spans="3:14" ht="15" thickBot="1">
      <c r="C40" s="61" t="s">
        <v>5</v>
      </c>
      <c r="D40" s="62"/>
      <c r="E40" s="62"/>
      <c r="F40" s="63">
        <f t="shared" ref="F40:L40" si="4">SUM(F4:F39)</f>
        <v>120732.636</v>
      </c>
      <c r="G40" s="63">
        <f t="shared" si="4"/>
        <v>2.4050000000000002</v>
      </c>
      <c r="H40" s="71">
        <f t="shared" si="4"/>
        <v>120730.23099999999</v>
      </c>
      <c r="I40" s="71">
        <f t="shared" si="4"/>
        <v>110839.94964000009</v>
      </c>
      <c r="J40" s="72">
        <f t="shared" si="4"/>
        <v>117063.41244000004</v>
      </c>
      <c r="K40" s="85">
        <f t="shared" si="4"/>
        <v>117063.41244000001</v>
      </c>
      <c r="L40" s="82">
        <f t="shared" si="4"/>
        <v>3354.7193599999964</v>
      </c>
      <c r="M40" s="31"/>
      <c r="N40" s="31"/>
    </row>
    <row r="51" spans="3:13">
      <c r="C51" s="12"/>
      <c r="D51" s="13"/>
      <c r="E51" s="13"/>
      <c r="F51" s="14"/>
      <c r="G51" s="14"/>
      <c r="H51" s="15"/>
      <c r="I51" s="15"/>
      <c r="J51" s="16"/>
      <c r="K51" s="16"/>
      <c r="L51" s="18"/>
      <c r="M51" s="17"/>
    </row>
    <row r="53" spans="3:13">
      <c r="J53" s="20"/>
      <c r="K53" s="20"/>
    </row>
  </sheetData>
  <mergeCells count="4">
    <mergeCell ref="K4:K5"/>
    <mergeCell ref="K6:K17"/>
    <mergeCell ref="K18:K29"/>
    <mergeCell ref="K30:K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96A1-23F8-4C9E-B27D-CBB0CF4FAC3A}">
  <dimension ref="B2:L40"/>
  <sheetViews>
    <sheetView zoomScale="85" zoomScaleNormal="85" workbookViewId="0">
      <selection activeCell="H21" sqref="H21"/>
    </sheetView>
  </sheetViews>
  <sheetFormatPr defaultRowHeight="14.5"/>
  <cols>
    <col min="1" max="1" width="10.08984375" customWidth="1"/>
    <col min="2" max="2" width="11.90625" customWidth="1"/>
    <col min="3" max="3" width="11.54296875" customWidth="1"/>
    <col min="4" max="4" width="11.81640625" customWidth="1"/>
    <col min="5" max="5" width="15.54296875" style="33" customWidth="1"/>
    <col min="6" max="6" width="19.453125" customWidth="1"/>
    <col min="7" max="7" width="12.1796875" customWidth="1"/>
    <col min="8" max="8" width="11.453125" customWidth="1"/>
    <col min="9" max="9" width="10.6328125" customWidth="1"/>
    <col min="10" max="10" width="11.36328125" customWidth="1"/>
    <col min="11" max="11" width="11.453125" customWidth="1"/>
    <col min="12" max="12" width="11" customWidth="1"/>
  </cols>
  <sheetData>
    <row r="2" spans="2:12">
      <c r="B2" s="187" t="s">
        <v>0</v>
      </c>
      <c r="C2" s="187" t="s">
        <v>8</v>
      </c>
      <c r="D2" s="187" t="s">
        <v>9</v>
      </c>
      <c r="E2" s="64" t="s">
        <v>17</v>
      </c>
      <c r="F2" s="64" t="s">
        <v>20</v>
      </c>
      <c r="H2" s="26"/>
      <c r="I2" s="27"/>
      <c r="J2" s="28"/>
      <c r="K2" s="28"/>
      <c r="L2" s="28"/>
    </row>
    <row r="3" spans="2:12" ht="15">
      <c r="B3" s="187"/>
      <c r="C3" s="187"/>
      <c r="D3" s="187"/>
      <c r="E3" s="64" t="s">
        <v>18</v>
      </c>
      <c r="F3" s="64" t="s">
        <v>18</v>
      </c>
      <c r="H3" s="26"/>
      <c r="I3" s="27"/>
      <c r="J3" s="27"/>
      <c r="K3" s="27"/>
      <c r="L3" s="27"/>
    </row>
    <row r="4" spans="2:12">
      <c r="B4" s="24">
        <v>43405</v>
      </c>
      <c r="C4" s="25">
        <v>43405</v>
      </c>
      <c r="D4" s="25">
        <v>43434</v>
      </c>
      <c r="E4" s="32">
        <v>1268127</v>
      </c>
      <c r="F4" s="185">
        <f>SUM(E4:E5)</f>
        <v>2431246</v>
      </c>
      <c r="H4" s="29"/>
      <c r="I4" s="30"/>
      <c r="J4" s="31"/>
      <c r="K4" s="31"/>
      <c r="L4" s="31"/>
    </row>
    <row r="5" spans="2:12">
      <c r="B5" s="22">
        <v>43435</v>
      </c>
      <c r="C5" s="23">
        <v>43435</v>
      </c>
      <c r="D5" s="23">
        <v>43465</v>
      </c>
      <c r="E5" s="32">
        <v>1163119</v>
      </c>
      <c r="F5" s="186"/>
      <c r="H5" s="29"/>
      <c r="I5" s="30"/>
      <c r="J5" s="31"/>
      <c r="K5" s="31"/>
      <c r="L5" s="31"/>
    </row>
    <row r="6" spans="2:12">
      <c r="B6" s="22">
        <v>43466</v>
      </c>
      <c r="C6" s="23">
        <v>43466</v>
      </c>
      <c r="D6" s="23">
        <v>43496</v>
      </c>
      <c r="E6" s="32">
        <v>1117978</v>
      </c>
      <c r="F6" s="185">
        <f>SUM(E6:E17)</f>
        <v>12860948</v>
      </c>
      <c r="H6" s="29"/>
      <c r="I6" s="30"/>
      <c r="J6" s="31"/>
      <c r="K6" s="31"/>
      <c r="L6" s="31"/>
    </row>
    <row r="7" spans="2:12">
      <c r="B7" s="22">
        <v>43497</v>
      </c>
      <c r="C7" s="23">
        <v>43497</v>
      </c>
      <c r="D7" s="23">
        <v>43524</v>
      </c>
      <c r="E7" s="32">
        <v>1224600</v>
      </c>
      <c r="F7" s="186"/>
      <c r="H7" s="29"/>
      <c r="I7" s="30"/>
      <c r="J7" s="31"/>
      <c r="K7" s="31"/>
      <c r="L7" s="31"/>
    </row>
    <row r="8" spans="2:12">
      <c r="B8" s="22">
        <v>43525</v>
      </c>
      <c r="C8" s="23">
        <v>43525</v>
      </c>
      <c r="D8" s="23">
        <v>43555</v>
      </c>
      <c r="E8" s="32">
        <v>918237</v>
      </c>
      <c r="F8" s="186"/>
      <c r="H8" s="29"/>
      <c r="I8" s="30"/>
      <c r="J8" s="31"/>
      <c r="K8" s="31"/>
      <c r="L8" s="31"/>
    </row>
    <row r="9" spans="2:12">
      <c r="B9" s="22">
        <v>43556</v>
      </c>
      <c r="C9" s="23">
        <v>43556</v>
      </c>
      <c r="D9" s="23">
        <v>43585</v>
      </c>
      <c r="E9" s="32">
        <v>1283761</v>
      </c>
      <c r="F9" s="186"/>
      <c r="H9" s="29"/>
      <c r="I9" s="30"/>
      <c r="J9" s="31"/>
      <c r="K9" s="31"/>
      <c r="L9" s="31"/>
    </row>
    <row r="10" spans="2:12">
      <c r="B10" s="22">
        <v>43586</v>
      </c>
      <c r="C10" s="23">
        <v>43586</v>
      </c>
      <c r="D10" s="23">
        <v>43616</v>
      </c>
      <c r="E10" s="32">
        <v>1177116</v>
      </c>
      <c r="F10" s="186"/>
      <c r="H10" s="29"/>
      <c r="I10" s="30"/>
      <c r="J10" s="31"/>
      <c r="K10" s="31"/>
      <c r="L10" s="31"/>
    </row>
    <row r="11" spans="2:12">
      <c r="B11" s="22">
        <v>43617</v>
      </c>
      <c r="C11" s="23">
        <v>43617</v>
      </c>
      <c r="D11" s="23">
        <v>43646</v>
      </c>
      <c r="E11" s="32">
        <v>1349018</v>
      </c>
      <c r="F11" s="186"/>
      <c r="H11" s="29"/>
      <c r="I11" s="30"/>
      <c r="J11" s="31"/>
      <c r="K11" s="31"/>
      <c r="L11" s="31"/>
    </row>
    <row r="12" spans="2:12">
      <c r="B12" s="22">
        <v>43647</v>
      </c>
      <c r="C12" s="23">
        <v>43647</v>
      </c>
      <c r="D12" s="23">
        <v>43677</v>
      </c>
      <c r="E12" s="32">
        <v>1438844</v>
      </c>
      <c r="F12" s="186"/>
      <c r="H12" s="29"/>
      <c r="I12" s="30"/>
      <c r="J12" s="31"/>
      <c r="K12" s="31"/>
      <c r="L12" s="31"/>
    </row>
    <row r="13" spans="2:12">
      <c r="B13" s="22">
        <v>43678</v>
      </c>
      <c r="C13" s="23">
        <v>43678</v>
      </c>
      <c r="D13" s="23">
        <v>43708</v>
      </c>
      <c r="E13" s="32">
        <v>859737</v>
      </c>
      <c r="F13" s="186"/>
      <c r="H13" s="29"/>
      <c r="I13" s="30"/>
      <c r="J13" s="31"/>
      <c r="K13" s="31"/>
      <c r="L13" s="31"/>
    </row>
    <row r="14" spans="2:12">
      <c r="B14" s="22">
        <v>43709</v>
      </c>
      <c r="C14" s="23">
        <v>43709</v>
      </c>
      <c r="D14" s="23">
        <v>43738</v>
      </c>
      <c r="E14" s="32">
        <v>948529</v>
      </c>
      <c r="F14" s="186"/>
      <c r="H14" s="29"/>
      <c r="I14" s="31"/>
      <c r="J14" s="31"/>
      <c r="K14" s="31"/>
      <c r="L14" s="30"/>
    </row>
    <row r="15" spans="2:12">
      <c r="B15" s="22">
        <v>43739</v>
      </c>
      <c r="C15" s="23">
        <v>43739</v>
      </c>
      <c r="D15" s="23">
        <v>43769</v>
      </c>
      <c r="E15" s="32">
        <v>891215</v>
      </c>
      <c r="F15" s="186"/>
      <c r="H15" s="29"/>
      <c r="I15" s="31"/>
      <c r="J15" s="31"/>
      <c r="K15" s="31"/>
      <c r="L15" s="30"/>
    </row>
    <row r="16" spans="2:12">
      <c r="B16" s="22">
        <v>43770</v>
      </c>
      <c r="C16" s="23">
        <v>43770</v>
      </c>
      <c r="D16" s="23">
        <v>43799</v>
      </c>
      <c r="E16" s="32">
        <v>858834</v>
      </c>
      <c r="F16" s="186"/>
      <c r="H16" s="29"/>
      <c r="I16" s="30"/>
      <c r="J16" s="30"/>
      <c r="K16" s="30"/>
      <c r="L16" s="30"/>
    </row>
    <row r="17" spans="2:12">
      <c r="B17" s="22">
        <v>43800</v>
      </c>
      <c r="C17" s="23">
        <v>43800</v>
      </c>
      <c r="D17" s="23">
        <v>43830</v>
      </c>
      <c r="E17" s="32">
        <v>793079</v>
      </c>
      <c r="F17" s="186"/>
      <c r="H17" s="31"/>
      <c r="I17" s="31"/>
      <c r="J17" s="31"/>
      <c r="K17" s="31"/>
      <c r="L17" s="31"/>
    </row>
    <row r="18" spans="2:12">
      <c r="B18" s="22">
        <v>43831</v>
      </c>
      <c r="C18" s="23">
        <v>43831</v>
      </c>
      <c r="D18" s="23">
        <v>43861</v>
      </c>
      <c r="E18" s="32">
        <v>705733</v>
      </c>
      <c r="F18" s="185">
        <f>SUM(E18:E29)</f>
        <v>11719425</v>
      </c>
    </row>
    <row r="19" spans="2:12">
      <c r="B19" s="22">
        <v>43862</v>
      </c>
      <c r="C19" s="23">
        <v>43862</v>
      </c>
      <c r="D19" s="23">
        <v>43890</v>
      </c>
      <c r="E19" s="32">
        <v>786557</v>
      </c>
      <c r="F19" s="186"/>
    </row>
    <row r="20" spans="2:12">
      <c r="B20" s="22">
        <v>43891</v>
      </c>
      <c r="C20" s="23">
        <v>43891</v>
      </c>
      <c r="D20" s="23">
        <v>43921</v>
      </c>
      <c r="E20" s="32">
        <v>925389</v>
      </c>
      <c r="F20" s="186"/>
    </row>
    <row r="21" spans="2:12">
      <c r="B21" s="22">
        <v>43922</v>
      </c>
      <c r="C21" s="23">
        <v>43922</v>
      </c>
      <c r="D21" s="23">
        <v>43951</v>
      </c>
      <c r="E21" s="32">
        <v>1003495</v>
      </c>
      <c r="F21" s="186"/>
    </row>
    <row r="22" spans="2:12">
      <c r="B22" s="22">
        <v>43952</v>
      </c>
      <c r="C22" s="23">
        <v>43952</v>
      </c>
      <c r="D22" s="23">
        <v>43982</v>
      </c>
      <c r="E22" s="32">
        <v>1376137</v>
      </c>
      <c r="F22" s="186"/>
    </row>
    <row r="23" spans="2:12">
      <c r="B23" s="22">
        <v>43983</v>
      </c>
      <c r="C23" s="23">
        <v>43983</v>
      </c>
      <c r="D23" s="23">
        <v>44012</v>
      </c>
      <c r="E23" s="32">
        <v>1399990</v>
      </c>
      <c r="F23" s="186"/>
    </row>
    <row r="24" spans="2:12">
      <c r="B24" s="22">
        <v>44013</v>
      </c>
      <c r="C24" s="23">
        <v>44013</v>
      </c>
      <c r="D24" s="23">
        <v>44043</v>
      </c>
      <c r="E24" s="32">
        <v>1069942</v>
      </c>
      <c r="F24" s="186"/>
    </row>
    <row r="25" spans="2:12">
      <c r="B25" s="22">
        <v>44044</v>
      </c>
      <c r="C25" s="23">
        <v>44044</v>
      </c>
      <c r="D25" s="23">
        <v>44074</v>
      </c>
      <c r="E25" s="32">
        <v>932213</v>
      </c>
      <c r="F25" s="186"/>
    </row>
    <row r="26" spans="2:12">
      <c r="B26" s="22">
        <v>44075</v>
      </c>
      <c r="C26" s="23">
        <v>44075</v>
      </c>
      <c r="D26" s="23">
        <v>44104</v>
      </c>
      <c r="E26" s="32">
        <v>932213</v>
      </c>
      <c r="F26" s="186"/>
    </row>
    <row r="27" spans="2:12">
      <c r="B27" s="22">
        <v>44105</v>
      </c>
      <c r="C27" s="23">
        <v>44105</v>
      </c>
      <c r="D27" s="23">
        <v>44135</v>
      </c>
      <c r="E27" s="32">
        <v>853913</v>
      </c>
      <c r="F27" s="186"/>
    </row>
    <row r="28" spans="2:12">
      <c r="B28" s="22">
        <v>44136</v>
      </c>
      <c r="C28" s="23">
        <v>44136</v>
      </c>
      <c r="D28" s="23">
        <v>44165</v>
      </c>
      <c r="E28" s="32">
        <v>902562</v>
      </c>
      <c r="F28" s="186"/>
    </row>
    <row r="29" spans="2:12">
      <c r="B29" s="22">
        <v>44166</v>
      </c>
      <c r="C29" s="23">
        <v>44166</v>
      </c>
      <c r="D29" s="23">
        <v>44196</v>
      </c>
      <c r="E29" s="32">
        <v>831281</v>
      </c>
      <c r="F29" s="186"/>
    </row>
    <row r="30" spans="2:12">
      <c r="B30" s="22">
        <v>44197</v>
      </c>
      <c r="C30" s="23">
        <v>44197</v>
      </c>
      <c r="D30" s="23">
        <v>44227</v>
      </c>
      <c r="E30" s="32">
        <v>780542</v>
      </c>
      <c r="F30" s="185">
        <f>SUM(E30:E39)</f>
        <v>11614099</v>
      </c>
    </row>
    <row r="31" spans="2:12">
      <c r="B31" s="22">
        <v>44228</v>
      </c>
      <c r="C31" s="23">
        <v>44228</v>
      </c>
      <c r="D31" s="23">
        <v>44255</v>
      </c>
      <c r="E31" s="32">
        <v>864295</v>
      </c>
      <c r="F31" s="186"/>
    </row>
    <row r="32" spans="2:12">
      <c r="B32" s="22">
        <v>44256</v>
      </c>
      <c r="C32" s="23">
        <v>44256</v>
      </c>
      <c r="D32" s="23">
        <v>44286</v>
      </c>
      <c r="E32" s="32">
        <v>868700</v>
      </c>
      <c r="F32" s="186"/>
    </row>
    <row r="33" spans="2:6">
      <c r="B33" s="22">
        <v>44287</v>
      </c>
      <c r="C33" s="23">
        <v>44287</v>
      </c>
      <c r="D33" s="23">
        <v>44316</v>
      </c>
      <c r="E33" s="32">
        <v>1016482</v>
      </c>
      <c r="F33" s="186"/>
    </row>
    <row r="34" spans="2:6">
      <c r="B34" s="22">
        <v>44317</v>
      </c>
      <c r="C34" s="23">
        <v>44317</v>
      </c>
      <c r="D34" s="23">
        <v>44347</v>
      </c>
      <c r="E34" s="32">
        <v>989521</v>
      </c>
      <c r="F34" s="186"/>
    </row>
    <row r="35" spans="2:6">
      <c r="B35" s="22">
        <v>44348</v>
      </c>
      <c r="C35" s="23">
        <v>44348</v>
      </c>
      <c r="D35" s="23">
        <v>44377</v>
      </c>
      <c r="E35" s="32">
        <v>1031903</v>
      </c>
      <c r="F35" s="186"/>
    </row>
    <row r="36" spans="2:6">
      <c r="B36" s="22">
        <v>44378</v>
      </c>
      <c r="C36" s="23">
        <v>44378</v>
      </c>
      <c r="D36" s="23">
        <v>44408</v>
      </c>
      <c r="E36" s="32">
        <v>1249740</v>
      </c>
      <c r="F36" s="186"/>
    </row>
    <row r="37" spans="2:6">
      <c r="B37" s="22">
        <v>44409</v>
      </c>
      <c r="C37" s="23">
        <v>44409</v>
      </c>
      <c r="D37" s="23">
        <v>44439</v>
      </c>
      <c r="E37" s="32">
        <v>1314759</v>
      </c>
      <c r="F37" s="186"/>
    </row>
    <row r="38" spans="2:6">
      <c r="B38" s="22">
        <v>44440</v>
      </c>
      <c r="C38" s="23">
        <v>44440</v>
      </c>
      <c r="D38" s="23">
        <v>44469</v>
      </c>
      <c r="E38" s="32">
        <v>1727841</v>
      </c>
      <c r="F38" s="186"/>
    </row>
    <row r="39" spans="2:6">
      <c r="B39" s="22">
        <v>44470</v>
      </c>
      <c r="C39" s="23">
        <v>44470</v>
      </c>
      <c r="D39" s="23">
        <v>44500</v>
      </c>
      <c r="E39" s="32">
        <v>1770316</v>
      </c>
      <c r="F39" s="186"/>
    </row>
    <row r="40" spans="2:6">
      <c r="B40" s="7" t="s">
        <v>5</v>
      </c>
      <c r="C40" s="19"/>
      <c r="D40" s="19"/>
      <c r="E40" s="35">
        <f>SUM(E4:E39)</f>
        <v>38625718</v>
      </c>
      <c r="F40" s="34">
        <f>SUM(F4:F39)</f>
        <v>38625718</v>
      </c>
    </row>
  </sheetData>
  <mergeCells count="7">
    <mergeCell ref="F30:F39"/>
    <mergeCell ref="B2:B3"/>
    <mergeCell ref="C2:C3"/>
    <mergeCell ref="D2:D3"/>
    <mergeCell ref="F4:F5"/>
    <mergeCell ref="F6:F17"/>
    <mergeCell ref="F18:F29"/>
  </mergeCells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 Calculation</vt:lpstr>
      <vt:lpstr>Electricity Generation</vt:lpstr>
      <vt:lpstr>Flowmeter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RMX1911</dc:creator>
  <cp:lastModifiedBy>Ece Coşgun - EKI</cp:lastModifiedBy>
  <dcterms:created xsi:type="dcterms:W3CDTF">2006-09-15T18:30:00Z</dcterms:created>
  <dcterms:modified xsi:type="dcterms:W3CDTF">2022-08-18T11:53:16Z</dcterms:modified>
</cp:coreProperties>
</file>