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pgnet-my.sharepoint.com/personal/sachhin_patra_asvata_com/Documents/Shared Team Folder_Carbon Offsets/Operation Folder/GHG Project/VCS/GMR_1685/Verification/Final Registry Submission Documents/"/>
    </mc:Choice>
  </mc:AlternateContent>
  <xr:revisionPtr revIDLastSave="0" documentId="8_{4B33CB0C-60DB-48A4-943D-E66E8BB0343D}" xr6:coauthVersionLast="47" xr6:coauthVersionMax="47" xr10:uidLastSave="{00000000-0000-0000-0000-000000000000}"/>
  <bookViews>
    <workbookView xWindow="-110" yWindow="-110" windowWidth="19420" windowHeight="10300" activeTab="4" xr2:uid="{96F63316-D390-4D64-AD8E-72447C46FDCC}"/>
  </bookViews>
  <sheets>
    <sheet name="Introduction" sheetId="8" r:id="rId1"/>
    <sheet name="Generation and ER calculation" sheetId="5" r:id="rId2"/>
    <sheet name="ER comparison" sheetId="9" r:id="rId3"/>
    <sheet name="Apportioning Cal " sheetId="10" r:id="rId4"/>
    <sheet name="March-22" sheetId="12" r:id="rId5"/>
  </sheets>
  <externalReferences>
    <externalReference r:id="rId6"/>
  </externalReferences>
  <definedNames>
    <definedName name="Aux_Coal">[1]Assumptions!$D$17</definedName>
    <definedName name="Aux_CoalR1">#N/A</definedName>
    <definedName name="Aux_CoalR2">[1]Assumptions!$E$30</definedName>
    <definedName name="Aux_CoalR3">[1]Assumptions!$F$30</definedName>
    <definedName name="Aux_CoalR4">[1]Assumptions!$G$30</definedName>
    <definedName name="Aux_CoalR5">#N/A</definedName>
    <definedName name="Aux_Diesel">[1]Assumptions!$I$17</definedName>
    <definedName name="Aux_DieselOC">#N/A</definedName>
    <definedName name="Aux_Gas">[1]Assumptions!$F$17</definedName>
    <definedName name="Aux_GasOC">[1]Assumptions!$G$17</definedName>
    <definedName name="Aux_Hydro">[1]Assumptions!$L$17</definedName>
    <definedName name="Aux_Lign">[1]Assumptions!$E$17</definedName>
    <definedName name="Aux_LignR1">#N/A</definedName>
    <definedName name="Aux_LignR2">#N/A</definedName>
    <definedName name="Aux_LignR3">#N/A</definedName>
    <definedName name="Aux_Napt">[1]Assumptions!$K$17</definedName>
    <definedName name="Aux_Nuclear">[1]Assumptions!$M$17</definedName>
    <definedName name="Aux_Oil">[1]Assumptions!$H$17</definedName>
    <definedName name="Bottom_ash">#N/A</definedName>
    <definedName name="Density_Diesel">[1]Assumptions!$I$22</definedName>
    <definedName name="Density_DieselOC">#N/A</definedName>
    <definedName name="Density_Naphta">[1]Assumptions!$K$22</definedName>
    <definedName name="Density_Oil">[1]Assumptions!$H$22</definedName>
    <definedName name="Fly_ash">#N/A</definedName>
    <definedName name="GCV_Coal">[1]Assumptions!$D$21</definedName>
    <definedName name="GCV_Diesel">[1]Assumptions!$I$21</definedName>
    <definedName name="GCV_DieselOC">#N/A</definedName>
    <definedName name="GCV_Gas">[1]Assumptions!$F$21</definedName>
    <definedName name="GCV_Naphta">[1]Assumptions!$K$21</definedName>
    <definedName name="GCV_Oil">[1]Assumptions!$H$21</definedName>
    <definedName name="I22Density_Naphta">#N/A</definedName>
    <definedName name="kJ_kcal">[1]Assumptions!$D$66</definedName>
    <definedName name="MJ_kWh">#N/A</definedName>
    <definedName name="OpHours_Hydro">#N/A</definedName>
    <definedName name="PLF_Gas">#N/A</definedName>
    <definedName name="_xlnm.Print_Area" localSheetId="4">'March-22'!$A$1:$U$13</definedName>
    <definedName name="SpecCons_OillF2">[1]Assumptions!$D$20</definedName>
    <definedName name="SpecCons_OillF2_Lign">#N/A</definedName>
    <definedName name="SpecEm_Coal">[1]Assumptions!$D$23</definedName>
    <definedName name="SpecEm_CoalR1">#N/A</definedName>
    <definedName name="SpecEm_CoalR2">[1]Assumptions!$E$34</definedName>
    <definedName name="SpecEm_CoalR3">[1]Assumptions!$F$34</definedName>
    <definedName name="SpecEm_CoalR4">[1]Assumptions!$G$34</definedName>
    <definedName name="SpecEm_CoalR5">#N/A</definedName>
    <definedName name="SpecEm_Diesel">[1]Assumptions!$I$23</definedName>
    <definedName name="SpecEm_DieselOC">[1]Assumptions!$J$23</definedName>
    <definedName name="SpecEm_DieselR1">#N/A</definedName>
    <definedName name="SpecEm_DieselR2">#N/A</definedName>
    <definedName name="SpecEm_DieselR3">[1]Assumptions!$F$52</definedName>
    <definedName name="SpecEm_DieselR4">[1]Assumptions!$G$52</definedName>
    <definedName name="SpecEm_Gas">[1]Assumptions!$F$23</definedName>
    <definedName name="SpecEm_GasOC">[1]Assumptions!$G$23</definedName>
    <definedName name="SpecEm_GasR1">[1]Assumptions!$D$47</definedName>
    <definedName name="SpecEm_GasR2">[1]Assumptions!$E$47</definedName>
    <definedName name="SpecEm_GasR3">[1]Assumptions!$F$47</definedName>
    <definedName name="SpecEm_GasR4">#N/A</definedName>
    <definedName name="SpecEm_Lignite">[1]Assumptions!$E$23</definedName>
    <definedName name="SpecEm_LignR1">#N/A</definedName>
    <definedName name="SpecEm_LignR2">#N/A</definedName>
    <definedName name="SpecEm_LignR3">#N/A</definedName>
    <definedName name="SpecEm_Naphta">[1]Assumptions!$D$58</definedName>
    <definedName name="SpecEm_Oil">[1]Assumptions!$H$23</definedName>
    <definedName name="Weight_BM">[1]Assumptions!$D$63</definedName>
    <definedName name="Weight_OM">[1]Assumptions!$D$62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5" l="1"/>
  <c r="H11" i="5"/>
  <c r="G3" i="10"/>
  <c r="F3" i="10"/>
  <c r="H3" i="10" s="1"/>
  <c r="B3" i="10"/>
  <c r="A3" i="10"/>
  <c r="C25" i="5" s="1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E12" i="9"/>
  <c r="E11" i="9"/>
  <c r="D12" i="9"/>
  <c r="D11" i="9"/>
  <c r="C13" i="9"/>
  <c r="C12" i="9"/>
  <c r="C11" i="9"/>
  <c r="E9" i="5"/>
  <c r="F9" i="5"/>
  <c r="E25" i="5" l="1"/>
  <c r="H25" i="5" s="1"/>
  <c r="C3" i="10"/>
  <c r="F24" i="5"/>
  <c r="F23" i="5"/>
  <c r="F11" i="5"/>
  <c r="F12" i="5"/>
  <c r="F13" i="5"/>
  <c r="F14" i="5"/>
  <c r="F15" i="5"/>
  <c r="F16" i="5"/>
  <c r="F17" i="5"/>
  <c r="F18" i="5"/>
  <c r="F19" i="5"/>
  <c r="F20" i="5"/>
  <c r="F21" i="5"/>
  <c r="F10" i="5"/>
  <c r="F8" i="5"/>
  <c r="F7" i="5"/>
  <c r="E22" i="5"/>
  <c r="E15" i="5"/>
  <c r="E7" i="5"/>
  <c r="F25" i="5" l="1"/>
  <c r="F26" i="5" s="1"/>
  <c r="F27" i="5" s="1"/>
  <c r="C22" i="5"/>
  <c r="D22" i="5"/>
  <c r="F22" i="5"/>
  <c r="H9" i="5"/>
  <c r="G3" i="5"/>
  <c r="C5" i="9" s="1"/>
  <c r="H20" i="5"/>
  <c r="H21" i="5"/>
  <c r="E8" i="5"/>
  <c r="H8" i="5" s="1"/>
  <c r="C9" i="5"/>
  <c r="D9" i="5"/>
  <c r="E10" i="5"/>
  <c r="H10" i="5" s="1"/>
  <c r="E11" i="5"/>
  <c r="E12" i="5"/>
  <c r="H12" i="5" s="1"/>
  <c r="E13" i="5"/>
  <c r="H13" i="5" s="1"/>
  <c r="E14" i="5"/>
  <c r="H14" i="5" s="1"/>
  <c r="H15" i="5"/>
  <c r="E16" i="5"/>
  <c r="H16" i="5" s="1"/>
  <c r="E17" i="5"/>
  <c r="H17" i="5" s="1"/>
  <c r="E18" i="5"/>
  <c r="H18" i="5" s="1"/>
  <c r="E19" i="5"/>
  <c r="H19" i="5" s="1"/>
  <c r="E20" i="5"/>
  <c r="E21" i="5"/>
  <c r="E23" i="5"/>
  <c r="H23" i="5" s="1"/>
  <c r="E24" i="5"/>
  <c r="H24" i="5"/>
  <c r="C26" i="5"/>
  <c r="D26" i="5"/>
  <c r="H22" i="5" l="1"/>
  <c r="H7" i="5"/>
  <c r="D27" i="5"/>
  <c r="C27" i="5"/>
  <c r="E26" i="5" l="1"/>
  <c r="E27" i="5" s="1"/>
  <c r="H26" i="5" l="1"/>
  <c r="H27" i="5" l="1"/>
  <c r="C6" i="9" s="1"/>
  <c r="C7" i="9" s="1"/>
  <c r="D13" i="9"/>
  <c r="E13" i="9" s="1"/>
</calcChain>
</file>

<file path=xl/sharedStrings.xml><?xml version="1.0" encoding="utf-8"?>
<sst xmlns="http://schemas.openxmlformats.org/spreadsheetml/2006/main" count="124" uniqueCount="90">
  <si>
    <t>From</t>
  </si>
  <si>
    <t>To</t>
  </si>
  <si>
    <t>Monitoring Period</t>
  </si>
  <si>
    <t>Project Title</t>
  </si>
  <si>
    <t xml:space="preserve">Grid connected 25 MW P V solar power project at Charanka in Gujarat
</t>
  </si>
  <si>
    <t>Project Proponent</t>
  </si>
  <si>
    <t>M/s GMR Gujarat Solar Power Private Limited</t>
  </si>
  <si>
    <t xml:space="preserve">VCS Ref No. </t>
  </si>
  <si>
    <t>Number of days</t>
  </si>
  <si>
    <t>Quantity of net electricity generation supplied MWh (EGfacility,y )</t>
  </si>
  <si>
    <t>Electricity Import kWh</t>
  </si>
  <si>
    <t>Electricity Export kWh</t>
  </si>
  <si>
    <t>Meter Reading for Month</t>
  </si>
  <si>
    <t>Both dates Inclusive</t>
  </si>
  <si>
    <t>Monitoring period</t>
  </si>
  <si>
    <t>Difference in percentage</t>
  </si>
  <si>
    <t>ER Version  Date</t>
  </si>
  <si>
    <t xml:space="preserve">Total </t>
  </si>
  <si>
    <t>Nov'20</t>
  </si>
  <si>
    <t>Dec'20</t>
  </si>
  <si>
    <t>Jan'21</t>
  </si>
  <si>
    <t>Feb'21</t>
  </si>
  <si>
    <t>Mar'21</t>
  </si>
  <si>
    <t>April'21</t>
  </si>
  <si>
    <t>May'21</t>
  </si>
  <si>
    <t>June'21</t>
  </si>
  <si>
    <t>July'21</t>
  </si>
  <si>
    <t>Aug'21</t>
  </si>
  <si>
    <t>Sep'21</t>
  </si>
  <si>
    <t>Oct'21</t>
  </si>
  <si>
    <t>Nov'21</t>
  </si>
  <si>
    <t>Dec'21</t>
  </si>
  <si>
    <t>Jan'22</t>
  </si>
  <si>
    <t>Feb'22</t>
  </si>
  <si>
    <t>01/03/2022 to 03/03/2022*</t>
  </si>
  <si>
    <t>Total 2020</t>
  </si>
  <si>
    <t>Emission Factor (tCO2e/MWh)</t>
  </si>
  <si>
    <t>Total 2021</t>
  </si>
  <si>
    <t>Total 2022</t>
  </si>
  <si>
    <t xml:space="preserve">ER Version No. </t>
  </si>
  <si>
    <t>(01-Nov-2020 to 03-March-2022) Inclusive of both days</t>
  </si>
  <si>
    <t>Net electricity export as per invoice</t>
  </si>
  <si>
    <t>01-Nov-2020 to 03-March-2022
(first and last dates included)</t>
  </si>
  <si>
    <t>Annual emission reductions estimated in the registered PDMR</t>
  </si>
  <si>
    <t>Emission reductions for the Monitoring period as per estimates in the registered PDMR</t>
  </si>
  <si>
    <t>Emission Reduction    (VERs) (tCO2e)</t>
  </si>
  <si>
    <t>Actual reductions for the current monitoring period</t>
  </si>
  <si>
    <t>Vintage Period</t>
  </si>
  <si>
    <t xml:space="preserve">Difference </t>
  </si>
  <si>
    <t>01-Nov-2020 to 31-Dec-2020</t>
  </si>
  <si>
    <t>01-Jan-2021 to 31-Dec-2021</t>
  </si>
  <si>
    <t>01-Jan-2022 to 03-March-2022</t>
  </si>
  <si>
    <t>Ex-ante estimated reductions</t>
  </si>
  <si>
    <t>Achieved reductions</t>
  </si>
  <si>
    <t>Date</t>
  </si>
  <si>
    <t>ABT meter Generation (KWh)</t>
  </si>
  <si>
    <t xml:space="preserve">Date </t>
  </si>
  <si>
    <t xml:space="preserve">As per JMR </t>
  </si>
  <si>
    <t xml:space="preserve">As per Daily Generation Data for 3 days </t>
  </si>
  <si>
    <t>GGSPPL-25MW GENERATION TRACKING REPORT FOR THE MONTH OF Dec-2021</t>
  </si>
  <si>
    <t>Inverter Generation(KWH)</t>
  </si>
  <si>
    <t>Line loss(KWH)</t>
  </si>
  <si>
    <t>5MW Average Irradiation(Kwh/m2/day)</t>
  </si>
  <si>
    <t>20MW Average Irradiation(Kwh/m2/day)</t>
  </si>
  <si>
    <t>25MW Average Irradiation(Kwh/m2/day)</t>
  </si>
  <si>
    <t>5MW PR %</t>
  </si>
  <si>
    <t>20MW PR%</t>
  </si>
  <si>
    <t xml:space="preserve"> 25 PR %</t>
  </si>
  <si>
    <t>PLF/day</t>
  </si>
  <si>
    <t>Total Reactive power consuption (MVarh)</t>
  </si>
  <si>
    <t>Night time Power Factor</t>
  </si>
  <si>
    <t xml:space="preserve">Module Temperature(AVG) </t>
  </si>
  <si>
    <t>25MW Avg.ambient Temp.</t>
  </si>
  <si>
    <t>Wind Speed Data</t>
  </si>
  <si>
    <t>Plant Availability Accept Clint Breakdown</t>
  </si>
  <si>
    <t>Observations</t>
  </si>
  <si>
    <t>T/F-1</t>
  </si>
  <si>
    <t>T/F-2</t>
  </si>
  <si>
    <t>T/F-3</t>
  </si>
  <si>
    <t>Degree</t>
  </si>
  <si>
    <t>m/s</t>
  </si>
  <si>
    <t xml:space="preserve">% </t>
  </si>
  <si>
    <t>1.Weather is  Fully cloudy                                                                                                          2.Increase in generation  as compared to previous day.                                                                                                                                                                                                                                                                                                            3.No any loop off .</t>
  </si>
  <si>
    <t>1.Weather is  Fully cloudy                                                                                                          2. Decrease in generation  as compared to previous day.                                                                                                                                                                                                                                                                                                            3.No any loop off .</t>
  </si>
  <si>
    <t>Auxiliary consumption</t>
  </si>
  <si>
    <t>*As the end date of the monitoring period is 03 March 2022, apportioning approach has been applied to calculate the net electricity generation for the 3 days of March. Apportioning is conisdered from daily generation records as a conservative approach</t>
  </si>
  <si>
    <t>Import value (kwh)</t>
  </si>
  <si>
    <t>Export value (kwh)</t>
  </si>
  <si>
    <t>Net export (kwh)</t>
  </si>
  <si>
    <t>V1.3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</si>
</sst>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[$-409]d\-mmm\-yy;@"/>
    <numFmt numFmtId="168" formatCode="0.000"/>
    <numFmt numFmtId="169" formatCode="0.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Times New Roman"/>
      <family val="1"/>
    </font>
    <font>
      <sz val="1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1" applyNumberFormat="0" applyAlignment="0" applyProtection="0"/>
    <xf numFmtId="0" fontId="5" fillId="0" borderId="2" applyNumberFormat="0" applyFill="0" applyAlignment="0" applyProtection="0"/>
    <xf numFmtId="0" fontId="6" fillId="21" borderId="3" applyNumberForma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164" fontId="2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17" fillId="0" borderId="0"/>
    <xf numFmtId="167" fontId="20" fillId="0" borderId="0"/>
    <xf numFmtId="0" fontId="1" fillId="0" borderId="0"/>
    <xf numFmtId="0" fontId="1" fillId="23" borderId="7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9" xfId="0" applyFont="1" applyBorder="1" applyAlignment="1">
      <alignment horizontal="center"/>
    </xf>
    <xf numFmtId="15" fontId="22" fillId="0" borderId="9" xfId="0" applyNumberFormat="1" applyFont="1" applyBorder="1" applyAlignment="1">
      <alignment horizontal="center"/>
    </xf>
    <xf numFmtId="0" fontId="0" fillId="0" borderId="9" xfId="0" applyBorder="1" applyAlignment="1">
      <alignment vertical="center" wrapText="1"/>
    </xf>
    <xf numFmtId="165" fontId="20" fillId="0" borderId="9" xfId="28" applyNumberFormat="1" applyFont="1" applyBorder="1" applyAlignment="1">
      <alignment vertical="center" wrapText="1"/>
    </xf>
    <xf numFmtId="166" fontId="20" fillId="0" borderId="9" xfId="3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165" fontId="20" fillId="0" borderId="0" xfId="28" applyNumberFormat="1" applyFont="1" applyAlignment="1">
      <alignment vertic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3" fillId="0" borderId="0" xfId="33" applyFont="1" applyAlignment="1">
      <alignment vertical="center"/>
    </xf>
    <xf numFmtId="0" fontId="22" fillId="0" borderId="0" xfId="33" applyFont="1" applyAlignment="1">
      <alignment vertical="center"/>
    </xf>
    <xf numFmtId="2" fontId="24" fillId="0" borderId="0" xfId="35" applyNumberFormat="1" applyFont="1" applyProtection="1">
      <protection locked="0"/>
    </xf>
    <xf numFmtId="0" fontId="0" fillId="0" borderId="0" xfId="0" applyAlignment="1">
      <alignment vertical="center"/>
    </xf>
    <xf numFmtId="0" fontId="14" fillId="24" borderId="12" xfId="0" applyFont="1" applyFill="1" applyBorder="1" applyAlignment="1">
      <alignment vertical="center"/>
    </xf>
    <xf numFmtId="0" fontId="18" fillId="24" borderId="10" xfId="0" applyFont="1" applyFill="1" applyBorder="1" applyAlignment="1">
      <alignment horizontal="center" vertical="center" wrapText="1"/>
    </xf>
    <xf numFmtId="0" fontId="0" fillId="25" borderId="13" xfId="0" applyFill="1" applyBorder="1" applyAlignment="1">
      <alignment vertical="center" wrapText="1"/>
    </xf>
    <xf numFmtId="1" fontId="0" fillId="25" borderId="14" xfId="0" applyNumberFormat="1" applyFill="1" applyBorder="1" applyAlignment="1">
      <alignment horizontal="center" vertical="center"/>
    </xf>
    <xf numFmtId="1" fontId="0" fillId="25" borderId="14" xfId="0" applyNumberFormat="1" applyFill="1" applyBorder="1" applyAlignment="1">
      <alignment horizontal="center" vertical="top"/>
    </xf>
    <xf numFmtId="0" fontId="0" fillId="25" borderId="13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10" fontId="0" fillId="25" borderId="16" xfId="0" applyNumberFormat="1" applyFill="1" applyBorder="1" applyAlignment="1">
      <alignment horizontal="center" vertical="center"/>
    </xf>
    <xf numFmtId="0" fontId="22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166" fontId="20" fillId="0" borderId="0" xfId="28" applyNumberFormat="1" applyFont="1" applyAlignment="1">
      <alignment horizontal="left" vertical="center" wrapText="1"/>
    </xf>
    <xf numFmtId="165" fontId="20" fillId="0" borderId="0" xfId="28" applyNumberFormat="1" applyFont="1" applyAlignment="1">
      <alignment horizontal="left" vertical="center" wrapText="1"/>
    </xf>
    <xf numFmtId="166" fontId="0" fillId="0" borderId="0" xfId="0" applyNumberFormat="1" applyAlignment="1">
      <alignment horizontal="left"/>
    </xf>
    <xf numFmtId="0" fontId="0" fillId="0" borderId="18" xfId="0" applyBorder="1" applyAlignment="1">
      <alignment vertical="center" wrapText="1"/>
    </xf>
    <xf numFmtId="166" fontId="20" fillId="0" borderId="18" xfId="30" applyNumberFormat="1" applyFont="1" applyBorder="1" applyAlignment="1">
      <alignment vertical="center" wrapText="1"/>
    </xf>
    <xf numFmtId="0" fontId="23" fillId="26" borderId="11" xfId="33" applyFont="1" applyFill="1" applyBorder="1" applyAlignment="1">
      <alignment horizontal="center" vertical="center" wrapText="1"/>
    </xf>
    <xf numFmtId="0" fontId="21" fillId="26" borderId="9" xfId="0" applyFont="1" applyFill="1" applyBorder="1" applyAlignment="1">
      <alignment vertical="center" wrapText="1"/>
    </xf>
    <xf numFmtId="166" fontId="20" fillId="26" borderId="9" xfId="30" applyNumberFormat="1" applyFont="1" applyFill="1" applyBorder="1" applyAlignment="1">
      <alignment vertical="center" wrapText="1"/>
    </xf>
    <xf numFmtId="0" fontId="0" fillId="26" borderId="18" xfId="0" applyFill="1" applyBorder="1" applyAlignment="1">
      <alignment vertical="center" wrapText="1"/>
    </xf>
    <xf numFmtId="166" fontId="20" fillId="26" borderId="18" xfId="30" applyNumberFormat="1" applyFont="1" applyFill="1" applyBorder="1" applyAlignment="1">
      <alignment vertical="center" wrapText="1"/>
    </xf>
    <xf numFmtId="0" fontId="23" fillId="26" borderId="19" xfId="33" applyFont="1" applyFill="1" applyBorder="1" applyAlignment="1">
      <alignment horizontal="center" vertical="center" wrapText="1"/>
    </xf>
    <xf numFmtId="165" fontId="0" fillId="0" borderId="20" xfId="0" applyNumberFormat="1" applyBorder="1" applyAlignment="1">
      <alignment horizontal="center"/>
    </xf>
    <xf numFmtId="165" fontId="0" fillId="26" borderId="20" xfId="0" applyNumberFormat="1" applyFill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26" borderId="21" xfId="0" applyNumberFormat="1" applyFill="1" applyBorder="1" applyAlignment="1">
      <alignment horizontal="center"/>
    </xf>
    <xf numFmtId="0" fontId="23" fillId="26" borderId="9" xfId="3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26" borderId="9" xfId="0" applyFill="1" applyBorder="1" applyAlignment="1">
      <alignment horizontal="center"/>
    </xf>
    <xf numFmtId="43" fontId="0" fillId="26" borderId="9" xfId="0" applyNumberFormat="1" applyFill="1" applyBorder="1" applyAlignment="1">
      <alignment horizontal="center"/>
    </xf>
    <xf numFmtId="43" fontId="0" fillId="0" borderId="9" xfId="0" applyNumberFormat="1" applyBorder="1" applyAlignment="1">
      <alignment horizontal="center"/>
    </xf>
    <xf numFmtId="0" fontId="0" fillId="27" borderId="9" xfId="0" applyFill="1" applyBorder="1" applyAlignment="1">
      <alignment horizontal="center"/>
    </xf>
    <xf numFmtId="0" fontId="21" fillId="26" borderId="17" xfId="0" applyFont="1" applyFill="1" applyBorder="1" applyAlignment="1">
      <alignment vertical="center" wrapText="1"/>
    </xf>
    <xf numFmtId="164" fontId="21" fillId="26" borderId="17" xfId="28" applyFont="1" applyFill="1" applyBorder="1" applyAlignment="1">
      <alignment vertical="center" wrapText="1"/>
    </xf>
    <xf numFmtId="0" fontId="21" fillId="26" borderId="9" xfId="0" applyFont="1" applyFill="1" applyBorder="1" applyAlignment="1">
      <alignment horizontal="center"/>
    </xf>
    <xf numFmtId="43" fontId="21" fillId="26" borderId="9" xfId="0" applyNumberFormat="1" applyFont="1" applyFill="1" applyBorder="1" applyAlignment="1">
      <alignment horizontal="center"/>
    </xf>
    <xf numFmtId="0" fontId="23" fillId="26" borderId="9" xfId="33" applyFont="1" applyFill="1" applyBorder="1" applyAlignment="1">
      <alignment vertical="top"/>
    </xf>
    <xf numFmtId="0" fontId="22" fillId="0" borderId="9" xfId="33" applyFont="1" applyBorder="1" applyAlignment="1">
      <alignment wrapText="1"/>
    </xf>
    <xf numFmtId="0" fontId="22" fillId="26" borderId="9" xfId="33" applyFont="1" applyFill="1" applyBorder="1"/>
    <xf numFmtId="0" fontId="22" fillId="0" borderId="9" xfId="33" applyFont="1" applyBorder="1"/>
    <xf numFmtId="0" fontId="22" fillId="0" borderId="9" xfId="33" applyFont="1" applyBorder="1" applyAlignment="1">
      <alignment horizontal="left"/>
    </xf>
    <xf numFmtId="166" fontId="20" fillId="0" borderId="9" xfId="30" applyNumberFormat="1" applyFont="1" applyFill="1" applyBorder="1" applyAlignment="1">
      <alignment vertical="center" wrapText="1"/>
    </xf>
    <xf numFmtId="164" fontId="20" fillId="26" borderId="9" xfId="28" applyFont="1" applyFill="1" applyBorder="1" applyAlignment="1">
      <alignment horizontal="right"/>
    </xf>
    <xf numFmtId="15" fontId="22" fillId="0" borderId="9" xfId="0" applyNumberFormat="1" applyFont="1" applyBorder="1" applyAlignment="1">
      <alignment horizontal="left"/>
    </xf>
    <xf numFmtId="165" fontId="0" fillId="26" borderId="9" xfId="0" applyNumberFormat="1" applyFill="1" applyBorder="1" applyAlignment="1">
      <alignment horizontal="center"/>
    </xf>
    <xf numFmtId="165" fontId="21" fillId="26" borderId="9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6" fontId="0" fillId="0" borderId="0" xfId="28" applyNumberFormat="1" applyFont="1" applyAlignment="1">
      <alignment vertical="center" wrapText="1"/>
    </xf>
    <xf numFmtId="164" fontId="0" fillId="26" borderId="20" xfId="0" applyNumberFormat="1" applyFill="1" applyBorder="1" applyAlignment="1">
      <alignment horizontal="center"/>
    </xf>
    <xf numFmtId="164" fontId="0" fillId="26" borderId="21" xfId="0" applyNumberFormat="1" applyFill="1" applyBorder="1" applyAlignment="1">
      <alignment horizontal="center"/>
    </xf>
    <xf numFmtId="164" fontId="21" fillId="26" borderId="22" xfId="0" applyNumberFormat="1" applyFont="1" applyFill="1" applyBorder="1" applyAlignment="1">
      <alignment horizontal="center"/>
    </xf>
    <xf numFmtId="164" fontId="0" fillId="0" borderId="2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65" fontId="0" fillId="0" borderId="9" xfId="28" applyNumberFormat="1" applyFont="1" applyBorder="1" applyAlignment="1">
      <alignment vertical="center"/>
    </xf>
    <xf numFmtId="164" fontId="0" fillId="0" borderId="9" xfId="28" applyFont="1" applyBorder="1" applyAlignment="1">
      <alignment vertical="center"/>
    </xf>
    <xf numFmtId="43" fontId="0" fillId="0" borderId="9" xfId="0" applyNumberFormat="1" applyBorder="1" applyAlignment="1">
      <alignment vertical="center"/>
    </xf>
    <xf numFmtId="0" fontId="21" fillId="26" borderId="9" xfId="0" applyFont="1" applyFill="1" applyBorder="1" applyAlignment="1">
      <alignment vertical="center"/>
    </xf>
    <xf numFmtId="0" fontId="21" fillId="26" borderId="9" xfId="0" applyFont="1" applyFill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21" fillId="26" borderId="9" xfId="0" applyFont="1" applyFill="1" applyBorder="1" applyAlignment="1">
      <alignment horizontal="center" vertical="center" wrapText="1"/>
    </xf>
    <xf numFmtId="0" fontId="25" fillId="28" borderId="9" xfId="0" applyFont="1" applyFill="1" applyBorder="1" applyAlignment="1">
      <alignment horizontal="center" vertical="center"/>
    </xf>
    <xf numFmtId="0" fontId="25" fillId="28" borderId="9" xfId="0" applyFont="1" applyFill="1" applyBorder="1" applyAlignment="1">
      <alignment horizontal="center" vertical="center" wrapText="1"/>
    </xf>
    <xf numFmtId="1" fontId="25" fillId="28" borderId="9" xfId="0" applyNumberFormat="1" applyFont="1" applyFill="1" applyBorder="1" applyAlignment="1">
      <alignment horizontal="center" vertical="center" wrapText="1"/>
    </xf>
    <xf numFmtId="167" fontId="0" fillId="29" borderId="9" xfId="0" applyNumberFormat="1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2" fontId="0" fillId="0" borderId="0" xfId="0" applyNumberFormat="1"/>
    <xf numFmtId="0" fontId="25" fillId="30" borderId="9" xfId="0" applyFont="1" applyFill="1" applyBorder="1" applyAlignment="1">
      <alignment horizontal="center" vertical="center" wrapText="1"/>
    </xf>
    <xf numFmtId="17" fontId="0" fillId="0" borderId="9" xfId="0" applyNumberFormat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/>
    </xf>
    <xf numFmtId="2" fontId="0" fillId="0" borderId="9" xfId="0" applyNumberFormat="1" applyBorder="1"/>
    <xf numFmtId="0" fontId="25" fillId="28" borderId="20" xfId="0" applyFont="1" applyFill="1" applyBorder="1" applyAlignment="1">
      <alignment horizontal="center" vertical="center" wrapText="1"/>
    </xf>
    <xf numFmtId="0" fontId="25" fillId="28" borderId="29" xfId="0" applyFont="1" applyFill="1" applyBorder="1" applyAlignment="1">
      <alignment horizontal="center" vertical="center" wrapText="1"/>
    </xf>
    <xf numFmtId="2" fontId="25" fillId="28" borderId="9" xfId="0" applyNumberFormat="1" applyFont="1" applyFill="1" applyBorder="1" applyAlignment="1">
      <alignment horizontal="center" vertical="center" wrapText="1"/>
    </xf>
    <xf numFmtId="0" fontId="0" fillId="27" borderId="0" xfId="0" applyFill="1"/>
    <xf numFmtId="2" fontId="27" fillId="27" borderId="9" xfId="0" applyNumberFormat="1" applyFont="1" applyFill="1" applyBorder="1" applyAlignment="1">
      <alignment horizontal="center" vertical="center"/>
    </xf>
    <xf numFmtId="169" fontId="0" fillId="0" borderId="9" xfId="0" applyNumberFormat="1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center" wrapText="1"/>
    </xf>
    <xf numFmtId="1" fontId="0" fillId="27" borderId="9" xfId="0" applyNumberFormat="1" applyFill="1" applyBorder="1" applyAlignment="1">
      <alignment horizontal="center" vertical="center"/>
    </xf>
    <xf numFmtId="2" fontId="27" fillId="0" borderId="9" xfId="0" applyNumberFormat="1" applyFont="1" applyBorder="1" applyAlignment="1">
      <alignment horizontal="center" vertical="center" wrapText="1"/>
    </xf>
    <xf numFmtId="169" fontId="0" fillId="0" borderId="0" xfId="0" applyNumberFormat="1"/>
    <xf numFmtId="2" fontId="28" fillId="0" borderId="9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24" fillId="0" borderId="21" xfId="35" applyFont="1" applyBorder="1" applyAlignment="1" applyProtection="1">
      <alignment horizontal="center" vertical="center" wrapText="1"/>
      <protection locked="0"/>
    </xf>
    <xf numFmtId="0" fontId="24" fillId="0" borderId="23" xfId="35" applyFont="1" applyBorder="1" applyAlignment="1" applyProtection="1">
      <alignment horizontal="center" vertical="center" wrapText="1"/>
      <protection locked="0"/>
    </xf>
    <xf numFmtId="0" fontId="24" fillId="0" borderId="24" xfId="35" applyFont="1" applyBorder="1" applyAlignment="1" applyProtection="1">
      <alignment horizontal="center" vertical="center" wrapText="1"/>
      <protection locked="0"/>
    </xf>
    <xf numFmtId="0" fontId="24" fillId="0" borderId="25" xfId="35" applyFont="1" applyBorder="1" applyAlignment="1" applyProtection="1">
      <alignment horizontal="center" vertical="center" wrapText="1"/>
      <protection locked="0"/>
    </xf>
    <xf numFmtId="0" fontId="24" fillId="0" borderId="26" xfId="35" applyFont="1" applyBorder="1" applyAlignment="1" applyProtection="1">
      <alignment horizontal="center" vertical="center" wrapText="1"/>
      <protection locked="0"/>
    </xf>
    <xf numFmtId="0" fontId="24" fillId="0" borderId="27" xfId="35" applyFont="1" applyBorder="1" applyAlignment="1" applyProtection="1">
      <alignment horizontal="center" vertical="center" wrapText="1"/>
      <protection locked="0"/>
    </xf>
    <xf numFmtId="0" fontId="25" fillId="31" borderId="9" xfId="0" applyFont="1" applyFill="1" applyBorder="1" applyAlignment="1">
      <alignment horizontal="center" vertical="center" wrapText="1"/>
    </xf>
    <xf numFmtId="0" fontId="26" fillId="29" borderId="0" xfId="47" applyFont="1" applyFill="1" applyAlignment="1">
      <alignment horizontal="center" vertical="center" wrapText="1"/>
    </xf>
    <xf numFmtId="0" fontId="25" fillId="28" borderId="20" xfId="0" applyFont="1" applyFill="1" applyBorder="1" applyAlignment="1">
      <alignment horizontal="center" vertical="center" wrapText="1"/>
    </xf>
    <xf numFmtId="0" fontId="25" fillId="28" borderId="28" xfId="0" applyFont="1" applyFill="1" applyBorder="1" applyAlignment="1">
      <alignment horizontal="center" vertical="center" wrapText="1"/>
    </xf>
    <xf numFmtId="0" fontId="25" fillId="28" borderId="29" xfId="0" applyFont="1" applyFill="1" applyBorder="1" applyAlignment="1">
      <alignment horizontal="center" vertical="center" wrapText="1"/>
    </xf>
  </cellXfs>
  <cellStyles count="48">
    <cellStyle name="20% - Colore 1" xfId="1" xr:uid="{9E0FBE6B-A9A5-4623-8721-A5006437D907}"/>
    <cellStyle name="20% - Colore 2" xfId="2" xr:uid="{C4D80756-D538-4F85-A83D-AD78D46BA3EA}"/>
    <cellStyle name="20% - Colore 3" xfId="3" xr:uid="{B54B7778-9D3B-4943-BF20-4B5EC08C53D8}"/>
    <cellStyle name="20% - Colore 4" xfId="4" xr:uid="{99682F21-AC42-4850-A946-09699E628409}"/>
    <cellStyle name="20% - Colore 5" xfId="5" xr:uid="{A4721E59-4CCF-4893-8122-85043CC02156}"/>
    <cellStyle name="20% - Colore 6" xfId="6" xr:uid="{43C157AE-6F01-4FE1-B44D-457B11DDEF19}"/>
    <cellStyle name="40% - Colore 1" xfId="7" xr:uid="{3AFA4CE8-2BB7-4EFA-8577-272E387DF008}"/>
    <cellStyle name="40% - Colore 2" xfId="8" xr:uid="{D96E8C56-505D-4C92-B3AD-7A6979C8E5B4}"/>
    <cellStyle name="40% - Colore 3" xfId="9" xr:uid="{D4AE4170-2D34-4EB4-AABB-66B4BDAD4845}"/>
    <cellStyle name="40% - Colore 4" xfId="10" xr:uid="{B3A1FE21-848E-4238-9A8A-1E30A8047757}"/>
    <cellStyle name="40% - Colore 5" xfId="11" xr:uid="{5DDE26EF-695F-47E4-A651-762EC412343C}"/>
    <cellStyle name="40% - Colore 6" xfId="12" xr:uid="{3AA5A901-FBC5-43C2-8325-C9325653B0CD}"/>
    <cellStyle name="60% - Colore 1" xfId="13" xr:uid="{71DEF36A-6FFC-4E45-A64A-05606ED519B6}"/>
    <cellStyle name="60% - Colore 2" xfId="14" xr:uid="{DAFCD3DC-CDBB-4AAB-AB78-872492081D79}"/>
    <cellStyle name="60% - Colore 3" xfId="15" xr:uid="{5EAF7512-B661-4FF2-9602-F573F38D0F65}"/>
    <cellStyle name="60% - Colore 4" xfId="16" xr:uid="{7BCA1E26-CABA-467B-86EC-998C077F22FB}"/>
    <cellStyle name="60% - Colore 5" xfId="17" xr:uid="{1DD3E393-B346-4AC8-A773-05FED82B43EA}"/>
    <cellStyle name="60% - Colore 6" xfId="18" xr:uid="{6898EFFF-45A6-4ECF-A1EA-B8EADC816E0C}"/>
    <cellStyle name="Calcolo" xfId="19" xr:uid="{D65E3A69-DF5D-4E65-AEEB-2FF3FFCB07EA}"/>
    <cellStyle name="Cella collegata" xfId="20" xr:uid="{1684DF64-C75F-405A-90C1-99E02465B5B3}"/>
    <cellStyle name="Cella da controllare" xfId="21" xr:uid="{7C66B845-3FA3-4B0D-A424-27FD88D0CA2E}"/>
    <cellStyle name="Colore 1" xfId="22" xr:uid="{B74738A7-41CA-481A-B8D5-8A1301893EA1}"/>
    <cellStyle name="Colore 2" xfId="23" xr:uid="{3D90F20D-FB61-44EF-934C-833D5AE201ED}"/>
    <cellStyle name="Colore 3" xfId="24" xr:uid="{229D0BAA-5A70-4D3B-B0B7-8CE1502D1C5E}"/>
    <cellStyle name="Colore 4" xfId="25" xr:uid="{9952E4BA-356E-4A33-B753-D7E60729B5EB}"/>
    <cellStyle name="Colore 5" xfId="26" xr:uid="{C91E2986-7EFF-4588-BE07-D4F02FB9E080}"/>
    <cellStyle name="Colore 6" xfId="27" xr:uid="{541924C7-17EB-425B-9D26-D30396AC4AE6}"/>
    <cellStyle name="Comma" xfId="28" builtinId="3"/>
    <cellStyle name="Comma 2" xfId="29" xr:uid="{03FA1CD0-0739-4EE4-98E8-10785A3B8840}"/>
    <cellStyle name="Comma 3 2" xfId="30" xr:uid="{C1280E43-3006-49DC-85E2-57E41E1EBE9A}"/>
    <cellStyle name="Neutrale" xfId="31" xr:uid="{35F58151-2151-4544-BEB9-9B763F0C3DD2}"/>
    <cellStyle name="Norm੎੎" xfId="32" xr:uid="{3240844D-4A97-4A9C-9365-240F2D4B4F44}"/>
    <cellStyle name="Normal" xfId="0" builtinId="0"/>
    <cellStyle name="Normal 2" xfId="33" xr:uid="{23CBE0FB-80DF-489E-A6E4-1F535F0BDC24}"/>
    <cellStyle name="Normal 2 2" xfId="47" xr:uid="{0A4E5928-8192-4999-9F98-DD35F9DA3622}"/>
    <cellStyle name="Normal 3" xfId="34" xr:uid="{6834003E-8538-419D-80C9-622DF5AA5F2B}"/>
    <cellStyle name="Normal_Hindustan Platinum_Worksheet_30.10.08" xfId="35" xr:uid="{F22C4151-C2E8-4969-AE9E-ABACFED7C327}"/>
    <cellStyle name="Nota" xfId="36" xr:uid="{3D277259-C5DA-480B-96A6-98B6B64793F8}"/>
    <cellStyle name="Testo avviso" xfId="37" xr:uid="{B1573AEA-7F32-499A-A038-AFCA6EC8C17A}"/>
    <cellStyle name="Testo descrittivo" xfId="38" xr:uid="{A5E2E645-A8CB-43E3-B489-52962F470910}"/>
    <cellStyle name="Titolo" xfId="39" xr:uid="{C8B15EEB-CEBE-4C6F-B768-19C0F01B33D4}"/>
    <cellStyle name="Titolo 1" xfId="40" xr:uid="{FDA4C019-7F84-4FA2-8348-74BED1B5BF36}"/>
    <cellStyle name="Titolo 2" xfId="41" xr:uid="{67A05DBC-E851-478C-AFAB-9CAA7D356DDB}"/>
    <cellStyle name="Titolo 3" xfId="42" xr:uid="{56A596AF-D1EA-409F-BE7C-EB2E0EF835F6}"/>
    <cellStyle name="Titolo 4" xfId="43" xr:uid="{AD1EF917-EE2C-43CF-8341-4848F5659F42}"/>
    <cellStyle name="Totale" xfId="44" xr:uid="{317628FB-927D-4110-A251-4BDC314BC560}"/>
    <cellStyle name="Valore non valido" xfId="45" xr:uid="{40B3F4A9-FF35-4BCE-8E22-88A9110CF92F}"/>
    <cellStyle name="Valore valido" xfId="46" xr:uid="{39E71FDE-461F-47E9-AB2F-A6E6C579A1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0\home\DOCUME~1\SAUMIT~1\LOCALS~1\Temp\Temporary%20Directory%201%20for%20database_publishing_ver3.zip\Database_2006-07_0712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Log"/>
      <sheetName val="Results"/>
      <sheetName val="Data"/>
      <sheetName val="Units + Abbrev"/>
      <sheetName val="Assumptions"/>
      <sheetName val="Plausibility"/>
      <sheetName val="Transfers"/>
      <sheetName val="BM 0405"/>
      <sheetName val="BM 0506"/>
      <sheetName val="BM 0607"/>
      <sheetName val="Margins 0405"/>
      <sheetName val="Margins 0506"/>
      <sheetName val="Margins 0607"/>
      <sheetName val="Stat 0405"/>
      <sheetName val="Stat 0506"/>
      <sheetName val="Stat 0607"/>
      <sheetName val="Compare"/>
      <sheetName val="Unit_Gen 0405"/>
      <sheetName val="Unit_Gen 0506"/>
      <sheetName val="Unit_Gen 0607"/>
      <sheetName val="CDM"/>
    </sheetNames>
    <sheetDataSet>
      <sheetData sheetId="0"/>
      <sheetData sheetId="1"/>
      <sheetData sheetId="2"/>
      <sheetData sheetId="3"/>
      <sheetData sheetId="4"/>
      <sheetData sheetId="5">
        <row r="17">
          <cell r="D17">
            <v>8</v>
          </cell>
          <cell r="E17">
            <v>10</v>
          </cell>
          <cell r="F17">
            <v>3</v>
          </cell>
          <cell r="G17">
            <v>1</v>
          </cell>
          <cell r="H17">
            <v>3.5</v>
          </cell>
          <cell r="I17">
            <v>3.5</v>
          </cell>
          <cell r="K17">
            <v>3.5</v>
          </cell>
          <cell r="L17">
            <v>0.5</v>
          </cell>
          <cell r="M17">
            <v>10.5</v>
          </cell>
        </row>
        <row r="20">
          <cell r="D20">
            <v>2</v>
          </cell>
        </row>
        <row r="21">
          <cell r="D21">
            <v>3755</v>
          </cell>
          <cell r="F21">
            <v>8800</v>
          </cell>
          <cell r="H21">
            <v>10100</v>
          </cell>
          <cell r="I21">
            <v>10500</v>
          </cell>
          <cell r="K21">
            <v>11300</v>
          </cell>
        </row>
        <row r="22">
          <cell r="H22">
            <v>0.95</v>
          </cell>
          <cell r="I22">
            <v>0.83</v>
          </cell>
          <cell r="K22">
            <v>0.7</v>
          </cell>
        </row>
        <row r="23">
          <cell r="D23">
            <v>1.04</v>
          </cell>
          <cell r="E23">
            <v>1.28</v>
          </cell>
          <cell r="F23">
            <v>0.44</v>
          </cell>
          <cell r="G23">
            <v>0.68</v>
          </cell>
          <cell r="H23">
            <v>0.68</v>
          </cell>
          <cell r="I23">
            <v>0.6</v>
          </cell>
          <cell r="J23">
            <v>0.98</v>
          </cell>
        </row>
        <row r="30">
          <cell r="E30">
            <v>9</v>
          </cell>
          <cell r="F30">
            <v>9</v>
          </cell>
          <cell r="G30">
            <v>7.5</v>
          </cell>
        </row>
        <row r="34">
          <cell r="E34">
            <v>1.05</v>
          </cell>
          <cell r="F34">
            <v>1.05</v>
          </cell>
          <cell r="G34">
            <v>1</v>
          </cell>
        </row>
        <row r="47">
          <cell r="D47">
            <v>0.43</v>
          </cell>
          <cell r="E47">
            <v>0.42</v>
          </cell>
          <cell r="F47">
            <v>0.43</v>
          </cell>
        </row>
        <row r="52">
          <cell r="F52">
            <v>0.64</v>
          </cell>
          <cell r="G52">
            <v>0.6</v>
          </cell>
        </row>
        <row r="58">
          <cell r="D58">
            <v>0.64</v>
          </cell>
        </row>
        <row r="62">
          <cell r="D62">
            <v>0.5</v>
          </cell>
        </row>
        <row r="63">
          <cell r="D63">
            <v>0.5</v>
          </cell>
        </row>
        <row r="66">
          <cell r="D66">
            <v>4.1867999999999999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88EE-AFF0-4E1F-8FF4-655FF63133FD}">
  <dimension ref="B1:C7"/>
  <sheetViews>
    <sheetView workbookViewId="0">
      <selection activeCell="F17" sqref="F17"/>
    </sheetView>
  </sheetViews>
  <sheetFormatPr defaultRowHeight="14.5" x14ac:dyDescent="0.35"/>
  <cols>
    <col min="2" max="2" width="24" customWidth="1"/>
    <col min="3" max="3" width="46.1796875" bestFit="1" customWidth="1"/>
  </cols>
  <sheetData>
    <row r="1" spans="2:3" x14ac:dyDescent="0.35">
      <c r="B1" s="13"/>
      <c r="C1" s="14"/>
    </row>
    <row r="2" spans="2:3" ht="39.5" x14ac:dyDescent="0.35">
      <c r="B2" s="52" t="s">
        <v>3</v>
      </c>
      <c r="C2" s="53" t="s">
        <v>4</v>
      </c>
    </row>
    <row r="3" spans="2:3" x14ac:dyDescent="0.35">
      <c r="B3" s="54" t="s">
        <v>5</v>
      </c>
      <c r="C3" s="55" t="s">
        <v>6</v>
      </c>
    </row>
    <row r="4" spans="2:3" x14ac:dyDescent="0.35">
      <c r="B4" s="54" t="s">
        <v>7</v>
      </c>
      <c r="C4" s="56">
        <v>1685</v>
      </c>
    </row>
    <row r="5" spans="2:3" x14ac:dyDescent="0.35">
      <c r="B5" s="54" t="s">
        <v>39</v>
      </c>
      <c r="C5" s="56" t="s">
        <v>89</v>
      </c>
    </row>
    <row r="6" spans="2:3" x14ac:dyDescent="0.35">
      <c r="B6" s="54" t="s">
        <v>16</v>
      </c>
      <c r="C6" s="59">
        <v>45853</v>
      </c>
    </row>
    <row r="7" spans="2:3" x14ac:dyDescent="0.35">
      <c r="B7" s="54" t="s">
        <v>2</v>
      </c>
      <c r="C7" s="59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9A7C-5B66-4E85-8E5D-8310230A64D4}">
  <sheetPr>
    <tabColor theme="0"/>
  </sheetPr>
  <dimension ref="B2:K31"/>
  <sheetViews>
    <sheetView zoomScale="85" zoomScaleNormal="85" workbookViewId="0">
      <selection activeCell="H38" sqref="H38"/>
    </sheetView>
  </sheetViews>
  <sheetFormatPr defaultColWidth="9.1796875" defaultRowHeight="14.5" x14ac:dyDescent="0.35"/>
  <cols>
    <col min="1" max="1" width="2.81640625" style="1" customWidth="1"/>
    <col min="2" max="2" width="16.36328125" style="9" customWidth="1"/>
    <col min="3" max="3" width="21.453125" style="9" customWidth="1"/>
    <col min="4" max="4" width="19.36328125" style="9" customWidth="1"/>
    <col min="5" max="6" width="20" style="1" customWidth="1"/>
    <col min="7" max="7" width="18.36328125" style="1" customWidth="1"/>
    <col min="8" max="8" width="17" style="1" customWidth="1"/>
    <col min="9" max="9" width="11" style="1" bestFit="1" customWidth="1"/>
    <col min="10" max="10" width="11.54296875" style="1" bestFit="1" customWidth="1"/>
    <col min="11" max="11" width="12" style="1" bestFit="1" customWidth="1"/>
    <col min="12" max="12" width="13.81640625" style="1" customWidth="1"/>
    <col min="13" max="16384" width="9.1796875" style="1"/>
  </cols>
  <sheetData>
    <row r="2" spans="2:10" s="3" customFormat="1" ht="15" customHeight="1" x14ac:dyDescent="0.3">
      <c r="B2" s="110" t="s">
        <v>2</v>
      </c>
      <c r="C2" s="111"/>
      <c r="D2" s="112"/>
      <c r="E2" s="4" t="s">
        <v>0</v>
      </c>
      <c r="F2" s="4" t="s">
        <v>1</v>
      </c>
      <c r="G2" s="4" t="s">
        <v>8</v>
      </c>
      <c r="H2" s="2"/>
      <c r="I2" s="2"/>
      <c r="J2" s="2"/>
    </row>
    <row r="3" spans="2:10" s="3" customFormat="1" ht="12.75" customHeight="1" x14ac:dyDescent="0.3">
      <c r="B3" s="113"/>
      <c r="C3" s="114"/>
      <c r="D3" s="115"/>
      <c r="E3" s="5">
        <v>44136</v>
      </c>
      <c r="F3" s="5">
        <v>44623</v>
      </c>
      <c r="G3" s="25">
        <f>F3-E3+1</f>
        <v>488</v>
      </c>
      <c r="H3" s="15" t="s">
        <v>13</v>
      </c>
      <c r="I3" s="2"/>
      <c r="J3" s="2"/>
    </row>
    <row r="5" spans="2:10" ht="17.25" customHeight="1" thickBot="1" x14ac:dyDescent="0.4">
      <c r="B5" s="1"/>
      <c r="C5" s="1"/>
      <c r="D5" s="1"/>
    </row>
    <row r="6" spans="2:10" ht="52" x14ac:dyDescent="0.35">
      <c r="B6" s="32" t="s">
        <v>12</v>
      </c>
      <c r="C6" s="32" t="s">
        <v>11</v>
      </c>
      <c r="D6" s="32" t="s">
        <v>10</v>
      </c>
      <c r="E6" s="37" t="s">
        <v>9</v>
      </c>
      <c r="F6" s="42" t="s">
        <v>41</v>
      </c>
      <c r="G6" s="42" t="s">
        <v>36</v>
      </c>
      <c r="H6" s="42" t="s">
        <v>45</v>
      </c>
    </row>
    <row r="7" spans="2:10" x14ac:dyDescent="0.35">
      <c r="B7" s="6" t="s">
        <v>18</v>
      </c>
      <c r="C7" s="7">
        <v>2992023</v>
      </c>
      <c r="D7" s="8">
        <v>25433</v>
      </c>
      <c r="E7" s="63">
        <f>(C7-D7)/1000</f>
        <v>2966.59</v>
      </c>
      <c r="F7" s="38">
        <f>(C7-D7)/1000</f>
        <v>2966.59</v>
      </c>
      <c r="G7" s="43">
        <v>0.9486</v>
      </c>
      <c r="H7" s="46">
        <f>(MIN(E7,F7))*G7</f>
        <v>2814.107274</v>
      </c>
    </row>
    <row r="8" spans="2:10" x14ac:dyDescent="0.35">
      <c r="B8" s="6" t="s">
        <v>19</v>
      </c>
      <c r="C8" s="8">
        <v>3023947</v>
      </c>
      <c r="D8" s="8">
        <v>27002</v>
      </c>
      <c r="E8" s="63">
        <f t="shared" ref="E8:E24" si="0">(C8-D8)/1000</f>
        <v>2996.9450000000002</v>
      </c>
      <c r="F8" s="38">
        <f>(C8-D8)/1000</f>
        <v>2996.9450000000002</v>
      </c>
      <c r="G8" s="43">
        <v>0.9486</v>
      </c>
      <c r="H8" s="46">
        <f>(MIN(E8,F8))*G8</f>
        <v>2842.9020270000001</v>
      </c>
    </row>
    <row r="9" spans="2:10" x14ac:dyDescent="0.35">
      <c r="B9" s="33" t="s">
        <v>35</v>
      </c>
      <c r="C9" s="34">
        <f>SUM(C7:C8)</f>
        <v>6015970</v>
      </c>
      <c r="D9" s="34">
        <f>SUM(D7:D8)</f>
        <v>52435</v>
      </c>
      <c r="E9" s="66">
        <f>SUM(E7:E8)</f>
        <v>5963.5349999999999</v>
      </c>
      <c r="F9" s="39">
        <f>SUM(F7:F8)</f>
        <v>5963.5349999999999</v>
      </c>
      <c r="G9" s="44">
        <v>0.9486</v>
      </c>
      <c r="H9" s="45">
        <f>ROUNDDOWN(E9*G9,0)</f>
        <v>5657</v>
      </c>
    </row>
    <row r="10" spans="2:10" x14ac:dyDescent="0.35">
      <c r="B10" s="6" t="s">
        <v>20</v>
      </c>
      <c r="C10" s="8">
        <v>3152745</v>
      </c>
      <c r="D10" s="8">
        <v>30590</v>
      </c>
      <c r="E10" s="63">
        <f t="shared" si="0"/>
        <v>3122.1550000000002</v>
      </c>
      <c r="F10" s="38">
        <f>(C10-D10)/1000</f>
        <v>3122.1550000000002</v>
      </c>
      <c r="G10" s="47">
        <v>0.9486</v>
      </c>
      <c r="H10" s="46">
        <f>(MIN(E10,F10))*G10</f>
        <v>2961.6762330000001</v>
      </c>
    </row>
    <row r="11" spans="2:10" x14ac:dyDescent="0.35">
      <c r="B11" s="6" t="s">
        <v>21</v>
      </c>
      <c r="C11" s="8">
        <v>3079595</v>
      </c>
      <c r="D11" s="8">
        <v>26465</v>
      </c>
      <c r="E11" s="63">
        <f t="shared" si="0"/>
        <v>3053.13</v>
      </c>
      <c r="F11" s="38">
        <f t="shared" ref="F11:F21" si="1">(C11-D11)/1000</f>
        <v>3053.13</v>
      </c>
      <c r="G11" s="47">
        <v>0.9486</v>
      </c>
      <c r="H11" s="46">
        <f>(MIN(E11,F11))*G11</f>
        <v>2896.199118</v>
      </c>
    </row>
    <row r="12" spans="2:10" x14ac:dyDescent="0.35">
      <c r="B12" s="6" t="s">
        <v>22</v>
      </c>
      <c r="C12" s="8">
        <v>3590774</v>
      </c>
      <c r="D12" s="8">
        <v>29359</v>
      </c>
      <c r="E12" s="63">
        <f t="shared" si="0"/>
        <v>3561.415</v>
      </c>
      <c r="F12" s="38">
        <f t="shared" si="1"/>
        <v>3561.415</v>
      </c>
      <c r="G12" s="47">
        <v>0.9486</v>
      </c>
      <c r="H12" s="46">
        <f t="shared" ref="H12:H21" si="2">(MIN(E12,F12))*G12</f>
        <v>3378.3582689999998</v>
      </c>
    </row>
    <row r="13" spans="2:10" x14ac:dyDescent="0.35">
      <c r="B13" s="6" t="s">
        <v>23</v>
      </c>
      <c r="C13" s="57">
        <v>3412904</v>
      </c>
      <c r="D13" s="57">
        <v>28212</v>
      </c>
      <c r="E13" s="63">
        <f t="shared" si="0"/>
        <v>3384.692</v>
      </c>
      <c r="F13" s="38">
        <f t="shared" si="1"/>
        <v>3384.692</v>
      </c>
      <c r="G13" s="43">
        <v>0.9486</v>
      </c>
      <c r="H13" s="46">
        <f t="shared" si="2"/>
        <v>3210.7188311999998</v>
      </c>
    </row>
    <row r="14" spans="2:10" x14ac:dyDescent="0.35">
      <c r="B14" s="6" t="s">
        <v>24</v>
      </c>
      <c r="C14" s="8">
        <v>3236169</v>
      </c>
      <c r="D14" s="8">
        <v>28270</v>
      </c>
      <c r="E14" s="63">
        <f t="shared" si="0"/>
        <v>3207.8989999999999</v>
      </c>
      <c r="F14" s="38">
        <f t="shared" si="1"/>
        <v>3207.8989999999999</v>
      </c>
      <c r="G14" s="47">
        <v>0.9486</v>
      </c>
      <c r="H14" s="46">
        <f t="shared" si="2"/>
        <v>3043.0129913999999</v>
      </c>
    </row>
    <row r="15" spans="2:10" x14ac:dyDescent="0.35">
      <c r="B15" s="6" t="s">
        <v>25</v>
      </c>
      <c r="C15" s="8">
        <v>2805942</v>
      </c>
      <c r="D15" s="65">
        <v>26701</v>
      </c>
      <c r="E15" s="63">
        <f>(C15-D15)/1000</f>
        <v>2779.241</v>
      </c>
      <c r="F15" s="38">
        <f t="shared" si="1"/>
        <v>2779.241</v>
      </c>
      <c r="G15" s="47">
        <v>0.9486</v>
      </c>
      <c r="H15" s="46">
        <f t="shared" si="2"/>
        <v>2636.3880125999999</v>
      </c>
    </row>
    <row r="16" spans="2:10" x14ac:dyDescent="0.35">
      <c r="B16" s="6" t="s">
        <v>26</v>
      </c>
      <c r="C16" s="8">
        <v>2269191</v>
      </c>
      <c r="D16" s="8">
        <v>26835</v>
      </c>
      <c r="E16" s="63">
        <f t="shared" si="0"/>
        <v>2242.3560000000002</v>
      </c>
      <c r="F16" s="38">
        <f t="shared" si="1"/>
        <v>2242.3560000000002</v>
      </c>
      <c r="G16" s="47">
        <v>0.9486</v>
      </c>
      <c r="H16" s="46">
        <f t="shared" si="2"/>
        <v>2127.0989016000003</v>
      </c>
    </row>
    <row r="17" spans="2:11" x14ac:dyDescent="0.35">
      <c r="B17" s="6" t="s">
        <v>27</v>
      </c>
      <c r="C17" s="8">
        <v>2485794</v>
      </c>
      <c r="D17" s="8">
        <v>28094</v>
      </c>
      <c r="E17" s="63">
        <f t="shared" si="0"/>
        <v>2457.6999999999998</v>
      </c>
      <c r="F17" s="38">
        <f t="shared" si="1"/>
        <v>2457.6999999999998</v>
      </c>
      <c r="G17" s="47">
        <v>0.9486</v>
      </c>
      <c r="H17" s="46">
        <f t="shared" si="2"/>
        <v>2331.3742199999997</v>
      </c>
    </row>
    <row r="18" spans="2:11" x14ac:dyDescent="0.35">
      <c r="B18" s="6" t="s">
        <v>28</v>
      </c>
      <c r="C18" s="31">
        <v>2182605</v>
      </c>
      <c r="D18" s="8">
        <v>32087</v>
      </c>
      <c r="E18" s="64">
        <f t="shared" si="0"/>
        <v>2150.518</v>
      </c>
      <c r="F18" s="38">
        <f t="shared" si="1"/>
        <v>2150.518</v>
      </c>
      <c r="G18" s="47">
        <v>0.9486</v>
      </c>
      <c r="H18" s="46">
        <f t="shared" si="2"/>
        <v>2039.9813747999999</v>
      </c>
    </row>
    <row r="19" spans="2:11" x14ac:dyDescent="0.35">
      <c r="B19" s="6" t="s">
        <v>29</v>
      </c>
      <c r="C19" s="31">
        <v>3164770</v>
      </c>
      <c r="D19" s="31">
        <v>33980</v>
      </c>
      <c r="E19" s="64">
        <f t="shared" si="0"/>
        <v>3130.79</v>
      </c>
      <c r="F19" s="38">
        <f t="shared" si="1"/>
        <v>3130.79</v>
      </c>
      <c r="G19" s="47">
        <v>0.9486</v>
      </c>
      <c r="H19" s="46">
        <f t="shared" si="2"/>
        <v>2969.8673939999999</v>
      </c>
    </row>
    <row r="20" spans="2:11" x14ac:dyDescent="0.35">
      <c r="B20" s="6" t="s">
        <v>30</v>
      </c>
      <c r="C20" s="31">
        <v>2650877</v>
      </c>
      <c r="D20" s="31">
        <v>34294</v>
      </c>
      <c r="E20" s="64">
        <f t="shared" si="0"/>
        <v>2616.5830000000001</v>
      </c>
      <c r="F20" s="38">
        <f t="shared" si="1"/>
        <v>2616.5830000000001</v>
      </c>
      <c r="G20" s="47">
        <v>0.9486</v>
      </c>
      <c r="H20" s="46">
        <f>(MIN(E20,F20))*G20</f>
        <v>2482.0906338</v>
      </c>
    </row>
    <row r="21" spans="2:11" x14ac:dyDescent="0.35">
      <c r="B21" s="6" t="s">
        <v>31</v>
      </c>
      <c r="C21" s="31">
        <v>2723002</v>
      </c>
      <c r="D21" s="31">
        <v>36305</v>
      </c>
      <c r="E21" s="64">
        <f t="shared" si="0"/>
        <v>2686.6970000000001</v>
      </c>
      <c r="F21" s="38">
        <f t="shared" si="1"/>
        <v>2686.6970000000001</v>
      </c>
      <c r="G21" s="47">
        <v>0.9486</v>
      </c>
      <c r="H21" s="46">
        <f t="shared" si="2"/>
        <v>2548.6007742000002</v>
      </c>
    </row>
    <row r="22" spans="2:11" x14ac:dyDescent="0.35">
      <c r="B22" s="35" t="s">
        <v>37</v>
      </c>
      <c r="C22" s="36">
        <f>SUM(C10:C21)</f>
        <v>34754368</v>
      </c>
      <c r="D22" s="36">
        <f>SUM(D10:D21)</f>
        <v>361192</v>
      </c>
      <c r="E22" s="41">
        <f>SUM(E10:E21)</f>
        <v>34393.175999999999</v>
      </c>
      <c r="F22" s="41">
        <f>SUM(F10:F21)</f>
        <v>34393.175999999999</v>
      </c>
      <c r="G22" s="44">
        <v>0.9486</v>
      </c>
      <c r="H22" s="58">
        <f>ROUNDDOWN(E22*G22,0)</f>
        <v>32625</v>
      </c>
    </row>
    <row r="23" spans="2:11" x14ac:dyDescent="0.35">
      <c r="B23" s="30" t="s">
        <v>32</v>
      </c>
      <c r="C23" s="31">
        <v>2944078</v>
      </c>
      <c r="D23" s="31">
        <v>35879</v>
      </c>
      <c r="E23" s="64">
        <f t="shared" si="0"/>
        <v>2908.1990000000001</v>
      </c>
      <c r="F23" s="40">
        <f>(C23-D23)/1000</f>
        <v>2908.1990000000001</v>
      </c>
      <c r="G23" s="47">
        <v>0.9486</v>
      </c>
      <c r="H23" s="46">
        <f>E23*G23</f>
        <v>2758.7175714</v>
      </c>
    </row>
    <row r="24" spans="2:11" x14ac:dyDescent="0.35">
      <c r="B24" s="30" t="s">
        <v>33</v>
      </c>
      <c r="C24" s="31">
        <v>3024316</v>
      </c>
      <c r="D24" s="31">
        <v>32143</v>
      </c>
      <c r="E24" s="64">
        <f t="shared" si="0"/>
        <v>2992.1729999999998</v>
      </c>
      <c r="F24" s="40">
        <f>(C24-D24)/1000</f>
        <v>2992.1729999999998</v>
      </c>
      <c r="G24" s="47">
        <v>0.9486</v>
      </c>
      <c r="H24" s="46">
        <f>E24*G24</f>
        <v>2838.3753078</v>
      </c>
      <c r="K24" s="62"/>
    </row>
    <row r="25" spans="2:11" ht="29" x14ac:dyDescent="0.35">
      <c r="B25" s="30" t="s">
        <v>34</v>
      </c>
      <c r="C25" s="31">
        <f>MIN('Apportioning Cal '!A3,'Apportioning Cal '!F3)</f>
        <v>329625</v>
      </c>
      <c r="D25" s="31">
        <f>MIN('Apportioning Cal '!F3,'Apportioning Cal '!G3)</f>
        <v>3243.0967741935483</v>
      </c>
      <c r="E25" s="69">
        <f>(C25-D25)/1000</f>
        <v>326.38190322580641</v>
      </c>
      <c r="F25" s="69">
        <f>E25</f>
        <v>326.38190322580641</v>
      </c>
      <c r="G25" s="47">
        <v>0.9486</v>
      </c>
      <c r="H25" s="46">
        <f>E25*G25</f>
        <v>309.60587339999995</v>
      </c>
    </row>
    <row r="26" spans="2:11" x14ac:dyDescent="0.35">
      <c r="B26" s="35" t="s">
        <v>38</v>
      </c>
      <c r="C26" s="36">
        <f>SUM(C23:C25)</f>
        <v>6298019</v>
      </c>
      <c r="D26" s="36">
        <f>SUM(D23:D25)</f>
        <v>71265.096774193546</v>
      </c>
      <c r="E26" s="67">
        <f>SUM(E23:E25)</f>
        <v>6226.7539032258055</v>
      </c>
      <c r="F26" s="60">
        <f>SUM(F23:F25)</f>
        <v>6226.7539032258055</v>
      </c>
      <c r="G26" s="44">
        <v>0.9486</v>
      </c>
      <c r="H26" s="45">
        <f>ROUNDDOWN(E26*G26,0)</f>
        <v>5906</v>
      </c>
    </row>
    <row r="27" spans="2:11" ht="15" thickBot="1" x14ac:dyDescent="0.4">
      <c r="B27" s="48" t="s">
        <v>17</v>
      </c>
      <c r="C27" s="49">
        <f>C9+C22+C26</f>
        <v>47068357</v>
      </c>
      <c r="D27" s="49">
        <f>D9+D22+D26</f>
        <v>484892.09677419357</v>
      </c>
      <c r="E27" s="68">
        <f>ROUNDDOWN(E9+E22+E26,0)</f>
        <v>46583</v>
      </c>
      <c r="F27" s="61">
        <f>ROUNDDOWN(F26+F22+F9,0)</f>
        <v>46583</v>
      </c>
      <c r="G27" s="50"/>
      <c r="H27" s="51">
        <f>H9+H22+H26</f>
        <v>44188</v>
      </c>
    </row>
    <row r="28" spans="2:11" x14ac:dyDescent="0.35">
      <c r="B28" s="26"/>
      <c r="C28" s="27"/>
      <c r="D28" s="28"/>
      <c r="E28" s="29"/>
      <c r="F28" s="29"/>
      <c r="G28" s="12"/>
    </row>
    <row r="29" spans="2:11" x14ac:dyDescent="0.35">
      <c r="C29" s="10"/>
      <c r="D29" s="10"/>
      <c r="E29" s="11"/>
      <c r="F29" s="11"/>
    </row>
    <row r="30" spans="2:11" ht="66" customHeight="1" x14ac:dyDescent="0.35">
      <c r="B30" s="109" t="s">
        <v>85</v>
      </c>
      <c r="C30" s="109"/>
      <c r="D30" s="109"/>
      <c r="E30" s="109"/>
      <c r="F30" s="109"/>
      <c r="G30" s="109"/>
    </row>
    <row r="31" spans="2:11" x14ac:dyDescent="0.35">
      <c r="E31" s="12"/>
      <c r="F31" s="12"/>
    </row>
  </sheetData>
  <mergeCells count="2">
    <mergeCell ref="B30:G30"/>
    <mergeCell ref="B2:D3"/>
  </mergeCells>
  <phoneticPr fontId="19" type="noConversion"/>
  <pageMargins left="0.7" right="0.7" top="0.75" bottom="0.75" header="0.3" footer="0.3"/>
  <pageSetup paperSize="9" orientation="portrait" verticalDpi="300" r:id="rId1"/>
  <ignoredErrors>
    <ignoredError sqref="E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3700-740B-4F80-B711-2AF2AEA4A3E7}">
  <dimension ref="B2:E13"/>
  <sheetViews>
    <sheetView topLeftCell="A13" workbookViewId="0">
      <selection activeCell="H9" sqref="H9"/>
    </sheetView>
  </sheetViews>
  <sheetFormatPr defaultColWidth="9.1796875" defaultRowHeight="14.5" x14ac:dyDescent="0.35"/>
  <cols>
    <col min="1" max="1" width="9.1796875" style="16"/>
    <col min="2" max="2" width="31.6328125" style="16" customWidth="1"/>
    <col min="3" max="3" width="20.1796875" style="16" customWidth="1"/>
    <col min="4" max="4" width="17.36328125" style="70" customWidth="1"/>
    <col min="5" max="5" width="17.08984375" style="70" customWidth="1"/>
    <col min="6" max="16384" width="9.1796875" style="16"/>
  </cols>
  <sheetData>
    <row r="2" spans="2:5" ht="15" thickBot="1" x14ac:dyDescent="0.4"/>
    <row r="3" spans="2:5" ht="52" x14ac:dyDescent="0.35">
      <c r="B3" s="17" t="s">
        <v>14</v>
      </c>
      <c r="C3" s="18" t="s">
        <v>42</v>
      </c>
    </row>
    <row r="4" spans="2:5" ht="29" x14ac:dyDescent="0.35">
      <c r="B4" s="19" t="s">
        <v>43</v>
      </c>
      <c r="C4" s="20">
        <v>34462</v>
      </c>
    </row>
    <row r="5" spans="2:5" ht="45.5" customHeight="1" x14ac:dyDescent="0.35">
      <c r="B5" s="19" t="s">
        <v>44</v>
      </c>
      <c r="C5" s="21">
        <f>(C4*'Generation and ER calculation'!G3)/365</f>
        <v>46075.221917808216</v>
      </c>
    </row>
    <row r="6" spans="2:5" ht="21.65" customHeight="1" x14ac:dyDescent="0.35">
      <c r="B6" s="22" t="s">
        <v>46</v>
      </c>
      <c r="C6" s="20">
        <f>'Generation and ER calculation'!H27</f>
        <v>44188</v>
      </c>
    </row>
    <row r="7" spans="2:5" ht="25.75" customHeight="1" thickBot="1" x14ac:dyDescent="0.4">
      <c r="B7" s="23" t="s">
        <v>15</v>
      </c>
      <c r="C7" s="24">
        <f>(C6-C5)/C5</f>
        <v>-4.0959583899015335E-2</v>
      </c>
    </row>
    <row r="10" spans="2:5" ht="29" x14ac:dyDescent="0.35">
      <c r="B10" s="77" t="s">
        <v>47</v>
      </c>
      <c r="C10" s="80" t="s">
        <v>52</v>
      </c>
      <c r="D10" s="78" t="s">
        <v>53</v>
      </c>
      <c r="E10" s="78" t="s">
        <v>48</v>
      </c>
    </row>
    <row r="11" spans="2:5" x14ac:dyDescent="0.35">
      <c r="B11" s="71" t="s">
        <v>49</v>
      </c>
      <c r="C11" s="73">
        <f>C4*61/365</f>
        <v>5759.402739726027</v>
      </c>
      <c r="D11" s="74">
        <f>'Generation and ER calculation'!H9</f>
        <v>5657</v>
      </c>
      <c r="E11" s="79">
        <f>(D11-C11)/C11</f>
        <v>-1.7780097061053636E-2</v>
      </c>
    </row>
    <row r="12" spans="2:5" x14ac:dyDescent="0.35">
      <c r="B12" s="71" t="s">
        <v>50</v>
      </c>
      <c r="C12" s="72">
        <f>C4*365/365</f>
        <v>34462</v>
      </c>
      <c r="D12" s="75">
        <f>'Generation and ER calculation'!H22</f>
        <v>32625</v>
      </c>
      <c r="E12" s="79">
        <f t="shared" ref="E12:E13" si="0">(D12-C12)/C12</f>
        <v>-5.3305089663977713E-2</v>
      </c>
    </row>
    <row r="13" spans="2:5" x14ac:dyDescent="0.35">
      <c r="B13" s="71" t="s">
        <v>51</v>
      </c>
      <c r="C13" s="73">
        <f>C4*62/365</f>
        <v>5853.8191780821917</v>
      </c>
      <c r="D13" s="76">
        <f>'Generation and ER calculation'!H26</f>
        <v>5906</v>
      </c>
      <c r="E13" s="79">
        <f t="shared" si="0"/>
        <v>8.913979118655253E-3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F7AC-0B1A-42A7-BFB1-CD36C9863268}">
  <dimension ref="A1:I34"/>
  <sheetViews>
    <sheetView workbookViewId="0">
      <selection activeCell="H11" sqref="H11"/>
    </sheetView>
  </sheetViews>
  <sheetFormatPr defaultRowHeight="14.5" x14ac:dyDescent="0.35"/>
  <cols>
    <col min="1" max="1" width="15.36328125" customWidth="1"/>
    <col min="2" max="4" width="12.453125" customWidth="1"/>
    <col min="5" max="5" width="13.90625" customWidth="1"/>
    <col min="6" max="6" width="13.81640625" customWidth="1"/>
    <col min="7" max="7" width="12.81640625" customWidth="1"/>
    <col min="8" max="8" width="11.1796875" customWidth="1"/>
    <col min="9" max="9" width="9.36328125" bestFit="1" customWidth="1"/>
  </cols>
  <sheetData>
    <row r="1" spans="1:9" x14ac:dyDescent="0.35">
      <c r="A1" s="116" t="s">
        <v>58</v>
      </c>
      <c r="B1" s="116"/>
      <c r="C1" s="116"/>
      <c r="E1" s="116" t="s">
        <v>57</v>
      </c>
      <c r="F1" s="116"/>
      <c r="G1" s="116"/>
      <c r="H1" s="116"/>
    </row>
    <row r="2" spans="1:9" ht="42" x14ac:dyDescent="0.35">
      <c r="A2" s="89" t="s">
        <v>87</v>
      </c>
      <c r="B2" s="89" t="s">
        <v>86</v>
      </c>
      <c r="C2" s="89" t="s">
        <v>88</v>
      </c>
      <c r="E2" s="89" t="s">
        <v>56</v>
      </c>
      <c r="F2" s="89" t="s">
        <v>11</v>
      </c>
      <c r="G2" s="89" t="s">
        <v>10</v>
      </c>
      <c r="H2" s="89" t="s">
        <v>88</v>
      </c>
    </row>
    <row r="3" spans="1:9" x14ac:dyDescent="0.35">
      <c r="A3" s="85">
        <f>SUM('March-22'!B4:B6)</f>
        <v>329625</v>
      </c>
      <c r="B3" s="108">
        <f>SUM('March-22'!L4:L6)</f>
        <v>3285</v>
      </c>
      <c r="C3" s="108">
        <f>A3-B3</f>
        <v>326340</v>
      </c>
      <c r="E3" s="90">
        <v>44621</v>
      </c>
      <c r="F3" s="108">
        <f>3/31*3498083</f>
        <v>338524.16129032255</v>
      </c>
      <c r="G3" s="108">
        <f>3/31*33512</f>
        <v>3243.0967741935483</v>
      </c>
      <c r="H3" s="95">
        <f>F3-G3</f>
        <v>335281.06451612897</v>
      </c>
    </row>
    <row r="4" spans="1:9" x14ac:dyDescent="0.35">
      <c r="A4" s="91"/>
      <c r="B4" s="88"/>
      <c r="C4" s="88"/>
      <c r="I4" s="88"/>
    </row>
    <row r="5" spans="1:9" x14ac:dyDescent="0.35">
      <c r="A5" s="91"/>
    </row>
    <row r="6" spans="1:9" x14ac:dyDescent="0.35">
      <c r="A6" s="92"/>
    </row>
    <row r="7" spans="1:9" x14ac:dyDescent="0.35">
      <c r="A7" s="91"/>
    </row>
    <row r="8" spans="1:9" x14ac:dyDescent="0.35">
      <c r="A8" s="93"/>
    </row>
    <row r="9" spans="1:9" x14ac:dyDescent="0.35">
      <c r="A9" s="93"/>
    </row>
    <row r="10" spans="1:9" x14ac:dyDescent="0.35">
      <c r="A10" s="93"/>
    </row>
    <row r="11" spans="1:9" x14ac:dyDescent="0.35">
      <c r="A11" s="93"/>
    </row>
    <row r="12" spans="1:9" x14ac:dyDescent="0.35">
      <c r="A12" s="93"/>
    </row>
    <row r="13" spans="1:9" x14ac:dyDescent="0.35">
      <c r="A13" s="93"/>
    </row>
    <row r="14" spans="1:9" x14ac:dyDescent="0.35">
      <c r="A14" s="93"/>
    </row>
    <row r="15" spans="1:9" x14ac:dyDescent="0.35">
      <c r="A15" s="91"/>
    </row>
    <row r="16" spans="1:9" x14ac:dyDescent="0.35">
      <c r="A16" s="91"/>
    </row>
    <row r="17" spans="1:1" x14ac:dyDescent="0.35">
      <c r="A17" s="91"/>
    </row>
    <row r="18" spans="1:1" x14ac:dyDescent="0.35">
      <c r="A18" s="91"/>
    </row>
    <row r="19" spans="1:1" x14ac:dyDescent="0.35">
      <c r="A19" s="91"/>
    </row>
    <row r="20" spans="1:1" x14ac:dyDescent="0.35">
      <c r="A20" s="91"/>
    </row>
    <row r="21" spans="1:1" x14ac:dyDescent="0.35">
      <c r="A21" s="91"/>
    </row>
    <row r="22" spans="1:1" x14ac:dyDescent="0.35">
      <c r="A22" s="91"/>
    </row>
    <row r="23" spans="1:1" x14ac:dyDescent="0.35">
      <c r="A23" s="91"/>
    </row>
    <row r="24" spans="1:1" x14ac:dyDescent="0.35">
      <c r="A24" s="91"/>
    </row>
    <row r="25" spans="1:1" x14ac:dyDescent="0.35">
      <c r="A25" s="91"/>
    </row>
    <row r="26" spans="1:1" x14ac:dyDescent="0.35">
      <c r="A26" s="91"/>
    </row>
    <row r="27" spans="1:1" x14ac:dyDescent="0.35">
      <c r="A27" s="91"/>
    </row>
    <row r="28" spans="1:1" x14ac:dyDescent="0.35">
      <c r="A28" s="91"/>
    </row>
    <row r="29" spans="1:1" x14ac:dyDescent="0.35">
      <c r="A29" s="91"/>
    </row>
    <row r="30" spans="1:1" x14ac:dyDescent="0.35">
      <c r="A30" s="91"/>
    </row>
    <row r="31" spans="1:1" x14ac:dyDescent="0.35">
      <c r="A31" s="91"/>
    </row>
    <row r="32" spans="1:1" x14ac:dyDescent="0.35">
      <c r="A32" s="91"/>
    </row>
    <row r="33" spans="1:1" x14ac:dyDescent="0.35">
      <c r="A33" s="91"/>
    </row>
    <row r="34" spans="1:1" x14ac:dyDescent="0.35">
      <c r="A34" s="94"/>
    </row>
  </sheetData>
  <mergeCells count="2">
    <mergeCell ref="A1:C1"/>
    <mergeCell ref="E1:H1"/>
  </mergeCells>
  <pageMargins left="0.7" right="0.7" top="0.75" bottom="0.75" header="0.3" footer="0.3"/>
  <ignoredErrors>
    <ignoredError sqref="A3:B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B225-5524-4D8A-8B51-9F73C0F41B06}">
  <dimension ref="A1:V36"/>
  <sheetViews>
    <sheetView tabSelected="1" topLeftCell="A2" zoomScale="78" zoomScaleNormal="80" workbookViewId="0">
      <pane ySplit="1" topLeftCell="A3" activePane="bottomLeft" state="frozen"/>
      <selection activeCell="F2" sqref="F2"/>
      <selection pane="bottomLeft" activeCell="O7" sqref="O7"/>
    </sheetView>
  </sheetViews>
  <sheetFormatPr defaultRowHeight="14.5" x14ac:dyDescent="0.35"/>
  <cols>
    <col min="1" max="1" width="10" bestFit="1" customWidth="1"/>
    <col min="2" max="2" width="12" customWidth="1"/>
    <col min="3" max="4" width="12.1796875" customWidth="1"/>
    <col min="5" max="5" width="11.1796875" customWidth="1"/>
    <col min="6" max="7" width="11.453125" bestFit="1" customWidth="1"/>
    <col min="8" max="9" width="12.453125" style="1" bestFit="1" customWidth="1"/>
    <col min="10" max="10" width="9.54296875" style="1" customWidth="1"/>
    <col min="11" max="11" width="12.453125" bestFit="1" customWidth="1"/>
    <col min="12" max="12" width="10.1796875" customWidth="1"/>
    <col min="13" max="13" width="12.54296875" style="1" customWidth="1"/>
    <col min="14" max="16" width="8.81640625" style="1" customWidth="1"/>
    <col min="17" max="17" width="9" style="1" customWidth="1"/>
    <col min="18" max="18" width="8.81640625" style="1" customWidth="1"/>
    <col min="19" max="19" width="8.54296875" style="1" customWidth="1"/>
    <col min="20" max="20" width="12.453125" style="1" bestFit="1" customWidth="1"/>
    <col min="21" max="21" width="62.1796875" customWidth="1"/>
    <col min="22" max="22" width="46.54296875" customWidth="1"/>
  </cols>
  <sheetData>
    <row r="1" spans="1:22" ht="54" customHeight="1" x14ac:dyDescent="0.35">
      <c r="A1" s="117" t="s">
        <v>59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</row>
    <row r="2" spans="1:22" ht="70" x14ac:dyDescent="0.35">
      <c r="A2" s="81" t="s">
        <v>54</v>
      </c>
      <c r="B2" s="82" t="s">
        <v>55</v>
      </c>
      <c r="C2" s="82" t="s">
        <v>60</v>
      </c>
      <c r="D2" s="82" t="s">
        <v>61</v>
      </c>
      <c r="E2" s="82" t="s">
        <v>62</v>
      </c>
      <c r="F2" s="82" t="s">
        <v>63</v>
      </c>
      <c r="G2" s="82" t="s">
        <v>64</v>
      </c>
      <c r="H2" s="82" t="s">
        <v>65</v>
      </c>
      <c r="I2" s="82" t="s">
        <v>66</v>
      </c>
      <c r="J2" s="82" t="s">
        <v>67</v>
      </c>
      <c r="K2" s="82" t="s">
        <v>68</v>
      </c>
      <c r="L2" s="82" t="s">
        <v>84</v>
      </c>
      <c r="M2" s="96" t="s">
        <v>69</v>
      </c>
      <c r="N2" s="118" t="s">
        <v>70</v>
      </c>
      <c r="O2" s="119"/>
      <c r="P2" s="120"/>
      <c r="Q2" s="97" t="s">
        <v>71</v>
      </c>
      <c r="R2" s="82" t="s">
        <v>72</v>
      </c>
      <c r="S2" s="97" t="s">
        <v>73</v>
      </c>
      <c r="T2" s="97" t="s">
        <v>74</v>
      </c>
      <c r="U2" s="82" t="s">
        <v>75</v>
      </c>
    </row>
    <row r="3" spans="1:22" s="99" customFormat="1" ht="24" customHeight="1" x14ac:dyDescent="0.35">
      <c r="A3" s="81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98"/>
      <c r="N3" s="83" t="s">
        <v>76</v>
      </c>
      <c r="O3" s="83" t="s">
        <v>77</v>
      </c>
      <c r="P3" s="83" t="s">
        <v>78</v>
      </c>
      <c r="Q3" s="83" t="s">
        <v>79</v>
      </c>
      <c r="R3" s="83" t="s">
        <v>79</v>
      </c>
      <c r="S3" s="83" t="s">
        <v>80</v>
      </c>
      <c r="T3" s="83" t="s">
        <v>81</v>
      </c>
      <c r="U3" s="82"/>
    </row>
    <row r="4" spans="1:22" ht="47.25" customHeight="1" x14ac:dyDescent="0.35">
      <c r="A4" s="84">
        <v>44621</v>
      </c>
      <c r="B4" s="73">
        <v>107955</v>
      </c>
      <c r="C4" s="73">
        <v>110710</v>
      </c>
      <c r="D4" s="73">
        <f>C4-B4</f>
        <v>2755</v>
      </c>
      <c r="E4" s="100">
        <v>6.61</v>
      </c>
      <c r="F4" s="85">
        <v>6.35</v>
      </c>
      <c r="G4" s="85">
        <v>6.48</v>
      </c>
      <c r="H4" s="85">
        <v>67.56</v>
      </c>
      <c r="I4" s="85">
        <v>67.319999999999993</v>
      </c>
      <c r="J4" s="85">
        <v>66.56</v>
      </c>
      <c r="K4" s="85">
        <v>17.989999999999998</v>
      </c>
      <c r="L4" s="85">
        <v>1080</v>
      </c>
      <c r="M4" s="85">
        <v>0.5</v>
      </c>
      <c r="N4" s="86">
        <v>1</v>
      </c>
      <c r="O4" s="86">
        <v>0.625</v>
      </c>
      <c r="P4" s="86">
        <v>1</v>
      </c>
      <c r="Q4" s="85">
        <v>40.909999999999997</v>
      </c>
      <c r="R4" s="85">
        <v>29.8</v>
      </c>
      <c r="S4" s="85">
        <v>1.31</v>
      </c>
      <c r="T4" s="86">
        <v>100</v>
      </c>
      <c r="U4" s="101" t="s">
        <v>82</v>
      </c>
    </row>
    <row r="5" spans="1:22" ht="48" customHeight="1" x14ac:dyDescent="0.35">
      <c r="A5" s="84">
        <v>44622</v>
      </c>
      <c r="B5" s="73">
        <v>106020</v>
      </c>
      <c r="C5" s="73">
        <v>108780</v>
      </c>
      <c r="D5" s="73">
        <f t="shared" ref="D5:D34" si="0">C5-B5</f>
        <v>2760</v>
      </c>
      <c r="E5" s="85">
        <v>6.54</v>
      </c>
      <c r="F5" s="85">
        <v>6.29</v>
      </c>
      <c r="G5" s="85">
        <v>6.41</v>
      </c>
      <c r="H5" s="85">
        <v>66.8</v>
      </c>
      <c r="I5" s="85">
        <v>66.819999999999993</v>
      </c>
      <c r="J5" s="85">
        <v>66.040000000000006</v>
      </c>
      <c r="K5" s="85">
        <v>17.670000000000002</v>
      </c>
      <c r="L5" s="85">
        <v>1125</v>
      </c>
      <c r="M5" s="85">
        <v>0.4</v>
      </c>
      <c r="N5" s="86">
        <v>1</v>
      </c>
      <c r="O5" s="86">
        <v>0.85699999999999998</v>
      </c>
      <c r="P5" s="86">
        <v>1</v>
      </c>
      <c r="Q5" s="85">
        <v>43.14</v>
      </c>
      <c r="R5" s="85">
        <v>30.67</v>
      </c>
      <c r="S5" s="85">
        <v>1.56</v>
      </c>
      <c r="T5" s="86">
        <v>100</v>
      </c>
      <c r="U5" s="101" t="s">
        <v>83</v>
      </c>
    </row>
    <row r="6" spans="1:22" ht="50.15" customHeight="1" x14ac:dyDescent="0.35">
      <c r="A6" s="84">
        <v>44623</v>
      </c>
      <c r="B6" s="73">
        <v>115650</v>
      </c>
      <c r="C6" s="73">
        <v>118355</v>
      </c>
      <c r="D6" s="73">
        <f t="shared" si="0"/>
        <v>2705</v>
      </c>
      <c r="E6" s="85">
        <v>6.86</v>
      </c>
      <c r="F6" s="102">
        <v>6.56</v>
      </c>
      <c r="G6" s="85">
        <v>6.71</v>
      </c>
      <c r="H6" s="102">
        <v>69.2</v>
      </c>
      <c r="I6" s="102">
        <v>69.98</v>
      </c>
      <c r="J6" s="85">
        <v>68.900000000000006</v>
      </c>
      <c r="K6" s="102">
        <v>19.28</v>
      </c>
      <c r="L6" s="85">
        <v>1080</v>
      </c>
      <c r="M6" s="85">
        <v>0.4</v>
      </c>
      <c r="N6" s="86">
        <v>1</v>
      </c>
      <c r="O6" s="86">
        <v>0.71399999999999997</v>
      </c>
      <c r="P6" s="86">
        <v>1</v>
      </c>
      <c r="Q6" s="85">
        <v>34.72</v>
      </c>
      <c r="R6" s="85">
        <v>28.14</v>
      </c>
      <c r="S6" s="85">
        <v>2.96</v>
      </c>
      <c r="T6" s="86">
        <v>100</v>
      </c>
      <c r="U6" s="101" t="s">
        <v>82</v>
      </c>
    </row>
    <row r="7" spans="1:22" ht="50.15" customHeight="1" x14ac:dyDescent="0.35">
      <c r="A7" s="84">
        <v>44624</v>
      </c>
      <c r="B7" s="73">
        <v>119115</v>
      </c>
      <c r="C7" s="73">
        <v>121887</v>
      </c>
      <c r="D7" s="73">
        <f t="shared" si="0"/>
        <v>2772</v>
      </c>
      <c r="E7" s="85">
        <v>7.11</v>
      </c>
      <c r="F7" s="102">
        <v>6.82</v>
      </c>
      <c r="G7" s="85">
        <v>6.97</v>
      </c>
      <c r="H7" s="102">
        <v>68.59</v>
      </c>
      <c r="I7" s="102">
        <v>69.33</v>
      </c>
      <c r="J7" s="85">
        <v>68.31</v>
      </c>
      <c r="K7" s="102">
        <v>19.850000000000001</v>
      </c>
      <c r="L7" s="86">
        <v>1170</v>
      </c>
      <c r="M7" s="85">
        <v>0.5</v>
      </c>
      <c r="N7" s="86">
        <v>1</v>
      </c>
      <c r="O7" s="86">
        <v>0.75</v>
      </c>
      <c r="P7" s="86">
        <v>1</v>
      </c>
      <c r="Q7" s="85">
        <v>36.71</v>
      </c>
      <c r="R7" s="85">
        <v>28.55</v>
      </c>
      <c r="S7" s="85">
        <v>3.7</v>
      </c>
      <c r="T7" s="86">
        <v>100</v>
      </c>
      <c r="U7" s="101" t="s">
        <v>82</v>
      </c>
    </row>
    <row r="8" spans="1:22" ht="48" customHeight="1" x14ac:dyDescent="0.35">
      <c r="A8" s="84">
        <v>44625</v>
      </c>
      <c r="B8" s="73">
        <v>115875</v>
      </c>
      <c r="C8" s="103">
        <v>118720</v>
      </c>
      <c r="D8" s="73">
        <f t="shared" si="0"/>
        <v>2845</v>
      </c>
      <c r="E8" s="85">
        <v>7.09</v>
      </c>
      <c r="F8" s="85">
        <v>6.8</v>
      </c>
      <c r="G8" s="85">
        <v>6.94</v>
      </c>
      <c r="H8" s="85">
        <v>66.83</v>
      </c>
      <c r="I8" s="85">
        <v>67.73</v>
      </c>
      <c r="J8" s="85">
        <v>66.7</v>
      </c>
      <c r="K8" s="85">
        <v>19.309999999999999</v>
      </c>
      <c r="L8" s="85">
        <v>1035</v>
      </c>
      <c r="M8" s="85">
        <v>0.5</v>
      </c>
      <c r="N8" s="86">
        <v>1</v>
      </c>
      <c r="O8" s="86">
        <v>0.625</v>
      </c>
      <c r="P8" s="86">
        <v>1</v>
      </c>
      <c r="Q8" s="85">
        <v>39.86</v>
      </c>
      <c r="R8" s="85">
        <v>29.76</v>
      </c>
      <c r="S8" s="85">
        <v>1.3</v>
      </c>
      <c r="T8" s="86">
        <v>100</v>
      </c>
      <c r="U8" s="101" t="s">
        <v>83</v>
      </c>
    </row>
    <row r="9" spans="1:22" ht="54" customHeight="1" x14ac:dyDescent="0.35">
      <c r="A9" s="84">
        <v>44626</v>
      </c>
      <c r="B9" s="73">
        <v>102465</v>
      </c>
      <c r="C9" s="103">
        <v>105350</v>
      </c>
      <c r="D9" s="73">
        <f t="shared" si="0"/>
        <v>2885</v>
      </c>
      <c r="E9" s="104">
        <v>6.3</v>
      </c>
      <c r="F9" s="104">
        <v>6.03</v>
      </c>
      <c r="G9" s="104">
        <v>6.17</v>
      </c>
      <c r="H9" s="104">
        <v>66.31</v>
      </c>
      <c r="I9" s="104">
        <v>67.540000000000006</v>
      </c>
      <c r="J9" s="104">
        <v>66.39</v>
      </c>
      <c r="K9" s="104">
        <v>17.079999999999998</v>
      </c>
      <c r="L9" s="87">
        <v>1170</v>
      </c>
      <c r="M9" s="85">
        <v>0.5</v>
      </c>
      <c r="N9" s="86">
        <v>1</v>
      </c>
      <c r="O9" s="86">
        <v>0.85699999999999998</v>
      </c>
      <c r="P9" s="86">
        <v>1</v>
      </c>
      <c r="Q9" s="85">
        <v>42.91</v>
      </c>
      <c r="R9" s="85">
        <v>31.31</v>
      </c>
      <c r="S9" s="85">
        <v>0.49</v>
      </c>
      <c r="T9" s="86">
        <v>100</v>
      </c>
      <c r="U9" s="101" t="s">
        <v>83</v>
      </c>
    </row>
    <row r="10" spans="1:22" ht="45" customHeight="1" x14ac:dyDescent="0.35">
      <c r="A10" s="84">
        <v>44627</v>
      </c>
      <c r="B10" s="73">
        <v>116145</v>
      </c>
      <c r="C10" s="73">
        <v>118965</v>
      </c>
      <c r="D10" s="73">
        <f t="shared" si="0"/>
        <v>2820</v>
      </c>
      <c r="E10" s="85">
        <v>7.07</v>
      </c>
      <c r="F10" s="85">
        <v>6.76</v>
      </c>
      <c r="G10" s="85">
        <v>6.92</v>
      </c>
      <c r="H10" s="85">
        <v>66.97</v>
      </c>
      <c r="I10" s="85">
        <v>68.290000000000006</v>
      </c>
      <c r="J10" s="85">
        <v>67.11</v>
      </c>
      <c r="K10" s="85">
        <v>19.36</v>
      </c>
      <c r="L10" s="87">
        <v>1170</v>
      </c>
      <c r="M10" s="85">
        <v>0.4</v>
      </c>
      <c r="N10" s="86">
        <v>0.8</v>
      </c>
      <c r="O10" s="86">
        <v>0.75</v>
      </c>
      <c r="P10" s="86">
        <v>1</v>
      </c>
      <c r="Q10" s="85">
        <v>39.53</v>
      </c>
      <c r="R10" s="85">
        <v>30.46</v>
      </c>
      <c r="S10" s="85">
        <v>0.44</v>
      </c>
      <c r="T10" s="86">
        <v>99.998999999999995</v>
      </c>
      <c r="U10" s="101" t="s">
        <v>82</v>
      </c>
    </row>
    <row r="11" spans="1:22" ht="49.5" customHeight="1" x14ac:dyDescent="0.35">
      <c r="A11" s="84">
        <v>44628</v>
      </c>
      <c r="B11" s="73">
        <v>110070</v>
      </c>
      <c r="C11" s="73">
        <v>113107</v>
      </c>
      <c r="D11" s="73">
        <f t="shared" si="0"/>
        <v>3037</v>
      </c>
      <c r="E11" s="85">
        <v>6.75</v>
      </c>
      <c r="F11" s="85">
        <v>6.48</v>
      </c>
      <c r="G11" s="85">
        <v>6.61</v>
      </c>
      <c r="H11" s="85">
        <v>66.31</v>
      </c>
      <c r="I11" s="85">
        <v>67.56</v>
      </c>
      <c r="J11" s="85">
        <v>66.48</v>
      </c>
      <c r="K11" s="85">
        <v>18.350000000000001</v>
      </c>
      <c r="L11" s="87">
        <v>1035</v>
      </c>
      <c r="M11" s="85">
        <v>0.4</v>
      </c>
      <c r="N11" s="86">
        <v>1</v>
      </c>
      <c r="O11" s="86">
        <v>0.71399999999999997</v>
      </c>
      <c r="P11" s="86">
        <v>1</v>
      </c>
      <c r="Q11" s="85">
        <v>41.02</v>
      </c>
      <c r="R11" s="85">
        <v>31.97</v>
      </c>
      <c r="S11" s="85">
        <v>0.42</v>
      </c>
      <c r="T11" s="86">
        <v>100</v>
      </c>
      <c r="U11" s="101" t="s">
        <v>83</v>
      </c>
      <c r="V11" s="105"/>
    </row>
    <row r="12" spans="1:22" ht="48.75" customHeight="1" x14ac:dyDescent="0.35">
      <c r="A12" s="84">
        <v>44629</v>
      </c>
      <c r="B12" s="73">
        <v>108585</v>
      </c>
      <c r="C12" s="73">
        <v>111426</v>
      </c>
      <c r="D12" s="73">
        <f t="shared" si="0"/>
        <v>2841</v>
      </c>
      <c r="E12" s="85">
        <v>6.6</v>
      </c>
      <c r="F12" s="85">
        <v>6.33</v>
      </c>
      <c r="G12" s="85">
        <v>6.47</v>
      </c>
      <c r="H12" s="85">
        <v>66.56</v>
      </c>
      <c r="I12" s="85">
        <v>68.3</v>
      </c>
      <c r="J12" s="85">
        <v>67.08</v>
      </c>
      <c r="K12" s="85">
        <v>18.100000000000001</v>
      </c>
      <c r="L12" s="87">
        <v>1170</v>
      </c>
      <c r="M12" s="85">
        <v>0.4</v>
      </c>
      <c r="N12" s="86">
        <v>1</v>
      </c>
      <c r="O12" s="86">
        <v>0.85699999999999998</v>
      </c>
      <c r="P12" s="86">
        <v>1</v>
      </c>
      <c r="Q12" s="85">
        <v>41.74</v>
      </c>
      <c r="R12" s="85">
        <v>31.71</v>
      </c>
      <c r="S12" s="85">
        <v>0.41</v>
      </c>
      <c r="T12" s="86">
        <v>100</v>
      </c>
      <c r="U12" s="101" t="s">
        <v>83</v>
      </c>
    </row>
    <row r="13" spans="1:22" ht="45.75" customHeight="1" x14ac:dyDescent="0.35">
      <c r="A13" s="84">
        <v>44630</v>
      </c>
      <c r="B13" s="73">
        <v>108585</v>
      </c>
      <c r="C13" s="73">
        <v>111628</v>
      </c>
      <c r="D13" s="73">
        <f t="shared" si="0"/>
        <v>3043</v>
      </c>
      <c r="E13" s="85">
        <v>6.64</v>
      </c>
      <c r="F13" s="85">
        <v>6.34</v>
      </c>
      <c r="G13" s="85">
        <v>6.49</v>
      </c>
      <c r="H13" s="85">
        <v>66.2</v>
      </c>
      <c r="I13" s="85">
        <v>68.180000000000007</v>
      </c>
      <c r="J13" s="85">
        <v>66.84</v>
      </c>
      <c r="K13" s="85">
        <v>18.100000000000001</v>
      </c>
      <c r="L13" s="87">
        <v>1080</v>
      </c>
      <c r="M13" s="85">
        <v>0.5</v>
      </c>
      <c r="N13" s="86">
        <v>1</v>
      </c>
      <c r="O13" s="86">
        <v>0.625</v>
      </c>
      <c r="P13" s="86">
        <v>1</v>
      </c>
      <c r="Q13" s="85">
        <v>41.97</v>
      </c>
      <c r="R13" s="85">
        <v>32.450000000000003</v>
      </c>
      <c r="S13" s="85">
        <v>0.71</v>
      </c>
      <c r="T13" s="86">
        <v>100</v>
      </c>
      <c r="U13" s="101" t="s">
        <v>83</v>
      </c>
    </row>
    <row r="14" spans="1:22" ht="48" customHeight="1" x14ac:dyDescent="0.35">
      <c r="A14" s="84">
        <v>44631</v>
      </c>
      <c r="B14" s="73">
        <v>107775</v>
      </c>
      <c r="C14" s="73">
        <v>110760</v>
      </c>
      <c r="D14" s="73">
        <f t="shared" si="0"/>
        <v>2985</v>
      </c>
      <c r="E14" s="85">
        <v>6.6</v>
      </c>
      <c r="F14" s="104">
        <v>6.32</v>
      </c>
      <c r="G14" s="104">
        <v>6.46</v>
      </c>
      <c r="H14" s="104">
        <v>65.459999999999994</v>
      </c>
      <c r="I14" s="104">
        <v>68.06</v>
      </c>
      <c r="J14" s="104">
        <v>66.63</v>
      </c>
      <c r="K14" s="104">
        <v>17.96</v>
      </c>
      <c r="L14" s="87">
        <v>1125</v>
      </c>
      <c r="M14" s="85">
        <v>0.4</v>
      </c>
      <c r="N14" s="86">
        <v>1</v>
      </c>
      <c r="O14" s="86">
        <v>0.85699999999999998</v>
      </c>
      <c r="P14" s="86">
        <v>1</v>
      </c>
      <c r="Q14" s="85">
        <v>43.4</v>
      </c>
      <c r="R14" s="85">
        <v>33.409999999999997</v>
      </c>
      <c r="S14" s="85">
        <v>1.5</v>
      </c>
      <c r="T14" s="86">
        <v>99.992000000000004</v>
      </c>
      <c r="U14" s="101" t="s">
        <v>83</v>
      </c>
    </row>
    <row r="15" spans="1:22" ht="46.5" customHeight="1" x14ac:dyDescent="0.35">
      <c r="A15" s="84">
        <v>44632</v>
      </c>
      <c r="B15" s="73">
        <v>110430</v>
      </c>
      <c r="C15" s="73">
        <v>113612</v>
      </c>
      <c r="D15" s="73">
        <f t="shared" si="0"/>
        <v>3182</v>
      </c>
      <c r="E15" s="85">
        <v>6.85</v>
      </c>
      <c r="F15" s="85">
        <v>6.56</v>
      </c>
      <c r="G15" s="85">
        <v>6.71</v>
      </c>
      <c r="H15" s="85">
        <v>64.510000000000005</v>
      </c>
      <c r="I15" s="85">
        <v>67.260000000000005</v>
      </c>
      <c r="J15" s="85">
        <v>65.8</v>
      </c>
      <c r="K15" s="85">
        <v>18.41</v>
      </c>
      <c r="L15" s="87">
        <v>1080</v>
      </c>
      <c r="M15" s="85">
        <v>0.5</v>
      </c>
      <c r="N15" s="86">
        <v>1</v>
      </c>
      <c r="O15" s="86">
        <v>0.625</v>
      </c>
      <c r="P15" s="86">
        <v>1</v>
      </c>
      <c r="Q15" s="85">
        <v>45.49</v>
      </c>
      <c r="R15" s="85">
        <v>33.51</v>
      </c>
      <c r="S15" s="85">
        <v>1.1200000000000001</v>
      </c>
      <c r="T15" s="86">
        <v>100</v>
      </c>
      <c r="U15" s="101" t="s">
        <v>82</v>
      </c>
    </row>
    <row r="16" spans="1:22" ht="48" customHeight="1" x14ac:dyDescent="0.35">
      <c r="A16" s="84">
        <v>44633</v>
      </c>
      <c r="B16" s="73">
        <v>110520</v>
      </c>
      <c r="C16" s="73">
        <v>113745</v>
      </c>
      <c r="D16" s="73">
        <f t="shared" si="0"/>
        <v>3225</v>
      </c>
      <c r="E16" s="100">
        <v>6.78</v>
      </c>
      <c r="F16" s="104">
        <v>6.49</v>
      </c>
      <c r="G16" s="104">
        <v>6.64</v>
      </c>
      <c r="H16" s="104">
        <v>65.19</v>
      </c>
      <c r="I16" s="104">
        <v>68.040000000000006</v>
      </c>
      <c r="J16" s="104">
        <v>66.55</v>
      </c>
      <c r="K16" s="104">
        <v>18.420000000000002</v>
      </c>
      <c r="L16" s="85">
        <v>1170</v>
      </c>
      <c r="M16" s="85">
        <v>0.5</v>
      </c>
      <c r="N16" s="86">
        <v>1</v>
      </c>
      <c r="O16" s="86">
        <v>0.75</v>
      </c>
      <c r="P16" s="86">
        <v>1</v>
      </c>
      <c r="Q16" s="85">
        <v>44.79</v>
      </c>
      <c r="R16" s="85">
        <v>34.75</v>
      </c>
      <c r="S16" s="85">
        <v>1.07</v>
      </c>
      <c r="T16" s="86">
        <v>99.998999999999995</v>
      </c>
      <c r="U16" s="101" t="s">
        <v>82</v>
      </c>
    </row>
    <row r="17" spans="1:21" ht="46.5" customHeight="1" x14ac:dyDescent="0.35">
      <c r="A17" s="84">
        <v>44634</v>
      </c>
      <c r="B17" s="73">
        <v>110250</v>
      </c>
      <c r="C17" s="73">
        <v>113421</v>
      </c>
      <c r="D17" s="73">
        <f t="shared" si="0"/>
        <v>3171</v>
      </c>
      <c r="E17" s="100">
        <v>6.81</v>
      </c>
      <c r="F17" s="102">
        <v>6.5</v>
      </c>
      <c r="G17" s="102">
        <v>6.65</v>
      </c>
      <c r="H17" s="102">
        <v>64.7</v>
      </c>
      <c r="I17" s="102">
        <v>67.78</v>
      </c>
      <c r="J17" s="102">
        <v>66.209999999999994</v>
      </c>
      <c r="K17" s="102">
        <v>18.38</v>
      </c>
      <c r="L17" s="85">
        <v>1035</v>
      </c>
      <c r="M17" s="85">
        <v>0.5</v>
      </c>
      <c r="N17" s="86">
        <v>1</v>
      </c>
      <c r="O17" s="86">
        <v>0.71399999999999997</v>
      </c>
      <c r="P17" s="86">
        <v>1</v>
      </c>
      <c r="Q17" s="85">
        <v>45.36</v>
      </c>
      <c r="R17" s="85">
        <v>35.340000000000003</v>
      </c>
      <c r="S17" s="85">
        <v>0.64</v>
      </c>
      <c r="T17" s="86">
        <v>99.995000000000005</v>
      </c>
      <c r="U17" s="101" t="s">
        <v>83</v>
      </c>
    </row>
    <row r="18" spans="1:21" ht="48.75" customHeight="1" x14ac:dyDescent="0.35">
      <c r="A18" s="84">
        <v>44635</v>
      </c>
      <c r="B18" s="73">
        <v>113670</v>
      </c>
      <c r="C18" s="73">
        <v>117107</v>
      </c>
      <c r="D18" s="73">
        <f t="shared" si="0"/>
        <v>3437</v>
      </c>
      <c r="E18" s="100">
        <v>7.01</v>
      </c>
      <c r="F18" s="85">
        <v>6.69</v>
      </c>
      <c r="G18" s="85">
        <v>6.85</v>
      </c>
      <c r="H18" s="85">
        <v>66.150000000000006</v>
      </c>
      <c r="I18" s="85">
        <v>67.569999999999993</v>
      </c>
      <c r="J18" s="85">
        <v>66.319999999999993</v>
      </c>
      <c r="K18" s="85">
        <v>18.95</v>
      </c>
      <c r="L18" s="85">
        <v>1125</v>
      </c>
      <c r="M18" s="85">
        <v>0.4</v>
      </c>
      <c r="N18" s="86">
        <v>1</v>
      </c>
      <c r="O18" s="86">
        <v>0.75</v>
      </c>
      <c r="P18" s="86">
        <v>1</v>
      </c>
      <c r="Q18" s="85">
        <v>41.92</v>
      </c>
      <c r="R18" s="85">
        <v>35.47</v>
      </c>
      <c r="S18" s="85">
        <v>2.46</v>
      </c>
      <c r="T18" s="86">
        <v>99.947000000000003</v>
      </c>
      <c r="U18" s="101" t="s">
        <v>82</v>
      </c>
    </row>
    <row r="19" spans="1:21" ht="50.25" customHeight="1" x14ac:dyDescent="0.35">
      <c r="A19" s="84">
        <v>44636</v>
      </c>
      <c r="B19" s="73">
        <v>115965</v>
      </c>
      <c r="C19" s="73">
        <v>119285</v>
      </c>
      <c r="D19" s="73">
        <f t="shared" si="0"/>
        <v>3320</v>
      </c>
      <c r="E19" s="100">
        <v>7.13</v>
      </c>
      <c r="F19" s="85">
        <v>6.78</v>
      </c>
      <c r="G19" s="85">
        <v>6.96</v>
      </c>
      <c r="H19" s="85">
        <v>66.92</v>
      </c>
      <c r="I19" s="85">
        <v>67.81</v>
      </c>
      <c r="J19" s="85">
        <v>66.61</v>
      </c>
      <c r="K19" s="85">
        <v>19.329999999999998</v>
      </c>
      <c r="L19" s="85">
        <v>1170</v>
      </c>
      <c r="M19" s="85">
        <v>0.5</v>
      </c>
      <c r="N19" s="86">
        <v>1</v>
      </c>
      <c r="O19" s="86">
        <v>0.75</v>
      </c>
      <c r="P19" s="86">
        <v>1</v>
      </c>
      <c r="Q19" s="85">
        <v>46.78</v>
      </c>
      <c r="R19" s="85">
        <v>35.340000000000003</v>
      </c>
      <c r="S19" s="85">
        <v>1.64</v>
      </c>
      <c r="T19" s="86">
        <v>99.998999999999995</v>
      </c>
      <c r="U19" s="101" t="s">
        <v>82</v>
      </c>
    </row>
    <row r="20" spans="1:21" ht="51" customHeight="1" x14ac:dyDescent="0.35">
      <c r="A20" s="84">
        <v>44637</v>
      </c>
      <c r="B20" s="73">
        <v>118575</v>
      </c>
      <c r="C20" s="73">
        <v>121896</v>
      </c>
      <c r="D20" s="73">
        <f t="shared" si="0"/>
        <v>3321</v>
      </c>
      <c r="E20" s="100">
        <v>7.31</v>
      </c>
      <c r="F20" s="85">
        <v>6.95</v>
      </c>
      <c r="G20" s="85">
        <v>7.13</v>
      </c>
      <c r="H20" s="85">
        <v>66.97</v>
      </c>
      <c r="I20" s="85">
        <v>67.55</v>
      </c>
      <c r="J20" s="85">
        <v>66.42</v>
      </c>
      <c r="K20" s="85">
        <v>19.760000000000002</v>
      </c>
      <c r="L20" s="85">
        <v>1125</v>
      </c>
      <c r="M20" s="85">
        <v>0.4</v>
      </c>
      <c r="N20" s="86">
        <v>1</v>
      </c>
      <c r="O20" s="86">
        <v>0.85699999999999998</v>
      </c>
      <c r="P20" s="86">
        <v>1</v>
      </c>
      <c r="Q20" s="85">
        <v>45.39</v>
      </c>
      <c r="R20" s="85">
        <v>34.979999999999997</v>
      </c>
      <c r="S20" s="85">
        <v>1.07</v>
      </c>
      <c r="T20" s="86">
        <v>99.998000000000005</v>
      </c>
      <c r="U20" s="101" t="s">
        <v>82</v>
      </c>
    </row>
    <row r="21" spans="1:21" s="16" customFormat="1" ht="49.5" customHeight="1" x14ac:dyDescent="0.35">
      <c r="A21" s="84">
        <v>44638</v>
      </c>
      <c r="B21" s="73">
        <v>114255</v>
      </c>
      <c r="C21" s="73">
        <v>117598</v>
      </c>
      <c r="D21" s="73">
        <f t="shared" si="0"/>
        <v>3343</v>
      </c>
      <c r="E21" s="100">
        <v>6.96</v>
      </c>
      <c r="F21" s="85">
        <v>6.64</v>
      </c>
      <c r="G21" s="85">
        <v>6.8</v>
      </c>
      <c r="H21" s="85">
        <v>67.540000000000006</v>
      </c>
      <c r="I21" s="85">
        <v>68.239999999999995</v>
      </c>
      <c r="J21" s="85">
        <v>67.14</v>
      </c>
      <c r="K21" s="85">
        <v>19.04</v>
      </c>
      <c r="L21" s="85">
        <v>900</v>
      </c>
      <c r="M21" s="85">
        <v>0.5</v>
      </c>
      <c r="N21" s="86">
        <v>1</v>
      </c>
      <c r="O21" s="86">
        <v>0.625</v>
      </c>
      <c r="P21" s="86">
        <v>1</v>
      </c>
      <c r="Q21" s="85">
        <v>44.91</v>
      </c>
      <c r="R21" s="85">
        <v>36.08</v>
      </c>
      <c r="S21" s="85">
        <v>2.63</v>
      </c>
      <c r="T21" s="86">
        <v>99.997</v>
      </c>
      <c r="U21" s="101" t="s">
        <v>83</v>
      </c>
    </row>
    <row r="22" spans="1:21" ht="45" customHeight="1" x14ac:dyDescent="0.35">
      <c r="A22" s="84">
        <v>44639</v>
      </c>
      <c r="B22" s="73">
        <v>114480</v>
      </c>
      <c r="C22" s="73">
        <v>117895</v>
      </c>
      <c r="D22" s="73">
        <f t="shared" si="0"/>
        <v>3415</v>
      </c>
      <c r="E22" s="100">
        <v>7.03</v>
      </c>
      <c r="F22" s="85">
        <v>6.7</v>
      </c>
      <c r="G22" s="85">
        <v>6.86</v>
      </c>
      <c r="H22" s="85">
        <v>66.98</v>
      </c>
      <c r="I22" s="85">
        <v>67.81</v>
      </c>
      <c r="J22" s="85">
        <v>66.650000000000006</v>
      </c>
      <c r="K22" s="85">
        <v>19.079999999999998</v>
      </c>
      <c r="L22" s="85">
        <v>1125</v>
      </c>
      <c r="M22" s="85">
        <v>0.4</v>
      </c>
      <c r="N22" s="86">
        <v>1</v>
      </c>
      <c r="O22" s="86">
        <v>0.85699999999999998</v>
      </c>
      <c r="P22" s="86">
        <v>1</v>
      </c>
      <c r="Q22" s="85">
        <v>44.71</v>
      </c>
      <c r="R22" s="85">
        <v>35.049999999999997</v>
      </c>
      <c r="S22" s="85">
        <v>2.15</v>
      </c>
      <c r="T22" s="86">
        <v>100</v>
      </c>
      <c r="U22" s="101" t="s">
        <v>82</v>
      </c>
    </row>
    <row r="23" spans="1:21" ht="52" customHeight="1" x14ac:dyDescent="0.35">
      <c r="A23" s="84">
        <v>44640</v>
      </c>
      <c r="B23" s="73">
        <v>117900</v>
      </c>
      <c r="C23" s="73">
        <v>121236</v>
      </c>
      <c r="D23" s="73">
        <f t="shared" si="0"/>
        <v>3336</v>
      </c>
      <c r="E23" s="100">
        <v>7.16</v>
      </c>
      <c r="F23" s="85">
        <v>6.8</v>
      </c>
      <c r="G23" s="85">
        <v>6.98</v>
      </c>
      <c r="H23" s="85">
        <v>67.52</v>
      </c>
      <c r="I23" s="85">
        <v>68.78</v>
      </c>
      <c r="J23" s="85">
        <v>67.47</v>
      </c>
      <c r="K23" s="85">
        <v>19.649999999999999</v>
      </c>
      <c r="L23" s="85">
        <v>1125</v>
      </c>
      <c r="M23" s="85">
        <v>0.5</v>
      </c>
      <c r="N23" s="86">
        <v>1</v>
      </c>
      <c r="O23" s="86">
        <v>0.85699999999999998</v>
      </c>
      <c r="P23" s="86">
        <v>1</v>
      </c>
      <c r="Q23" s="85">
        <v>43.58</v>
      </c>
      <c r="R23" s="85">
        <v>34.880000000000003</v>
      </c>
      <c r="S23" s="85">
        <v>1.72</v>
      </c>
      <c r="T23" s="86">
        <v>100</v>
      </c>
      <c r="U23" s="101" t="s">
        <v>82</v>
      </c>
    </row>
    <row r="24" spans="1:21" ht="45" customHeight="1" x14ac:dyDescent="0.35">
      <c r="A24" s="84">
        <v>44641</v>
      </c>
      <c r="B24" s="73">
        <v>120420</v>
      </c>
      <c r="C24" s="73">
        <v>123709</v>
      </c>
      <c r="D24" s="73">
        <f t="shared" si="0"/>
        <v>3289</v>
      </c>
      <c r="E24" s="100">
        <v>7.32</v>
      </c>
      <c r="F24" s="85">
        <v>6.97</v>
      </c>
      <c r="G24" s="85">
        <v>7.15</v>
      </c>
      <c r="H24" s="85">
        <v>67.25</v>
      </c>
      <c r="I24" s="85">
        <v>68.62</v>
      </c>
      <c r="J24" s="85">
        <v>67.34</v>
      </c>
      <c r="K24" s="85">
        <v>20.07</v>
      </c>
      <c r="L24" s="85">
        <v>1035</v>
      </c>
      <c r="M24" s="85">
        <v>0.4</v>
      </c>
      <c r="N24" s="86">
        <v>1</v>
      </c>
      <c r="O24" s="86">
        <v>0.71399999999999997</v>
      </c>
      <c r="P24" s="86">
        <v>1</v>
      </c>
      <c r="Q24" s="85">
        <v>42.64</v>
      </c>
      <c r="R24" s="85">
        <v>33.81</v>
      </c>
      <c r="S24" s="85">
        <v>2.41</v>
      </c>
      <c r="T24" s="86">
        <v>99.998000000000005</v>
      </c>
      <c r="U24" s="101" t="s">
        <v>82</v>
      </c>
    </row>
    <row r="25" spans="1:21" ht="47.25" customHeight="1" x14ac:dyDescent="0.35">
      <c r="A25" s="84">
        <v>44642</v>
      </c>
      <c r="B25" s="73">
        <v>115560</v>
      </c>
      <c r="C25" s="73">
        <v>118716</v>
      </c>
      <c r="D25" s="73">
        <f t="shared" si="0"/>
        <v>3156</v>
      </c>
      <c r="E25" s="100">
        <v>6.93</v>
      </c>
      <c r="F25" s="85">
        <v>6.61</v>
      </c>
      <c r="G25" s="85">
        <v>6.77</v>
      </c>
      <c r="H25" s="85">
        <v>67.959999999999994</v>
      </c>
      <c r="I25" s="85">
        <v>69.55</v>
      </c>
      <c r="J25" s="85">
        <v>68.23</v>
      </c>
      <c r="K25" s="85">
        <v>19.260000000000002</v>
      </c>
      <c r="L25" s="85">
        <v>1035</v>
      </c>
      <c r="M25" s="85">
        <v>0.5</v>
      </c>
      <c r="N25" s="86">
        <v>1</v>
      </c>
      <c r="O25" s="86">
        <v>0.625</v>
      </c>
      <c r="P25" s="86">
        <v>1</v>
      </c>
      <c r="Q25" s="85">
        <v>40.64</v>
      </c>
      <c r="R25" s="85">
        <v>32.65</v>
      </c>
      <c r="S25" s="85">
        <v>2.15</v>
      </c>
      <c r="T25" s="86">
        <v>99.998999999999995</v>
      </c>
      <c r="U25" s="101" t="s">
        <v>83</v>
      </c>
    </row>
    <row r="26" spans="1:21" ht="48" customHeight="1" x14ac:dyDescent="0.35">
      <c r="A26" s="84">
        <v>44643</v>
      </c>
      <c r="B26" s="73">
        <v>108360</v>
      </c>
      <c r="C26" s="73">
        <v>111337</v>
      </c>
      <c r="D26" s="73">
        <f t="shared" si="0"/>
        <v>2977</v>
      </c>
      <c r="E26" s="100">
        <v>6.43</v>
      </c>
      <c r="F26" s="85">
        <v>6.13</v>
      </c>
      <c r="G26" s="85">
        <v>6.28</v>
      </c>
      <c r="H26" s="85">
        <v>68.510000000000005</v>
      </c>
      <c r="I26" s="85">
        <v>70.27</v>
      </c>
      <c r="J26" s="85">
        <v>68.930000000000007</v>
      </c>
      <c r="K26" s="85">
        <v>18.059999999999999</v>
      </c>
      <c r="L26" s="85">
        <v>1125</v>
      </c>
      <c r="M26" s="85">
        <v>0.4</v>
      </c>
      <c r="N26" s="86">
        <v>1</v>
      </c>
      <c r="O26" s="86">
        <v>0.75</v>
      </c>
      <c r="P26" s="86">
        <v>1</v>
      </c>
      <c r="Q26" s="85">
        <v>41.96</v>
      </c>
      <c r="R26" s="85">
        <v>32.369999999999997</v>
      </c>
      <c r="S26" s="85">
        <v>1.89</v>
      </c>
      <c r="T26" s="86">
        <v>99.995999999999995</v>
      </c>
      <c r="U26" s="101" t="s">
        <v>83</v>
      </c>
    </row>
    <row r="27" spans="1:21" ht="49" customHeight="1" x14ac:dyDescent="0.35">
      <c r="A27" s="84">
        <v>44644</v>
      </c>
      <c r="B27" s="72">
        <v>112005</v>
      </c>
      <c r="C27" s="73">
        <v>115015</v>
      </c>
      <c r="D27" s="73">
        <f t="shared" si="0"/>
        <v>3010</v>
      </c>
      <c r="E27" s="100">
        <v>6.78</v>
      </c>
      <c r="F27" s="85">
        <v>6.45</v>
      </c>
      <c r="G27" s="85">
        <v>6.61</v>
      </c>
      <c r="H27" s="85">
        <v>66.97</v>
      </c>
      <c r="I27" s="85">
        <v>69.099999999999994</v>
      </c>
      <c r="J27" s="85">
        <v>67.650000000000006</v>
      </c>
      <c r="K27" s="85">
        <v>18.670000000000002</v>
      </c>
      <c r="L27" s="85">
        <v>1035</v>
      </c>
      <c r="M27" s="85">
        <v>0.5</v>
      </c>
      <c r="N27" s="86">
        <v>1</v>
      </c>
      <c r="O27" s="86">
        <v>0.71399999999999997</v>
      </c>
      <c r="P27" s="86">
        <v>1</v>
      </c>
      <c r="Q27" s="85">
        <v>44.68</v>
      </c>
      <c r="R27" s="85">
        <v>33.130000000000003</v>
      </c>
      <c r="S27" s="85">
        <v>1.1100000000000001</v>
      </c>
      <c r="T27" s="86">
        <v>100</v>
      </c>
      <c r="U27" s="101" t="s">
        <v>82</v>
      </c>
    </row>
    <row r="28" spans="1:21" ht="47.5" customHeight="1" x14ac:dyDescent="0.35">
      <c r="A28" s="84">
        <v>44645</v>
      </c>
      <c r="B28" s="72">
        <v>108450</v>
      </c>
      <c r="C28" s="73">
        <v>111702</v>
      </c>
      <c r="D28" s="73">
        <f t="shared" si="0"/>
        <v>3252</v>
      </c>
      <c r="E28" s="100">
        <v>6.54</v>
      </c>
      <c r="F28" s="85">
        <v>6.24</v>
      </c>
      <c r="G28" s="85">
        <v>6.39</v>
      </c>
      <c r="H28" s="85">
        <v>67.03</v>
      </c>
      <c r="I28" s="85">
        <v>69.260000000000005</v>
      </c>
      <c r="J28" s="85">
        <v>67.81</v>
      </c>
      <c r="K28" s="85">
        <v>18.079999999999998</v>
      </c>
      <c r="L28" s="85">
        <v>1035</v>
      </c>
      <c r="M28" s="85">
        <v>0.5</v>
      </c>
      <c r="N28" s="86">
        <v>1</v>
      </c>
      <c r="O28" s="86">
        <v>0.75</v>
      </c>
      <c r="P28" s="86">
        <v>1</v>
      </c>
      <c r="Q28" s="85">
        <v>45.34</v>
      </c>
      <c r="R28" s="85">
        <v>34.950000000000003</v>
      </c>
      <c r="S28" s="85">
        <v>0.68</v>
      </c>
      <c r="T28" s="86">
        <v>99.997</v>
      </c>
      <c r="U28" s="101" t="s">
        <v>83</v>
      </c>
    </row>
    <row r="29" spans="1:21" ht="46.5" customHeight="1" x14ac:dyDescent="0.35">
      <c r="A29" s="84">
        <v>44646</v>
      </c>
      <c r="B29" s="72">
        <v>111465</v>
      </c>
      <c r="C29" s="72">
        <v>114808</v>
      </c>
      <c r="D29" s="73">
        <f t="shared" si="0"/>
        <v>3343</v>
      </c>
      <c r="E29" s="100">
        <v>6.81</v>
      </c>
      <c r="F29" s="85">
        <v>6.48</v>
      </c>
      <c r="G29" s="85">
        <v>6.65</v>
      </c>
      <c r="H29" s="85">
        <v>66.38</v>
      </c>
      <c r="I29" s="85">
        <v>68.45</v>
      </c>
      <c r="J29" s="85">
        <v>67.010000000000005</v>
      </c>
      <c r="K29" s="85">
        <v>18.579999999999998</v>
      </c>
      <c r="L29" s="85">
        <v>1125</v>
      </c>
      <c r="M29" s="106">
        <v>0.4</v>
      </c>
      <c r="N29" s="86">
        <v>1</v>
      </c>
      <c r="O29" s="86">
        <v>0.85699999999999998</v>
      </c>
      <c r="P29" s="86">
        <v>1</v>
      </c>
      <c r="Q29" s="85">
        <v>45.95</v>
      </c>
      <c r="R29" s="85">
        <v>36.69</v>
      </c>
      <c r="S29" s="85">
        <v>0.56999999999999995</v>
      </c>
      <c r="T29" s="86">
        <v>100</v>
      </c>
      <c r="U29" s="101" t="s">
        <v>82</v>
      </c>
    </row>
    <row r="30" spans="1:21" ht="43.5" customHeight="1" x14ac:dyDescent="0.35">
      <c r="A30" s="84">
        <v>44647</v>
      </c>
      <c r="B30" s="72">
        <v>114300</v>
      </c>
      <c r="C30" s="73">
        <v>117695</v>
      </c>
      <c r="D30" s="73">
        <f t="shared" si="0"/>
        <v>3395</v>
      </c>
      <c r="E30" s="100">
        <v>6.97</v>
      </c>
      <c r="F30" s="85">
        <v>6.62</v>
      </c>
      <c r="G30" s="85">
        <v>6.8</v>
      </c>
      <c r="H30" s="85">
        <v>66.260000000000005</v>
      </c>
      <c r="I30" s="85">
        <v>68.75</v>
      </c>
      <c r="J30" s="85">
        <v>67.19</v>
      </c>
      <c r="K30" s="85">
        <v>19.05</v>
      </c>
      <c r="L30" s="85">
        <v>1035</v>
      </c>
      <c r="M30" s="85">
        <v>0.4</v>
      </c>
      <c r="N30" s="86">
        <v>1</v>
      </c>
      <c r="O30" s="86">
        <v>0.625</v>
      </c>
      <c r="P30" s="86">
        <v>1</v>
      </c>
      <c r="Q30" s="85">
        <v>44.23</v>
      </c>
      <c r="R30" s="85">
        <v>36.46</v>
      </c>
      <c r="S30" s="85">
        <v>0.91</v>
      </c>
      <c r="T30" s="86">
        <v>99.992000000000004</v>
      </c>
      <c r="U30" s="101" t="s">
        <v>82</v>
      </c>
    </row>
    <row r="31" spans="1:21" ht="54.75" customHeight="1" x14ac:dyDescent="0.35">
      <c r="A31" s="84">
        <v>44648</v>
      </c>
      <c r="B31" s="72">
        <v>117540</v>
      </c>
      <c r="C31" s="73">
        <v>121032</v>
      </c>
      <c r="D31" s="73">
        <f t="shared" si="0"/>
        <v>3492</v>
      </c>
      <c r="E31" s="100">
        <v>7.23</v>
      </c>
      <c r="F31" s="85">
        <v>6.86</v>
      </c>
      <c r="G31" s="85">
        <v>7.04</v>
      </c>
      <c r="H31" s="85">
        <v>65.89</v>
      </c>
      <c r="I31" s="85">
        <v>68.25</v>
      </c>
      <c r="J31" s="85">
        <v>66.69</v>
      </c>
      <c r="K31" s="85">
        <v>19.59</v>
      </c>
      <c r="L31" s="85">
        <v>1125</v>
      </c>
      <c r="M31" s="85">
        <v>0.6</v>
      </c>
      <c r="N31" s="86">
        <v>1</v>
      </c>
      <c r="O31" s="86">
        <v>0.75</v>
      </c>
      <c r="P31" s="86">
        <v>1</v>
      </c>
      <c r="Q31" s="85">
        <v>45.32</v>
      </c>
      <c r="R31" s="85">
        <v>36.979999999999997</v>
      </c>
      <c r="S31" s="85">
        <v>1.61</v>
      </c>
      <c r="T31" s="86">
        <v>99.998999999999995</v>
      </c>
      <c r="U31" s="101" t="s">
        <v>82</v>
      </c>
    </row>
    <row r="32" spans="1:21" ht="54.75" customHeight="1" x14ac:dyDescent="0.35">
      <c r="A32" s="84">
        <v>44649</v>
      </c>
      <c r="B32" s="73">
        <v>117765</v>
      </c>
      <c r="C32" s="73">
        <v>121267</v>
      </c>
      <c r="D32" s="73">
        <f t="shared" si="0"/>
        <v>3502</v>
      </c>
      <c r="E32" s="100">
        <v>7.2</v>
      </c>
      <c r="F32" s="85">
        <v>6.84</v>
      </c>
      <c r="G32" s="85">
        <v>7.02</v>
      </c>
      <c r="H32" s="85">
        <v>66.72</v>
      </c>
      <c r="I32" s="85">
        <v>68.44</v>
      </c>
      <c r="J32" s="85">
        <v>67.02</v>
      </c>
      <c r="K32" s="85">
        <v>19.63</v>
      </c>
      <c r="L32" s="85">
        <v>1035</v>
      </c>
      <c r="M32" s="85">
        <v>0.5</v>
      </c>
      <c r="N32" s="86">
        <v>1</v>
      </c>
      <c r="O32" s="86">
        <v>0.66700000000000004</v>
      </c>
      <c r="P32" s="86">
        <v>1</v>
      </c>
      <c r="Q32" s="85">
        <v>44.85</v>
      </c>
      <c r="R32" s="85">
        <v>36.340000000000003</v>
      </c>
      <c r="S32" s="85">
        <v>1.1599999999999999</v>
      </c>
      <c r="T32" s="86">
        <v>99.997</v>
      </c>
      <c r="U32" s="101" t="s">
        <v>82</v>
      </c>
    </row>
    <row r="33" spans="1:21" ht="53.15" customHeight="1" x14ac:dyDescent="0.35">
      <c r="A33" s="84">
        <v>44650</v>
      </c>
      <c r="B33" s="73">
        <v>113985</v>
      </c>
      <c r="C33" s="73">
        <v>117226</v>
      </c>
      <c r="D33" s="73">
        <f t="shared" si="0"/>
        <v>3241</v>
      </c>
      <c r="E33" s="100">
        <v>7.03</v>
      </c>
      <c r="F33" s="85">
        <v>6.67</v>
      </c>
      <c r="G33" s="85">
        <v>6.85</v>
      </c>
      <c r="H33" s="85">
        <v>66.61</v>
      </c>
      <c r="I33" s="85">
        <v>67.760000000000005</v>
      </c>
      <c r="J33" s="85">
        <v>66.47</v>
      </c>
      <c r="K33" s="85">
        <v>19</v>
      </c>
      <c r="L33" s="85">
        <v>1125</v>
      </c>
      <c r="M33" s="85">
        <v>0.5</v>
      </c>
      <c r="N33" s="86">
        <v>1</v>
      </c>
      <c r="O33" s="86">
        <v>0.85699999999999998</v>
      </c>
      <c r="P33" s="86">
        <v>1</v>
      </c>
      <c r="Q33" s="85">
        <v>47.26</v>
      </c>
      <c r="R33" s="85">
        <v>34.619999999999997</v>
      </c>
      <c r="S33" s="85">
        <v>0.82</v>
      </c>
      <c r="T33" s="86">
        <v>99.997</v>
      </c>
      <c r="U33" s="101" t="s">
        <v>83</v>
      </c>
    </row>
    <row r="34" spans="1:21" ht="72.5" x14ac:dyDescent="0.35">
      <c r="A34" s="84">
        <v>44651</v>
      </c>
      <c r="B34" s="73">
        <v>110070</v>
      </c>
      <c r="C34" s="73">
        <v>113446</v>
      </c>
      <c r="D34" s="73">
        <f t="shared" si="0"/>
        <v>3376</v>
      </c>
      <c r="E34" s="100">
        <v>6.82</v>
      </c>
      <c r="F34" s="85">
        <v>6.47</v>
      </c>
      <c r="G34" s="85">
        <v>6.65</v>
      </c>
      <c r="H34" s="85">
        <v>66.69</v>
      </c>
      <c r="I34" s="85">
        <v>67.36</v>
      </c>
      <c r="J34" s="85">
        <v>66.17</v>
      </c>
      <c r="K34" s="85">
        <v>18.350000000000001</v>
      </c>
      <c r="L34" s="85">
        <v>1125</v>
      </c>
      <c r="M34" s="85">
        <v>0.4</v>
      </c>
      <c r="N34" s="86">
        <v>1</v>
      </c>
      <c r="O34" s="86">
        <v>0.75</v>
      </c>
      <c r="P34" s="86">
        <v>1</v>
      </c>
      <c r="Q34" s="85">
        <v>45.85</v>
      </c>
      <c r="R34" s="85">
        <v>37.61</v>
      </c>
      <c r="S34" s="85">
        <v>0.31</v>
      </c>
      <c r="T34" s="86">
        <v>99.998999999999995</v>
      </c>
      <c r="U34" s="101" t="s">
        <v>83</v>
      </c>
    </row>
    <row r="35" spans="1:21" x14ac:dyDescent="0.35">
      <c r="G35" s="105"/>
      <c r="J35" s="107"/>
    </row>
    <row r="36" spans="1:21" x14ac:dyDescent="0.35">
      <c r="G36" s="1"/>
      <c r="J36" s="107"/>
    </row>
  </sheetData>
  <mergeCells count="2">
    <mergeCell ref="A1:U1"/>
    <mergeCell ref="N2:P2"/>
  </mergeCells>
  <printOptions horizontalCentered="1" verticalCentered="1"/>
  <pageMargins left="0" right="0" top="1.25" bottom="2.25" header="0" footer="0"/>
  <pageSetup scale="42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Managing_x0020_Entity xmlns="ea430ab3-9117-4245-8ec8-f243c25dcc3c">BRTUV</Managing_x0020_Entity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0D523F302484F892F723420D71428" ma:contentTypeVersion="8" ma:contentTypeDescription="Create a new document." ma:contentTypeScope="" ma:versionID="5c63b52fe96279c66681866a6e1e68f9">
  <xsd:schema xmlns:xsd="http://www.w3.org/2001/XMLSchema" xmlns:xs="http://www.w3.org/2001/XMLSchema" xmlns:p="http://schemas.microsoft.com/office/2006/metadata/properties" xmlns:ns1="http://schemas.microsoft.com/sharepoint/v3" xmlns:ns2="ea430ab3-9117-4245-8ec8-f243c25dcc3c" xmlns:ns3="http://schemas.microsoft.com/sharepoint/v4" targetNamespace="http://schemas.microsoft.com/office/2006/metadata/properties" ma:root="true" ma:fieldsID="1b4fa04db269b5b410a169be664d3811" ns1:_="" ns2:_="" ns3:_="">
    <xsd:import namespace="http://schemas.microsoft.com/sharepoint/v3"/>
    <xsd:import namespace="ea430ab3-9117-4245-8ec8-f243c25dcc3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anaging_x0020_Entit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3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4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5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6" nillable="true" ma:displayName="E-Mail From" ma:hidden="true" ma:internalName="EmailFrom">
      <xsd:simpleType>
        <xsd:restriction base="dms:Text"/>
      </xsd:simpleType>
    </xsd:element>
    <xsd:element name="EmailSubject" ma:index="7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0ab3-9117-4245-8ec8-f243c25dcc3c" elementFormDefault="qualified">
    <xsd:import namespace="http://schemas.microsoft.com/office/2006/documentManagement/types"/>
    <xsd:import namespace="http://schemas.microsoft.com/office/infopath/2007/PartnerControls"/>
    <xsd:element name="Managing_x0020_Entity" ma:index="2" nillable="true" ma:displayName="Managing Entity" ma:format="Dropdown" ma:internalName="Managing_x0020_Entity">
      <xsd:simpleType>
        <xsd:restriction base="dms:Choice">
          <xsd:enumeration value="BRTUV"/>
          <xsd:enumeration value="TN CERT"/>
          <xsd:enumeration value="TN India"/>
          <xsd:enumeration value="TN Mexico"/>
          <xsd:enumeration value="TN Malaysia"/>
          <xsd:enumeration value="CH"/>
          <xsd:enumeration value="AFR"/>
          <xsd:enumeration value="I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8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67B657-DB01-4B2B-ADC2-97E3C0477DC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4"/>
    <ds:schemaRef ds:uri="ea430ab3-9117-4245-8ec8-f243c25dcc3c"/>
  </ds:schemaRefs>
</ds:datastoreItem>
</file>

<file path=customXml/itemProps2.xml><?xml version="1.0" encoding="utf-8"?>
<ds:datastoreItem xmlns:ds="http://schemas.openxmlformats.org/officeDocument/2006/customXml" ds:itemID="{FD660121-6443-4ED5-AFF6-D7B938786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430ab3-9117-4245-8ec8-f243c25dcc3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28F39C-338E-47BC-8254-8C1A0B35A5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Introduction</vt:lpstr>
      <vt:lpstr>Generation and ER calculation</vt:lpstr>
      <vt:lpstr>ER comparison</vt:lpstr>
      <vt:lpstr>Apportioning Cal </vt:lpstr>
      <vt:lpstr>March-22</vt:lpstr>
      <vt:lpstr>'March-22'!Print_Area</vt:lpstr>
    </vt:vector>
  </TitlesOfParts>
  <Company>ABC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Vishaka Somkuwar</cp:lastModifiedBy>
  <dcterms:created xsi:type="dcterms:W3CDTF">2013-11-21T07:17:25Z</dcterms:created>
  <dcterms:modified xsi:type="dcterms:W3CDTF">2025-10-08T05:58:37Z</dcterms:modified>
</cp:coreProperties>
</file>