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b/Carbon /Project/VCS 909/2nd MP/Upload/"/>
    </mc:Choice>
  </mc:AlternateContent>
  <xr:revisionPtr revIDLastSave="0" documentId="8_{48687A4F-FC55-AE4F-B7A8-92A1E09E4A30}" xr6:coauthVersionLast="47" xr6:coauthVersionMax="47" xr10:uidLastSave="{00000000-0000-0000-0000-000000000000}"/>
  <bookViews>
    <workbookView xWindow="-38400" yWindow="500" windowWidth="38400" windowHeight="21100" activeTab="1" xr2:uid="{00000000-000D-0000-FFFF-FFFF00000000}"/>
  </bookViews>
  <sheets>
    <sheet name="ER calculation" sheetId="2" r:id="rId1"/>
    <sheet name="Generation Data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1" l="1"/>
  <c r="M21" i="1"/>
  <c r="M19" i="1"/>
  <c r="M17" i="1"/>
  <c r="N17" i="1" s="1"/>
  <c r="M16" i="1"/>
  <c r="M14" i="1"/>
  <c r="M12" i="1"/>
  <c r="J24" i="1"/>
  <c r="J23" i="1"/>
  <c r="J22" i="1"/>
  <c r="J21" i="1"/>
  <c r="J20" i="1"/>
  <c r="J19" i="1"/>
  <c r="J18" i="1"/>
  <c r="J17" i="1"/>
  <c r="J16" i="1"/>
  <c r="J15" i="1"/>
  <c r="J14" i="1"/>
  <c r="J12" i="1"/>
  <c r="J10" i="1"/>
  <c r="G24" i="1"/>
  <c r="G23" i="1"/>
  <c r="G22" i="1"/>
  <c r="G21" i="1"/>
  <c r="G20" i="1"/>
  <c r="G19" i="1"/>
  <c r="G18" i="1"/>
  <c r="G17" i="1"/>
  <c r="G16" i="1"/>
  <c r="G15" i="1"/>
  <c r="G14" i="1"/>
  <c r="G12" i="1"/>
  <c r="G10" i="1"/>
  <c r="H10" i="1" s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M10" i="1"/>
  <c r="L22" i="1"/>
  <c r="L21" i="1"/>
  <c r="L19" i="1"/>
  <c r="L17" i="1"/>
  <c r="L16" i="1"/>
  <c r="L14" i="1"/>
  <c r="L12" i="1"/>
  <c r="I24" i="1"/>
  <c r="I23" i="1"/>
  <c r="I22" i="1"/>
  <c r="I21" i="1"/>
  <c r="I20" i="1"/>
  <c r="I19" i="1"/>
  <c r="I18" i="1"/>
  <c r="I17" i="1"/>
  <c r="I14" i="1"/>
  <c r="I12" i="1"/>
  <c r="I10" i="1"/>
  <c r="F24" i="1"/>
  <c r="F23" i="1"/>
  <c r="F22" i="1"/>
  <c r="F21" i="1"/>
  <c r="F20" i="1"/>
  <c r="F19" i="1"/>
  <c r="F18" i="1"/>
  <c r="F17" i="1"/>
  <c r="F14" i="1"/>
  <c r="F12" i="1"/>
  <c r="F10" i="1"/>
  <c r="C24" i="1"/>
  <c r="C23" i="1"/>
  <c r="C22" i="1"/>
  <c r="C21" i="1"/>
  <c r="C20" i="1"/>
  <c r="C19" i="1"/>
  <c r="C18" i="1"/>
  <c r="C17" i="1"/>
  <c r="C14" i="1"/>
  <c r="C13" i="1"/>
  <c r="C12" i="1"/>
  <c r="C11" i="1"/>
  <c r="E11" i="1" s="1"/>
  <c r="C10" i="1"/>
  <c r="L10" i="1"/>
  <c r="M15" i="1"/>
  <c r="M18" i="1"/>
  <c r="M20" i="1"/>
  <c r="M24" i="1"/>
  <c r="M23" i="1"/>
  <c r="L24" i="1"/>
  <c r="L23" i="1"/>
  <c r="L20" i="1"/>
  <c r="N20" i="1" s="1"/>
  <c r="L18" i="1"/>
  <c r="L15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10" i="1"/>
  <c r="AC11" i="1"/>
  <c r="AC12" i="1"/>
  <c r="AC14" i="1"/>
  <c r="AC15" i="1"/>
  <c r="AC16" i="1"/>
  <c r="AC17" i="1"/>
  <c r="AC18" i="1"/>
  <c r="AC19" i="1"/>
  <c r="AC20" i="1"/>
  <c r="AC21" i="1"/>
  <c r="AC22" i="1"/>
  <c r="AC23" i="1"/>
  <c r="AC24" i="1"/>
  <c r="AC10" i="1"/>
  <c r="Z11" i="1"/>
  <c r="Z12" i="1"/>
  <c r="Z14" i="1"/>
  <c r="Z15" i="1"/>
  <c r="Z16" i="1"/>
  <c r="Z17" i="1"/>
  <c r="Z18" i="1"/>
  <c r="Z19" i="1"/>
  <c r="Z20" i="1"/>
  <c r="Z21" i="1"/>
  <c r="Z22" i="1"/>
  <c r="Z23" i="1"/>
  <c r="Z24" i="1"/>
  <c r="W11" i="1"/>
  <c r="W12" i="1"/>
  <c r="W14" i="1"/>
  <c r="W15" i="1"/>
  <c r="W16" i="1"/>
  <c r="W17" i="1"/>
  <c r="W18" i="1"/>
  <c r="W19" i="1"/>
  <c r="W20" i="1"/>
  <c r="W21" i="1"/>
  <c r="W22" i="1"/>
  <c r="W23" i="1"/>
  <c r="W24" i="1"/>
  <c r="W10" i="1"/>
  <c r="T11" i="1"/>
  <c r="T12" i="1"/>
  <c r="T14" i="1"/>
  <c r="T15" i="1"/>
  <c r="T16" i="1"/>
  <c r="T17" i="1"/>
  <c r="T18" i="1"/>
  <c r="T19" i="1"/>
  <c r="T20" i="1"/>
  <c r="T21" i="1"/>
  <c r="T22" i="1"/>
  <c r="T23" i="1"/>
  <c r="T24" i="1"/>
  <c r="T10" i="1"/>
  <c r="Q11" i="1"/>
  <c r="Q12" i="1"/>
  <c r="Q14" i="1"/>
  <c r="Q15" i="1"/>
  <c r="Q16" i="1"/>
  <c r="Q17" i="1"/>
  <c r="Q18" i="1"/>
  <c r="Q19" i="1"/>
  <c r="Q20" i="1"/>
  <c r="Q21" i="1"/>
  <c r="Q22" i="1"/>
  <c r="Q23" i="1"/>
  <c r="Q10" i="1"/>
  <c r="N11" i="1"/>
  <c r="N12" i="1"/>
  <c r="N14" i="1"/>
  <c r="N19" i="1"/>
  <c r="N21" i="1"/>
  <c r="N22" i="1"/>
  <c r="N23" i="1"/>
  <c r="K11" i="1"/>
  <c r="K12" i="1"/>
  <c r="K14" i="1"/>
  <c r="K17" i="1"/>
  <c r="K18" i="1"/>
  <c r="K19" i="1"/>
  <c r="K20" i="1"/>
  <c r="K21" i="1"/>
  <c r="K22" i="1"/>
  <c r="K23" i="1"/>
  <c r="K10" i="1"/>
  <c r="H11" i="1"/>
  <c r="H12" i="1"/>
  <c r="H14" i="1"/>
  <c r="H17" i="1"/>
  <c r="H18" i="1"/>
  <c r="H19" i="1"/>
  <c r="H20" i="1"/>
  <c r="H21" i="1"/>
  <c r="H22" i="1"/>
  <c r="H23" i="1"/>
  <c r="H24" i="1"/>
  <c r="E12" i="1"/>
  <c r="E14" i="1"/>
  <c r="E17" i="1"/>
  <c r="E18" i="1"/>
  <c r="E19" i="1"/>
  <c r="E20" i="1"/>
  <c r="E21" i="1"/>
  <c r="E22" i="1"/>
  <c r="E23" i="1"/>
  <c r="E24" i="1"/>
  <c r="E10" i="1"/>
  <c r="N10" i="1" l="1"/>
  <c r="N18" i="1"/>
  <c r="Z10" i="1"/>
  <c r="AJ7" i="1"/>
  <c r="AG7" i="1"/>
  <c r="AD7" i="1"/>
  <c r="AA7" i="1"/>
  <c r="X7" i="1"/>
  <c r="U7" i="1"/>
  <c r="R7" i="1"/>
  <c r="O7" i="1"/>
  <c r="L7" i="1"/>
  <c r="I7" i="1"/>
  <c r="F7" i="1"/>
  <c r="D32" i="2"/>
  <c r="B32" i="2"/>
  <c r="B9" i="2"/>
  <c r="B10" i="2"/>
  <c r="B11" i="2"/>
  <c r="B12" i="2"/>
  <c r="B13" i="2"/>
  <c r="B14" i="2"/>
  <c r="B15" i="2"/>
  <c r="B16" i="2"/>
  <c r="B17" i="2"/>
  <c r="B7" i="2" l="1"/>
  <c r="M25" i="1"/>
  <c r="G25" i="1"/>
  <c r="F25" i="1"/>
  <c r="AK25" i="1"/>
  <c r="AJ25" i="1"/>
  <c r="AH25" i="1"/>
  <c r="AG25" i="1"/>
  <c r="AE25" i="1"/>
  <c r="AD25" i="1"/>
  <c r="AB25" i="1"/>
  <c r="AA25" i="1"/>
  <c r="Y25" i="1"/>
  <c r="X25" i="1"/>
  <c r="V25" i="1"/>
  <c r="U25" i="1"/>
  <c r="S25" i="1"/>
  <c r="R25" i="1"/>
  <c r="P25" i="1"/>
  <c r="O25" i="1"/>
  <c r="J25" i="1"/>
  <c r="I25" i="1"/>
  <c r="K25" i="1" l="1"/>
  <c r="Q25" i="1"/>
  <c r="T25" i="1"/>
  <c r="W25" i="1"/>
  <c r="Z25" i="1"/>
  <c r="AF25" i="1"/>
  <c r="AI25" i="1"/>
  <c r="AC25" i="1"/>
  <c r="AL25" i="1"/>
  <c r="N25" i="1"/>
  <c r="L25" i="1"/>
  <c r="H25" i="1"/>
  <c r="D25" i="1" l="1"/>
  <c r="C25" i="1"/>
  <c r="E32" i="2" l="1"/>
  <c r="G32" i="2" s="1"/>
  <c r="A1" i="1" l="1"/>
  <c r="H8" i="1"/>
  <c r="K8" i="1" s="1"/>
  <c r="N8" i="1" s="1"/>
  <c r="Q8" i="1" s="1"/>
  <c r="T8" i="1" s="1"/>
  <c r="W8" i="1" s="1"/>
  <c r="Z8" i="1" s="1"/>
  <c r="AC8" i="1" s="1"/>
  <c r="AF8" i="1" s="1"/>
  <c r="AI8" i="1" s="1"/>
  <c r="AL8" i="1" s="1"/>
  <c r="G8" i="1"/>
  <c r="J8" i="1" s="1"/>
  <c r="M8" i="1" s="1"/>
  <c r="P8" i="1" s="1"/>
  <c r="S8" i="1" s="1"/>
  <c r="V8" i="1" s="1"/>
  <c r="Y8" i="1" s="1"/>
  <c r="AB8" i="1" s="1"/>
  <c r="AE8" i="1" s="1"/>
  <c r="AH8" i="1" s="1"/>
  <c r="AK8" i="1" s="1"/>
  <c r="F8" i="1"/>
  <c r="I8" i="1" s="1"/>
  <c r="L8" i="1" s="1"/>
  <c r="O8" i="1" s="1"/>
  <c r="R8" i="1" s="1"/>
  <c r="U8" i="1" s="1"/>
  <c r="X8" i="1" s="1"/>
  <c r="AA8" i="1" s="1"/>
  <c r="AD8" i="1" s="1"/>
  <c r="AG8" i="1" s="1"/>
  <c r="AJ8" i="1" s="1"/>
  <c r="E17" i="2" l="1"/>
  <c r="E14" i="2"/>
  <c r="E13" i="2"/>
  <c r="E15" i="2"/>
  <c r="E12" i="2"/>
  <c r="E16" i="2"/>
  <c r="E9" i="2" l="1"/>
  <c r="E25" i="1"/>
  <c r="E8" i="2" l="1"/>
  <c r="E6" i="2"/>
  <c r="E7" i="2"/>
  <c r="E11" i="2" l="1"/>
  <c r="E10" i="2"/>
  <c r="E21" i="2" l="1"/>
  <c r="E28" i="2" l="1"/>
  <c r="G28" i="2" s="1"/>
  <c r="J28" i="2" s="1"/>
  <c r="F35" i="2"/>
  <c r="H32" i="2" l="1"/>
  <c r="I32" i="2" s="1"/>
</calcChain>
</file>

<file path=xl/sharedStrings.xml><?xml version="1.0" encoding="utf-8"?>
<sst xmlns="http://schemas.openxmlformats.org/spreadsheetml/2006/main" count="77" uniqueCount="51">
  <si>
    <t>WEG T 110</t>
  </si>
  <si>
    <t>WEG T 123</t>
  </si>
  <si>
    <t>WEG T 124</t>
  </si>
  <si>
    <t>WEG T 125</t>
  </si>
  <si>
    <t>WEG T 126</t>
  </si>
  <si>
    <t>WEG T 127</t>
  </si>
  <si>
    <t>WEG T 128</t>
  </si>
  <si>
    <t>WEG T 129</t>
  </si>
  <si>
    <t>WEG T 130</t>
  </si>
  <si>
    <t>WEG T 131</t>
  </si>
  <si>
    <t>WEG T 132</t>
  </si>
  <si>
    <t>WEG T 133</t>
  </si>
  <si>
    <t>WEG T 134</t>
  </si>
  <si>
    <t>WEG T 135</t>
  </si>
  <si>
    <t>WEG T 136</t>
  </si>
  <si>
    <t>Total</t>
  </si>
  <si>
    <t>Duration</t>
  </si>
  <si>
    <t>Combined Margin CO2 emission factor for NEWNE grid (tCO2/MWh)</t>
  </si>
  <si>
    <t>Baseline Emissions (tCO2)</t>
  </si>
  <si>
    <t>Project Emissions (tCO2)</t>
  </si>
  <si>
    <t>Leakage (tCO2)</t>
  </si>
  <si>
    <t>Emission Reductions (tCO2)</t>
  </si>
  <si>
    <r>
      <t>EG</t>
    </r>
    <r>
      <rPr>
        <b/>
        <vertAlign val="subscript"/>
        <sz val="10"/>
        <color theme="1"/>
        <rFont val="Arial"/>
        <family val="2"/>
      </rPr>
      <t>facility,y</t>
    </r>
  </si>
  <si>
    <r>
      <t>EF</t>
    </r>
    <r>
      <rPr>
        <b/>
        <vertAlign val="subscript"/>
        <sz val="10"/>
        <color theme="1"/>
        <rFont val="Arial"/>
        <family val="2"/>
      </rPr>
      <t>grid,CM,y</t>
    </r>
  </si>
  <si>
    <r>
      <t>BE</t>
    </r>
    <r>
      <rPr>
        <b/>
        <vertAlign val="subscript"/>
        <sz val="10"/>
        <color theme="1"/>
        <rFont val="Arial"/>
        <family val="2"/>
      </rPr>
      <t>y</t>
    </r>
  </si>
  <si>
    <r>
      <t>PE</t>
    </r>
    <r>
      <rPr>
        <b/>
        <vertAlign val="subscript"/>
        <sz val="10"/>
        <color theme="1"/>
        <rFont val="Arial"/>
        <family val="2"/>
      </rPr>
      <t>y</t>
    </r>
  </si>
  <si>
    <r>
      <t>L</t>
    </r>
    <r>
      <rPr>
        <b/>
        <vertAlign val="subscript"/>
        <sz val="10"/>
        <color theme="1"/>
        <rFont val="Arial"/>
        <family val="2"/>
      </rPr>
      <t>y</t>
    </r>
  </si>
  <si>
    <r>
      <t>ER</t>
    </r>
    <r>
      <rPr>
        <b/>
        <vertAlign val="subscript"/>
        <sz val="10"/>
        <color theme="1"/>
        <rFont val="Arial"/>
        <family val="2"/>
      </rPr>
      <t>y</t>
    </r>
  </si>
  <si>
    <t>Start Date of Monitoring Period</t>
  </si>
  <si>
    <t>End Date of Monitoring Period</t>
  </si>
  <si>
    <t>No. of Days in Monitoring Period (Including both days)</t>
  </si>
  <si>
    <t>Estimated ER for the Monitoring Period (tCO2)</t>
  </si>
  <si>
    <t>Actual ER during the Monitoring period (tCO2)</t>
  </si>
  <si>
    <t>Quantity of net electricity generation supplied by the project plant/unit to the grid in year y (MWh)</t>
  </si>
  <si>
    <t>Project Title: Grid Connected Wind Power Project in Tamil Nadu</t>
  </si>
  <si>
    <t>End</t>
  </si>
  <si>
    <t>To</t>
  </si>
  <si>
    <t xml:space="preserve">Electricity Export (kWh) </t>
  </si>
  <si>
    <t xml:space="preserve">Electricity Import (kWh) </t>
  </si>
  <si>
    <t xml:space="preserve">Net Export (kWh) </t>
  </si>
  <si>
    <t>Estimated ER per year as per Registered PDD (tCO2)</t>
  </si>
  <si>
    <t>Difference between Estimated and Actual Emission Reductions</t>
  </si>
  <si>
    <t>Start</t>
  </si>
  <si>
    <t>Quantity of net electricity generation supplied by the project plant/unit to the grid in year y
 (MWh) as per JMR</t>
  </si>
  <si>
    <t>* There were some WEGs showing zero export values from the month of July to Dec 2022 due to technical faults e.g. blade failure etc.</t>
  </si>
  <si>
    <t xml:space="preserve">Billing cycle of this project is from 1st day to last day of each month. </t>
  </si>
  <si>
    <t>01/01/2023 to 31/12/2023</t>
  </si>
  <si>
    <t>PLF</t>
  </si>
  <si>
    <t>New HTSC No.</t>
  </si>
  <si>
    <t>Old HTSC No.</t>
  </si>
  <si>
    <t>* PP has applied the maximum error factor due to delay in the calibration of energy meters for entire month conservatively.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</si>
</sst>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 * #,##0.00_ ;_ * \-#,##0.00_ ;_ * &quot;-&quot;??_ ;_ @_ "/>
    <numFmt numFmtId="165" formatCode="[$-409]d\-mmm\-yy;@"/>
    <numFmt numFmtId="166" formatCode="dd\/mm\/yyyy"/>
    <numFmt numFmtId="167" formatCode="#,##0.0000"/>
    <numFmt numFmtId="168" formatCode="_(* #,##0_);_(* \(#,##0\);_(* &quot;-&quot;??_);_(@_)"/>
    <numFmt numFmtId="169" formatCode="[$-13C09]d\ mmm\ yyyy;@"/>
    <numFmt numFmtId="170" formatCode="_(* #,##0.0000_);_(* \(#,##0.000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vertAlign val="subscript"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8"/>
      <name val="Arial"/>
      <family val="2"/>
    </font>
    <font>
      <sz val="10.5"/>
      <color theme="1"/>
      <name val="Franklin Gothic Book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6" fillId="0" borderId="0" applyFont="0" applyFill="0" applyBorder="0" applyAlignment="0" applyProtection="0"/>
    <xf numFmtId="0" fontId="2" fillId="0" borderId="0"/>
  </cellStyleXfs>
  <cellXfs count="119">
    <xf numFmtId="0" fontId="0" fillId="0" borderId="0" xfId="0"/>
    <xf numFmtId="0" fontId="0" fillId="2" borderId="0" xfId="0" applyFill="1"/>
    <xf numFmtId="3" fontId="0" fillId="2" borderId="0" xfId="0" applyNumberFormat="1" applyFill="1"/>
    <xf numFmtId="0" fontId="5" fillId="0" borderId="0" xfId="4" applyFont="1" applyAlignment="1" applyProtection="1">
      <alignment horizontal="left" wrapText="1"/>
      <protection locked="0"/>
    </xf>
    <xf numFmtId="0" fontId="6" fillId="0" borderId="0" xfId="0" applyFont="1" applyAlignment="1">
      <alignment horizontal="center"/>
    </xf>
    <xf numFmtId="2" fontId="5" fillId="0" borderId="0" xfId="4" applyNumberFormat="1" applyFont="1" applyProtection="1">
      <protection locked="0"/>
    </xf>
    <xf numFmtId="0" fontId="6" fillId="0" borderId="0" xfId="0" applyFont="1"/>
    <xf numFmtId="0" fontId="7" fillId="3" borderId="1" xfId="0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wrapText="1"/>
    </xf>
    <xf numFmtId="167" fontId="9" fillId="0" borderId="1" xfId="0" applyNumberFormat="1" applyFont="1" applyBorder="1" applyAlignment="1">
      <alignment horizontal="center" vertical="center" wrapText="1"/>
    </xf>
    <xf numFmtId="168" fontId="9" fillId="0" borderId="1" xfId="2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wrapText="1"/>
    </xf>
    <xf numFmtId="4" fontId="9" fillId="0" borderId="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6" fontId="9" fillId="0" borderId="37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wrapText="1"/>
    </xf>
    <xf numFmtId="43" fontId="1" fillId="0" borderId="20" xfId="2" applyFont="1" applyFill="1" applyBorder="1" applyAlignment="1">
      <alignment horizontal="center"/>
    </xf>
    <xf numFmtId="43" fontId="0" fillId="0" borderId="0" xfId="2" applyFont="1" applyFill="1"/>
    <xf numFmtId="43" fontId="1" fillId="0" borderId="35" xfId="2" applyFont="1" applyFill="1" applyBorder="1" applyAlignment="1">
      <alignment horizontal="center"/>
    </xf>
    <xf numFmtId="43" fontId="1" fillId="0" borderId="37" xfId="2" applyFont="1" applyFill="1" applyBorder="1" applyAlignment="1">
      <alignment horizontal="center"/>
    </xf>
    <xf numFmtId="43" fontId="1" fillId="0" borderId="1" xfId="2" applyFont="1" applyFill="1" applyBorder="1" applyAlignment="1">
      <alignment horizontal="center"/>
    </xf>
    <xf numFmtId="43" fontId="1" fillId="0" borderId="36" xfId="2" applyFont="1" applyFill="1" applyBorder="1" applyAlignment="1">
      <alignment horizontal="center"/>
    </xf>
    <xf numFmtId="43" fontId="1" fillId="0" borderId="38" xfId="2" applyFont="1" applyFill="1" applyBorder="1" applyAlignment="1">
      <alignment horizontal="center"/>
    </xf>
    <xf numFmtId="43" fontId="1" fillId="0" borderId="3" xfId="2" applyFont="1" applyFill="1" applyBorder="1" applyAlignment="1">
      <alignment horizontal="center"/>
    </xf>
    <xf numFmtId="43" fontId="1" fillId="0" borderId="21" xfId="2" applyFont="1" applyFill="1" applyBorder="1" applyAlignment="1">
      <alignment horizontal="center"/>
    </xf>
    <xf numFmtId="43" fontId="9" fillId="4" borderId="24" xfId="2" applyFont="1" applyFill="1" applyBorder="1"/>
    <xf numFmtId="43" fontId="9" fillId="4" borderId="39" xfId="2" applyFont="1" applyFill="1" applyBorder="1" applyAlignment="1">
      <alignment horizontal="center"/>
    </xf>
    <xf numFmtId="43" fontId="9" fillId="4" borderId="15" xfId="2" applyFont="1" applyFill="1" applyBorder="1" applyAlignment="1">
      <alignment horizontal="center"/>
    </xf>
    <xf numFmtId="0" fontId="15" fillId="0" borderId="0" xfId="0" applyFont="1"/>
    <xf numFmtId="169" fontId="12" fillId="0" borderId="25" xfId="0" applyNumberFormat="1" applyFont="1" applyBorder="1" applyAlignment="1">
      <alignment horizontal="center"/>
    </xf>
    <xf numFmtId="3" fontId="15" fillId="0" borderId="0" xfId="0" applyNumberFormat="1" applyFont="1"/>
    <xf numFmtId="0" fontId="0" fillId="2" borderId="33" xfId="0" applyFill="1" applyBorder="1" applyAlignment="1">
      <alignment wrapText="1"/>
    </xf>
    <xf numFmtId="0" fontId="0" fillId="2" borderId="0" xfId="0" applyFill="1" applyAlignment="1">
      <alignment wrapText="1"/>
    </xf>
    <xf numFmtId="0" fontId="13" fillId="0" borderId="0" xfId="0" applyFont="1" applyAlignment="1">
      <alignment wrapText="1"/>
    </xf>
    <xf numFmtId="169" fontId="12" fillId="0" borderId="26" xfId="0" applyNumberFormat="1" applyFont="1" applyBorder="1" applyAlignment="1">
      <alignment horizontal="center"/>
    </xf>
    <xf numFmtId="169" fontId="3" fillId="0" borderId="0" xfId="0" applyNumberFormat="1" applyFont="1" applyAlignment="1">
      <alignment horizontal="center"/>
    </xf>
    <xf numFmtId="43" fontId="0" fillId="0" borderId="0" xfId="2" applyFont="1"/>
    <xf numFmtId="164" fontId="6" fillId="0" borderId="0" xfId="0" applyNumberFormat="1" applyFont="1" applyAlignment="1">
      <alignment wrapText="1"/>
    </xf>
    <xf numFmtId="43" fontId="0" fillId="0" borderId="0" xfId="0" applyNumberFormat="1"/>
    <xf numFmtId="0" fontId="13" fillId="0" borderId="0" xfId="0" applyFont="1" applyAlignment="1">
      <alignment vertical="top" wrapText="1"/>
    </xf>
    <xf numFmtId="3" fontId="9" fillId="0" borderId="1" xfId="0" applyNumberFormat="1" applyFont="1" applyBorder="1" applyAlignment="1">
      <alignment horizontal="center" vertical="center"/>
    </xf>
    <xf numFmtId="169" fontId="7" fillId="0" borderId="24" xfId="0" applyNumberFormat="1" applyFont="1" applyBorder="1" applyAlignment="1">
      <alignment horizontal="center"/>
    </xf>
    <xf numFmtId="169" fontId="7" fillId="0" borderId="25" xfId="0" applyNumberFormat="1" applyFont="1" applyBorder="1" applyAlignment="1">
      <alignment horizontal="center"/>
    </xf>
    <xf numFmtId="169" fontId="7" fillId="0" borderId="26" xfId="0" applyNumberFormat="1" applyFont="1" applyBorder="1" applyAlignment="1">
      <alignment horizontal="center"/>
    </xf>
    <xf numFmtId="3" fontId="0" fillId="0" borderId="0" xfId="0" applyNumberFormat="1"/>
    <xf numFmtId="170" fontId="0" fillId="0" borderId="0" xfId="0" applyNumberFormat="1"/>
    <xf numFmtId="3" fontId="9" fillId="0" borderId="1" xfId="0" applyNumberFormat="1" applyFont="1" applyBorder="1" applyAlignment="1">
      <alignment horizontal="left" vertical="center" wrapText="1" indent="3"/>
    </xf>
    <xf numFmtId="0" fontId="0" fillId="2" borderId="33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4" fontId="0" fillId="2" borderId="0" xfId="0" applyNumberFormat="1" applyFill="1" applyAlignment="1">
      <alignment vertical="top" wrapText="1"/>
    </xf>
    <xf numFmtId="10" fontId="0" fillId="0" borderId="0" xfId="0" applyNumberFormat="1"/>
    <xf numFmtId="0" fontId="9" fillId="0" borderId="0" xfId="0" applyFont="1"/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9" fillId="8" borderId="0" xfId="0" applyFont="1" applyFill="1"/>
    <xf numFmtId="4" fontId="9" fillId="0" borderId="1" xfId="0" applyNumberFormat="1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0" fontId="4" fillId="4" borderId="0" xfId="4" applyFont="1" applyFill="1" applyAlignment="1" applyProtection="1">
      <alignment horizontal="center" wrapText="1"/>
      <protection locked="0"/>
    </xf>
    <xf numFmtId="164" fontId="10" fillId="0" borderId="39" xfId="0" applyNumberFormat="1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4" fontId="11" fillId="0" borderId="14" xfId="0" applyNumberFormat="1" applyFont="1" applyBorder="1" applyAlignment="1">
      <alignment horizontal="center" vertical="center"/>
    </xf>
    <xf numFmtId="4" fontId="11" fillId="0" borderId="22" xfId="0" applyNumberFormat="1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3" fillId="0" borderId="33" xfId="0" applyFont="1" applyBorder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/>
    </xf>
    <xf numFmtId="4" fontId="9" fillId="0" borderId="23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4" fontId="9" fillId="0" borderId="45" xfId="0" applyNumberFormat="1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10" fontId="9" fillId="0" borderId="1" xfId="3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165" fontId="12" fillId="0" borderId="30" xfId="1" applyNumberFormat="1" applyFont="1" applyBorder="1" applyAlignment="1">
      <alignment horizontal="center" vertical="center" wrapText="1"/>
    </xf>
    <xf numFmtId="165" fontId="12" fillId="0" borderId="31" xfId="1" applyNumberFormat="1" applyFont="1" applyBorder="1" applyAlignment="1">
      <alignment horizontal="center" vertical="center" wrapText="1"/>
    </xf>
    <xf numFmtId="0" fontId="17" fillId="4" borderId="0" xfId="4" applyFont="1" applyFill="1" applyAlignment="1" applyProtection="1">
      <alignment horizontal="center" wrapText="1"/>
      <protection locked="0"/>
    </xf>
    <xf numFmtId="165" fontId="12" fillId="0" borderId="17" xfId="1" applyNumberFormat="1" applyFont="1" applyBorder="1" applyAlignment="1">
      <alignment horizontal="center" vertical="center" wrapText="1"/>
    </xf>
    <xf numFmtId="165" fontId="12" fillId="0" borderId="6" xfId="1" applyNumberFormat="1" applyFont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top" wrapText="1"/>
    </xf>
    <xf numFmtId="0" fontId="4" fillId="0" borderId="0" xfId="4" applyFont="1" applyAlignment="1" applyProtection="1">
      <alignment horizontal="center" wrapText="1"/>
      <protection locked="0"/>
    </xf>
    <xf numFmtId="165" fontId="12" fillId="0" borderId="29" xfId="1" applyNumberFormat="1" applyFont="1" applyBorder="1" applyAlignment="1">
      <alignment horizontal="center" vertical="center" wrapText="1"/>
    </xf>
    <xf numFmtId="165" fontId="12" fillId="0" borderId="2" xfId="1" applyNumberFormat="1" applyFont="1" applyBorder="1" applyAlignment="1">
      <alignment horizontal="center" vertical="center" wrapText="1"/>
    </xf>
    <xf numFmtId="165" fontId="12" fillId="0" borderId="7" xfId="1" applyNumberFormat="1" applyFont="1" applyBorder="1" applyAlignment="1">
      <alignment horizontal="center" vertical="center" wrapText="1"/>
    </xf>
    <xf numFmtId="0" fontId="12" fillId="0" borderId="32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165" fontId="12" fillId="0" borderId="23" xfId="1" applyNumberFormat="1" applyFont="1" applyBorder="1" applyAlignment="1">
      <alignment horizontal="center" vertical="center" wrapText="1"/>
    </xf>
    <xf numFmtId="165" fontId="12" fillId="0" borderId="34" xfId="1" applyNumberFormat="1" applyFont="1" applyBorder="1" applyAlignment="1">
      <alignment horizontal="center" vertical="center" wrapText="1"/>
    </xf>
    <xf numFmtId="165" fontId="12" fillId="0" borderId="40" xfId="1" applyNumberFormat="1" applyFont="1" applyBorder="1" applyAlignment="1">
      <alignment horizontal="center" vertical="center" wrapText="1"/>
    </xf>
    <xf numFmtId="165" fontId="12" fillId="0" borderId="41" xfId="1" applyNumberFormat="1" applyFont="1" applyBorder="1" applyAlignment="1">
      <alignment horizontal="center" vertical="center" wrapText="1"/>
    </xf>
    <xf numFmtId="165" fontId="12" fillId="0" borderId="11" xfId="1" applyNumberFormat="1" applyFont="1" applyBorder="1" applyAlignment="1">
      <alignment horizontal="center" vertical="center" wrapText="1"/>
    </xf>
    <xf numFmtId="165" fontId="12" fillId="0" borderId="42" xfId="1" applyNumberFormat="1" applyFont="1" applyBorder="1" applyAlignment="1">
      <alignment horizontal="center" vertical="center" wrapText="1"/>
    </xf>
    <xf numFmtId="165" fontId="12" fillId="0" borderId="43" xfId="1" applyNumberFormat="1" applyFont="1" applyBorder="1" applyAlignment="1">
      <alignment horizontal="center" vertical="center" wrapText="1"/>
    </xf>
    <xf numFmtId="165" fontId="12" fillId="0" borderId="44" xfId="1" applyNumberFormat="1" applyFont="1" applyBorder="1" applyAlignment="1">
      <alignment horizontal="center" vertical="center" wrapText="1"/>
    </xf>
  </cellXfs>
  <cellStyles count="7">
    <cellStyle name="Comma" xfId="2" builtinId="3"/>
    <cellStyle name="Comma 2" xfId="5" xr:uid="{00000000-0005-0000-0000-000001000000}"/>
    <cellStyle name="Normal" xfId="0" builtinId="0"/>
    <cellStyle name="Normal 2 2" xfId="6" xr:uid="{00000000-0005-0000-0000-000004000000}"/>
    <cellStyle name="Normal_Hindustan Platinum_Worksheet_30.10.08" xfId="4" xr:uid="{00000000-0005-0000-0000-000005000000}"/>
    <cellStyle name="Norm੎੎ 2" xfId="1" xr:uid="{00000000-0005-0000-0000-000002000000}"/>
    <cellStyle name="Per 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6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6" sqref="A6"/>
      <selection pane="bottomRight" activeCell="F35" sqref="F35"/>
    </sheetView>
  </sheetViews>
  <sheetFormatPr baseColWidth="10" defaultColWidth="8.83203125" defaultRowHeight="15" x14ac:dyDescent="0.2"/>
  <cols>
    <col min="1" max="1" width="4.5" customWidth="1"/>
    <col min="2" max="2" width="15" customWidth="1"/>
    <col min="3" max="3" width="4.6640625" style="11" customWidth="1"/>
    <col min="4" max="4" width="14.83203125" customWidth="1"/>
    <col min="5" max="5" width="27.83203125" bestFit="1" customWidth="1"/>
    <col min="6" max="6" width="24.1640625" customWidth="1"/>
    <col min="7" max="7" width="16.83203125" customWidth="1"/>
    <col min="8" max="8" width="17.1640625" customWidth="1"/>
    <col min="9" max="9" width="13.6640625" customWidth="1"/>
    <col min="10" max="10" width="18.33203125" customWidth="1"/>
    <col min="11" max="11" width="12.5" customWidth="1"/>
    <col min="12" max="12" width="16.1640625" customWidth="1"/>
    <col min="13" max="13" width="16.83203125" customWidth="1"/>
    <col min="14" max="14" width="13.1640625" customWidth="1"/>
  </cols>
  <sheetData>
    <row r="1" spans="2:15" x14ac:dyDescent="0.2">
      <c r="B1" s="68" t="s">
        <v>34</v>
      </c>
      <c r="C1" s="68"/>
      <c r="D1" s="68"/>
      <c r="E1" s="68"/>
      <c r="F1" s="68"/>
      <c r="G1" s="68"/>
      <c r="H1" s="68"/>
      <c r="I1" s="68"/>
      <c r="J1" s="68"/>
    </row>
    <row r="2" spans="2:15" x14ac:dyDescent="0.2">
      <c r="B2" s="3"/>
      <c r="C2" s="4"/>
      <c r="D2" s="4"/>
      <c r="E2" s="5"/>
      <c r="F2" s="4"/>
      <c r="G2" s="4"/>
      <c r="H2" s="4"/>
      <c r="I2" s="4"/>
      <c r="J2" s="4"/>
    </row>
    <row r="3" spans="2:15" x14ac:dyDescent="0.2">
      <c r="B3" s="6"/>
      <c r="C3" s="4"/>
      <c r="D3" s="6"/>
      <c r="E3" s="6"/>
      <c r="F3" s="6"/>
      <c r="G3" s="6"/>
      <c r="H3" s="6"/>
      <c r="I3" s="6"/>
      <c r="J3" s="6"/>
      <c r="K3" s="6"/>
    </row>
    <row r="4" spans="2:15" ht="42" customHeight="1" x14ac:dyDescent="0.2">
      <c r="B4" s="77" t="s">
        <v>16</v>
      </c>
      <c r="C4" s="78"/>
      <c r="D4" s="78"/>
      <c r="E4" s="78" t="s">
        <v>43</v>
      </c>
      <c r="F4" s="79"/>
      <c r="G4" s="6"/>
      <c r="H4" s="6"/>
      <c r="I4" s="6"/>
      <c r="J4" s="6"/>
      <c r="K4" s="6"/>
    </row>
    <row r="5" spans="2:15" ht="23" customHeight="1" thickBot="1" x14ac:dyDescent="0.25">
      <c r="B5" s="17" t="s">
        <v>42</v>
      </c>
      <c r="C5" s="18"/>
      <c r="D5" s="18" t="s">
        <v>35</v>
      </c>
      <c r="E5" s="80" t="s">
        <v>22</v>
      </c>
      <c r="F5" s="81"/>
      <c r="G5" s="6"/>
      <c r="H5" s="6"/>
      <c r="I5" s="6"/>
      <c r="J5" s="6"/>
      <c r="K5" s="6"/>
      <c r="N5" s="12"/>
      <c r="O5" s="12"/>
    </row>
    <row r="6" spans="2:15" ht="20" customHeight="1" x14ac:dyDescent="0.2">
      <c r="B6" s="19">
        <v>44927</v>
      </c>
      <c r="C6" s="20" t="s">
        <v>36</v>
      </c>
      <c r="D6" s="20">
        <v>44957</v>
      </c>
      <c r="E6" s="82">
        <f>'Generation Data'!E25/1000</f>
        <v>358.89521600000006</v>
      </c>
      <c r="F6" s="83"/>
      <c r="G6" s="6"/>
      <c r="H6" s="6"/>
      <c r="I6" s="6"/>
      <c r="J6" s="6"/>
      <c r="K6" s="6"/>
      <c r="M6" s="43"/>
      <c r="N6" s="44"/>
      <c r="O6" s="12"/>
    </row>
    <row r="7" spans="2:15" ht="20" customHeight="1" x14ac:dyDescent="0.2">
      <c r="B7" s="21">
        <f>D6+1</f>
        <v>44958</v>
      </c>
      <c r="C7" s="10" t="s">
        <v>36</v>
      </c>
      <c r="D7" s="20">
        <v>44985</v>
      </c>
      <c r="E7" s="66">
        <f>'Generation Data'!H25/1000</f>
        <v>329.19337799999988</v>
      </c>
      <c r="F7" s="67"/>
      <c r="G7" s="6"/>
      <c r="H7" s="6"/>
      <c r="I7" s="6"/>
      <c r="J7" s="6"/>
      <c r="K7" s="6"/>
      <c r="M7" s="43"/>
      <c r="N7" s="44"/>
      <c r="O7" s="12"/>
    </row>
    <row r="8" spans="2:15" ht="20" customHeight="1" x14ac:dyDescent="0.2">
      <c r="B8" s="19">
        <v>44986</v>
      </c>
      <c r="C8" s="10" t="s">
        <v>36</v>
      </c>
      <c r="D8" s="20">
        <v>45016</v>
      </c>
      <c r="E8" s="84">
        <f>'Generation Data'!K25/1000</f>
        <v>378.76550199999997</v>
      </c>
      <c r="F8" s="85"/>
      <c r="G8" s="6"/>
      <c r="H8" s="6"/>
      <c r="I8" s="6"/>
      <c r="J8" s="6"/>
      <c r="K8" s="6"/>
      <c r="M8" s="43"/>
      <c r="N8" s="44"/>
      <c r="O8" s="12"/>
    </row>
    <row r="9" spans="2:15" ht="20" customHeight="1" x14ac:dyDescent="0.2">
      <c r="B9" s="21">
        <f t="shared" ref="B9:B17" si="0">D8+1</f>
        <v>45017</v>
      </c>
      <c r="C9" s="10" t="s">
        <v>36</v>
      </c>
      <c r="D9" s="20">
        <v>45046</v>
      </c>
      <c r="E9" s="66">
        <f>'Generation Data'!N25/1000</f>
        <v>341.41601999999995</v>
      </c>
      <c r="F9" s="67"/>
      <c r="G9" s="6"/>
      <c r="H9" s="6"/>
      <c r="I9" s="6"/>
      <c r="J9" s="6"/>
      <c r="M9" s="43"/>
      <c r="N9" s="44"/>
      <c r="O9" s="12"/>
    </row>
    <row r="10" spans="2:15" ht="20" customHeight="1" x14ac:dyDescent="0.2">
      <c r="B10" s="21">
        <f t="shared" si="0"/>
        <v>45047</v>
      </c>
      <c r="C10" s="10" t="s">
        <v>36</v>
      </c>
      <c r="D10" s="20">
        <v>45077</v>
      </c>
      <c r="E10" s="66">
        <f>'Generation Data'!$Q$25/1000</f>
        <v>2472.61</v>
      </c>
      <c r="F10" s="67"/>
      <c r="G10" s="6"/>
      <c r="H10" s="6"/>
      <c r="I10" s="6"/>
      <c r="J10" s="6"/>
      <c r="M10" s="43"/>
      <c r="N10" s="44"/>
      <c r="O10" s="12"/>
    </row>
    <row r="11" spans="2:15" ht="20" customHeight="1" x14ac:dyDescent="0.2">
      <c r="B11" s="21">
        <f t="shared" si="0"/>
        <v>45078</v>
      </c>
      <c r="C11" s="10" t="s">
        <v>36</v>
      </c>
      <c r="D11" s="20">
        <v>45107</v>
      </c>
      <c r="E11" s="66">
        <f>'Generation Data'!$T$25/1000</f>
        <v>9540.5120000000006</v>
      </c>
      <c r="F11" s="67"/>
      <c r="G11" s="6"/>
      <c r="H11" s="6"/>
      <c r="I11" s="6"/>
      <c r="J11" s="6"/>
      <c r="M11" s="43"/>
      <c r="N11" s="44"/>
      <c r="O11" s="12"/>
    </row>
    <row r="12" spans="2:15" ht="20" customHeight="1" x14ac:dyDescent="0.2">
      <c r="B12" s="21">
        <f t="shared" si="0"/>
        <v>45108</v>
      </c>
      <c r="C12" s="10" t="s">
        <v>36</v>
      </c>
      <c r="D12" s="20">
        <v>45138</v>
      </c>
      <c r="E12" s="66">
        <f>'Generation Data'!$W$25/1000</f>
        <v>12080.841</v>
      </c>
      <c r="F12" s="67"/>
      <c r="G12" s="6"/>
      <c r="H12" s="6"/>
      <c r="I12" s="6"/>
      <c r="J12" s="6"/>
      <c r="M12" s="43"/>
      <c r="N12" s="44"/>
      <c r="O12" s="12"/>
    </row>
    <row r="13" spans="2:15" ht="20" customHeight="1" x14ac:dyDescent="0.2">
      <c r="B13" s="21">
        <f t="shared" si="0"/>
        <v>45139</v>
      </c>
      <c r="C13" s="10" t="s">
        <v>36</v>
      </c>
      <c r="D13" s="20">
        <v>45169</v>
      </c>
      <c r="E13" s="66">
        <f>'Generation Data'!$Z$25/1000</f>
        <v>7379.25</v>
      </c>
      <c r="F13" s="67"/>
      <c r="G13" s="6"/>
      <c r="H13" s="6"/>
      <c r="I13" s="6"/>
      <c r="J13" s="6"/>
      <c r="M13" s="43"/>
      <c r="N13" s="44"/>
      <c r="O13" s="12"/>
    </row>
    <row r="14" spans="2:15" ht="20" customHeight="1" x14ac:dyDescent="0.2">
      <c r="B14" s="21">
        <f t="shared" si="0"/>
        <v>45170</v>
      </c>
      <c r="C14" s="10" t="s">
        <v>36</v>
      </c>
      <c r="D14" s="20">
        <v>45199</v>
      </c>
      <c r="E14" s="66">
        <f>'Generation Data'!$AC$25/1000</f>
        <v>8516.4120000000003</v>
      </c>
      <c r="F14" s="67"/>
      <c r="G14" s="6"/>
      <c r="H14" s="6"/>
      <c r="I14" s="6"/>
      <c r="J14" s="6"/>
      <c r="M14" s="43"/>
      <c r="N14" s="44"/>
      <c r="O14" s="12"/>
    </row>
    <row r="15" spans="2:15" ht="20" customHeight="1" x14ac:dyDescent="0.2">
      <c r="B15" s="21">
        <f t="shared" si="0"/>
        <v>45200</v>
      </c>
      <c r="C15" s="10" t="s">
        <v>36</v>
      </c>
      <c r="D15" s="20">
        <v>45230</v>
      </c>
      <c r="E15" s="66">
        <f>'Generation Data'!$AF$25/1000</f>
        <v>1283.385</v>
      </c>
      <c r="F15" s="67"/>
      <c r="G15" s="6"/>
      <c r="H15" s="6"/>
      <c r="I15" s="6"/>
      <c r="J15" s="6"/>
      <c r="M15" s="43"/>
      <c r="N15" s="44"/>
      <c r="O15" s="12"/>
    </row>
    <row r="16" spans="2:15" ht="20" customHeight="1" x14ac:dyDescent="0.2">
      <c r="B16" s="21">
        <f t="shared" si="0"/>
        <v>45231</v>
      </c>
      <c r="C16" s="10" t="s">
        <v>36</v>
      </c>
      <c r="D16" s="20">
        <v>45260</v>
      </c>
      <c r="E16" s="66">
        <f>'Generation Data'!$AI$25/1000</f>
        <v>111.934</v>
      </c>
      <c r="F16" s="67"/>
      <c r="G16" s="6"/>
      <c r="H16" s="6"/>
      <c r="I16" s="6"/>
      <c r="J16" s="6"/>
      <c r="M16" s="43"/>
      <c r="N16" s="44"/>
      <c r="O16" s="12"/>
    </row>
    <row r="17" spans="2:14" ht="20" customHeight="1" thickBot="1" x14ac:dyDescent="0.25">
      <c r="B17" s="21">
        <f t="shared" si="0"/>
        <v>45261</v>
      </c>
      <c r="C17" s="10" t="s">
        <v>36</v>
      </c>
      <c r="D17" s="20">
        <v>45291</v>
      </c>
      <c r="E17" s="66">
        <f>'Generation Data'!$AL$25/1000</f>
        <v>526.44899999999996</v>
      </c>
      <c r="F17" s="67"/>
      <c r="G17" s="6"/>
      <c r="H17" s="6"/>
      <c r="I17" s="6"/>
      <c r="J17" s="6"/>
      <c r="M17" s="43"/>
      <c r="N17" s="44"/>
    </row>
    <row r="18" spans="2:14" ht="20" hidden="1" customHeight="1" x14ac:dyDescent="0.2">
      <c r="B18" s="21"/>
      <c r="C18" s="10"/>
      <c r="D18" s="20"/>
      <c r="E18" s="66"/>
      <c r="F18" s="67"/>
      <c r="G18" s="6"/>
      <c r="H18" s="6"/>
      <c r="I18" s="6"/>
      <c r="J18" s="6"/>
      <c r="M18" s="43"/>
      <c r="N18" s="44"/>
    </row>
    <row r="19" spans="2:14" ht="20" hidden="1" customHeight="1" x14ac:dyDescent="0.2">
      <c r="B19" s="21"/>
      <c r="C19" s="10"/>
      <c r="D19" s="20"/>
      <c r="E19" s="66"/>
      <c r="F19" s="67"/>
      <c r="G19" s="6"/>
      <c r="H19" s="6"/>
      <c r="I19" s="6"/>
      <c r="J19" s="6"/>
      <c r="M19" s="43"/>
      <c r="N19" s="44"/>
    </row>
    <row r="20" spans="2:14" ht="20" hidden="1" customHeight="1" thickBot="1" x14ac:dyDescent="0.25">
      <c r="B20" s="21"/>
      <c r="C20" s="10"/>
      <c r="D20" s="20"/>
      <c r="E20" s="84"/>
      <c r="F20" s="85"/>
      <c r="G20" s="6"/>
      <c r="H20" s="6"/>
      <c r="I20" s="6"/>
      <c r="J20" s="6"/>
      <c r="M20" s="43"/>
      <c r="N20" s="44"/>
    </row>
    <row r="21" spans="2:14" ht="20" customHeight="1" thickBot="1" x14ac:dyDescent="0.25">
      <c r="B21" s="69" t="s">
        <v>15</v>
      </c>
      <c r="C21" s="70"/>
      <c r="D21" s="70"/>
      <c r="E21" s="71">
        <f>SUM(E6:F20)</f>
        <v>43319.663116000003</v>
      </c>
      <c r="F21" s="72"/>
      <c r="G21" s="6"/>
      <c r="H21" s="6"/>
      <c r="I21" s="6"/>
      <c r="M21" s="45"/>
      <c r="N21" s="44"/>
    </row>
    <row r="22" spans="2:14" ht="14.5" customHeight="1" x14ac:dyDescent="0.2">
      <c r="B22" s="75"/>
      <c r="C22" s="75"/>
      <c r="D22" s="75"/>
      <c r="E22" s="75"/>
      <c r="F22" s="75"/>
      <c r="G22" s="46"/>
      <c r="H22" s="46"/>
      <c r="I22" s="46"/>
      <c r="J22" s="40"/>
      <c r="K22" s="40"/>
    </row>
    <row r="23" spans="2:14" ht="43.25" customHeight="1" x14ac:dyDescent="0.2">
      <c r="B23" s="76" t="s">
        <v>45</v>
      </c>
      <c r="C23" s="76"/>
      <c r="D23" s="76"/>
      <c r="E23" s="76"/>
      <c r="F23" s="76"/>
      <c r="G23" s="46"/>
      <c r="H23" s="46"/>
      <c r="I23" s="46"/>
      <c r="J23" s="40"/>
      <c r="K23" s="40"/>
    </row>
    <row r="24" spans="2:14" x14ac:dyDescent="0.2">
      <c r="B24" s="12"/>
      <c r="C24" s="12"/>
      <c r="D24" s="12"/>
      <c r="E24" s="12"/>
      <c r="F24" s="12"/>
      <c r="G24" s="12"/>
      <c r="H24" s="12"/>
      <c r="I24" s="12"/>
      <c r="J24" s="12"/>
    </row>
    <row r="25" spans="2:14" x14ac:dyDescent="0.2">
      <c r="B25" s="6"/>
      <c r="C25" s="4"/>
      <c r="D25" s="6"/>
      <c r="E25" s="6"/>
      <c r="F25" s="6"/>
      <c r="G25" s="6"/>
      <c r="H25" s="6"/>
      <c r="I25" s="6"/>
      <c r="J25" s="6"/>
    </row>
    <row r="26" spans="2:14" ht="56" x14ac:dyDescent="0.2">
      <c r="B26" s="88" t="s">
        <v>16</v>
      </c>
      <c r="C26" s="89"/>
      <c r="D26" s="90"/>
      <c r="E26" s="7" t="s">
        <v>33</v>
      </c>
      <c r="F26" s="7" t="s">
        <v>17</v>
      </c>
      <c r="G26" s="7" t="s">
        <v>18</v>
      </c>
      <c r="H26" s="7" t="s">
        <v>19</v>
      </c>
      <c r="I26" s="7" t="s">
        <v>20</v>
      </c>
      <c r="J26" s="7" t="s">
        <v>21</v>
      </c>
    </row>
    <row r="27" spans="2:14" ht="16" x14ac:dyDescent="0.2">
      <c r="B27" s="91"/>
      <c r="C27" s="92"/>
      <c r="D27" s="93"/>
      <c r="E27" s="7" t="s">
        <v>22</v>
      </c>
      <c r="F27" s="7" t="s">
        <v>23</v>
      </c>
      <c r="G27" s="7" t="s">
        <v>24</v>
      </c>
      <c r="H27" s="7" t="s">
        <v>25</v>
      </c>
      <c r="I27" s="7" t="s">
        <v>26</v>
      </c>
      <c r="J27" s="7" t="s">
        <v>27</v>
      </c>
    </row>
    <row r="28" spans="2:14" ht="23" customHeight="1" x14ac:dyDescent="0.2">
      <c r="B28" s="94" t="s">
        <v>46</v>
      </c>
      <c r="C28" s="95"/>
      <c r="D28" s="96"/>
      <c r="E28" s="16">
        <f>E21</f>
        <v>43319.663116000003</v>
      </c>
      <c r="F28" s="13">
        <v>0.93049999999999999</v>
      </c>
      <c r="G28" s="8">
        <f>ROUNDDOWN(E28*F28,0)</f>
        <v>40308</v>
      </c>
      <c r="H28" s="8">
        <v>0</v>
      </c>
      <c r="I28" s="8">
        <v>0</v>
      </c>
      <c r="J28" s="53">
        <f>(G28-H28-I28)</f>
        <v>40308</v>
      </c>
    </row>
    <row r="29" spans="2:14" ht="14.5" customHeight="1" x14ac:dyDescent="0.2">
      <c r="B29" s="15"/>
      <c r="C29" s="15"/>
      <c r="D29" s="15"/>
      <c r="E29" s="22"/>
      <c r="F29" s="15"/>
      <c r="G29" s="15"/>
      <c r="H29" s="15"/>
      <c r="I29" s="15"/>
      <c r="J29" s="15"/>
    </row>
    <row r="30" spans="2:14" x14ac:dyDescent="0.2">
      <c r="B30" s="6"/>
      <c r="C30" s="4"/>
      <c r="D30" s="6"/>
      <c r="E30" s="6"/>
      <c r="F30" s="6"/>
      <c r="G30" s="6"/>
      <c r="H30" s="6"/>
      <c r="I30" s="6"/>
      <c r="J30" s="6"/>
    </row>
    <row r="31" spans="2:14" ht="39.75" customHeight="1" x14ac:dyDescent="0.2">
      <c r="B31" s="73" t="s">
        <v>28</v>
      </c>
      <c r="C31" s="74"/>
      <c r="D31" s="7" t="s">
        <v>29</v>
      </c>
      <c r="E31" s="7" t="s">
        <v>30</v>
      </c>
      <c r="F31" s="7" t="s">
        <v>40</v>
      </c>
      <c r="G31" s="7" t="s">
        <v>31</v>
      </c>
      <c r="H31" s="7" t="s">
        <v>32</v>
      </c>
      <c r="I31" s="73" t="s">
        <v>41</v>
      </c>
      <c r="J31" s="74"/>
    </row>
    <row r="32" spans="2:14" ht="24" customHeight="1" x14ac:dyDescent="0.2">
      <c r="B32" s="86">
        <f>B6</f>
        <v>44927</v>
      </c>
      <c r="C32" s="86"/>
      <c r="D32" s="10">
        <f>D17</f>
        <v>45291</v>
      </c>
      <c r="E32" s="9">
        <f>D32-B32+1</f>
        <v>365</v>
      </c>
      <c r="F32" s="8">
        <v>56132</v>
      </c>
      <c r="G32" s="14">
        <f>ROUNDDOWN(F32/365*E32,0)</f>
        <v>56132</v>
      </c>
      <c r="H32" s="47">
        <f>J28</f>
        <v>40308</v>
      </c>
      <c r="I32" s="87">
        <f>H32/G32-1</f>
        <v>-0.28190693365638142</v>
      </c>
      <c r="J32" s="87"/>
    </row>
    <row r="35" spans="5:10" x14ac:dyDescent="0.2">
      <c r="E35" t="s">
        <v>47</v>
      </c>
      <c r="F35" s="59">
        <f>E21/(E32*24*24.75)</f>
        <v>0.19980472817674463</v>
      </c>
      <c r="H35" s="52"/>
      <c r="I35" s="45"/>
      <c r="J35" s="45"/>
    </row>
    <row r="36" spans="5:10" x14ac:dyDescent="0.2">
      <c r="J36" s="51"/>
    </row>
  </sheetData>
  <mergeCells count="29">
    <mergeCell ref="B32:C32"/>
    <mergeCell ref="I32:J32"/>
    <mergeCell ref="B26:D27"/>
    <mergeCell ref="B28:D28"/>
    <mergeCell ref="B31:C31"/>
    <mergeCell ref="B1:J1"/>
    <mergeCell ref="B21:D21"/>
    <mergeCell ref="E21:F21"/>
    <mergeCell ref="E19:F19"/>
    <mergeCell ref="I31:J31"/>
    <mergeCell ref="B22:F22"/>
    <mergeCell ref="B23:F23"/>
    <mergeCell ref="B4:D4"/>
    <mergeCell ref="E4:F4"/>
    <mergeCell ref="E5:F5"/>
    <mergeCell ref="E6:F6"/>
    <mergeCell ref="E7:F7"/>
    <mergeCell ref="E8:F8"/>
    <mergeCell ref="E20:F20"/>
    <mergeCell ref="E14:F14"/>
    <mergeCell ref="E15:F15"/>
    <mergeCell ref="E16:F16"/>
    <mergeCell ref="E17:F17"/>
    <mergeCell ref="E18:F18"/>
    <mergeCell ref="E9:F9"/>
    <mergeCell ref="E10:F10"/>
    <mergeCell ref="E11:F11"/>
    <mergeCell ref="E12:F12"/>
    <mergeCell ref="E13:F13"/>
  </mergeCells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61"/>
  <sheetViews>
    <sheetView tabSelected="1" zoomScale="150" zoomScaleNormal="15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M23" sqref="M23"/>
    </sheetView>
  </sheetViews>
  <sheetFormatPr baseColWidth="10" defaultColWidth="14.6640625" defaultRowHeight="15" x14ac:dyDescent="0.2"/>
  <cols>
    <col min="1" max="1" width="14.6640625" style="1" customWidth="1"/>
    <col min="2" max="18" width="14.6640625" style="1"/>
    <col min="19" max="38" width="14.6640625" style="35"/>
    <col min="39" max="47" width="0" style="35" hidden="1" customWidth="1"/>
  </cols>
  <sheetData>
    <row r="1" spans="1:47" ht="14.5" customHeight="1" x14ac:dyDescent="0.2">
      <c r="A1" s="100" t="str">
        <f>'ER calculation'!B1</f>
        <v>Project Title: Grid Connected Wind Power Project in Tamil Nadu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/>
      <c r="Q1"/>
      <c r="R1"/>
    </row>
    <row r="2" spans="1:47" ht="14.5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/>
      <c r="Q2"/>
      <c r="R2"/>
    </row>
    <row r="3" spans="1:47" ht="14.5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/>
      <c r="Q3"/>
      <c r="R3"/>
    </row>
    <row r="4" spans="1:47" ht="14.5" customHeight="1" x14ac:dyDescent="0.2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/>
      <c r="Q4"/>
      <c r="R4"/>
    </row>
    <row r="5" spans="1:47" ht="14.5" customHeight="1" x14ac:dyDescent="0.2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/>
      <c r="Q5"/>
      <c r="R5"/>
    </row>
    <row r="6" spans="1:47" ht="16" thickBot="1" x14ac:dyDescent="0.25"/>
    <row r="7" spans="1:47" s="42" customFormat="1" ht="16" thickBot="1" x14ac:dyDescent="0.25">
      <c r="A7" s="108" t="s">
        <v>48</v>
      </c>
      <c r="B7" s="108" t="s">
        <v>49</v>
      </c>
      <c r="C7" s="50">
        <v>44927</v>
      </c>
      <c r="D7" s="49" t="s">
        <v>36</v>
      </c>
      <c r="E7" s="50">
        <v>44957</v>
      </c>
      <c r="F7" s="48">
        <f>E7+1</f>
        <v>44958</v>
      </c>
      <c r="G7" s="49" t="s">
        <v>36</v>
      </c>
      <c r="H7" s="50">
        <v>44985</v>
      </c>
      <c r="I7" s="48">
        <f>H7+1</f>
        <v>44986</v>
      </c>
      <c r="J7" s="36" t="s">
        <v>36</v>
      </c>
      <c r="K7" s="41">
        <v>45016</v>
      </c>
      <c r="L7" s="48">
        <f>K7+1</f>
        <v>45017</v>
      </c>
      <c r="M7" s="36" t="s">
        <v>36</v>
      </c>
      <c r="N7" s="41">
        <v>45046</v>
      </c>
      <c r="O7" s="48">
        <f>N7+1</f>
        <v>45047</v>
      </c>
      <c r="P7" s="36" t="s">
        <v>36</v>
      </c>
      <c r="Q7" s="41">
        <v>45077</v>
      </c>
      <c r="R7" s="48">
        <f>Q7+1</f>
        <v>45078</v>
      </c>
      <c r="S7" s="36" t="s">
        <v>36</v>
      </c>
      <c r="T7" s="41">
        <v>45107</v>
      </c>
      <c r="U7" s="48">
        <f>T7+1</f>
        <v>45108</v>
      </c>
      <c r="V7" s="36" t="s">
        <v>36</v>
      </c>
      <c r="W7" s="41">
        <v>45138</v>
      </c>
      <c r="X7" s="48">
        <f>W7+1</f>
        <v>45139</v>
      </c>
      <c r="Y7" s="36" t="s">
        <v>36</v>
      </c>
      <c r="Z7" s="41">
        <v>45169</v>
      </c>
      <c r="AA7" s="48">
        <f>Z7+1</f>
        <v>45170</v>
      </c>
      <c r="AB7" s="36" t="s">
        <v>36</v>
      </c>
      <c r="AC7" s="41">
        <v>45199</v>
      </c>
      <c r="AD7" s="48">
        <f>AC7+1</f>
        <v>45200</v>
      </c>
      <c r="AE7" s="36" t="s">
        <v>36</v>
      </c>
      <c r="AF7" s="41">
        <v>45230</v>
      </c>
      <c r="AG7" s="48">
        <f>AF7+1</f>
        <v>45231</v>
      </c>
      <c r="AH7" s="36" t="s">
        <v>36</v>
      </c>
      <c r="AI7" s="41">
        <v>45260</v>
      </c>
      <c r="AJ7" s="48">
        <f>AI7+1</f>
        <v>45261</v>
      </c>
      <c r="AK7" s="36" t="s">
        <v>36</v>
      </c>
      <c r="AL7" s="41">
        <v>45291</v>
      </c>
      <c r="AM7" s="48"/>
      <c r="AN7" s="36"/>
      <c r="AO7" s="41"/>
      <c r="AP7" s="48"/>
      <c r="AQ7" s="36"/>
      <c r="AR7" s="41"/>
      <c r="AS7" s="48"/>
      <c r="AT7" s="36"/>
      <c r="AU7" s="41"/>
    </row>
    <row r="8" spans="1:47" ht="15" customHeight="1" x14ac:dyDescent="0.2">
      <c r="A8" s="109"/>
      <c r="B8" s="109"/>
      <c r="C8" s="105" t="s">
        <v>37</v>
      </c>
      <c r="D8" s="106" t="s">
        <v>38</v>
      </c>
      <c r="E8" s="111" t="s">
        <v>39</v>
      </c>
      <c r="F8" s="105" t="str">
        <f t="shared" ref="F8:L8" si="0">C8</f>
        <v xml:space="preserve">Electricity Export (kWh) </v>
      </c>
      <c r="G8" s="106" t="str">
        <f t="shared" si="0"/>
        <v xml:space="preserve">Electricity Import (kWh) </v>
      </c>
      <c r="H8" s="111" t="str">
        <f t="shared" si="0"/>
        <v xml:space="preserve">Net Export (kWh) </v>
      </c>
      <c r="I8" s="105" t="str">
        <f t="shared" si="0"/>
        <v xml:space="preserve">Electricity Export (kWh) </v>
      </c>
      <c r="J8" s="106" t="str">
        <f t="shared" si="0"/>
        <v xml:space="preserve">Electricity Import (kWh) </v>
      </c>
      <c r="K8" s="115" t="str">
        <f t="shared" si="0"/>
        <v xml:space="preserve">Net Export (kWh) </v>
      </c>
      <c r="L8" s="98" t="str">
        <f t="shared" si="0"/>
        <v xml:space="preserve">Electricity Export (kWh) </v>
      </c>
      <c r="M8" s="98" t="str">
        <f t="shared" ref="M8:S8" si="1">J8</f>
        <v xml:space="preserve">Electricity Import (kWh) </v>
      </c>
      <c r="N8" s="113" t="str">
        <f t="shared" si="1"/>
        <v xml:space="preserve">Net Export (kWh) </v>
      </c>
      <c r="O8" s="117" t="str">
        <f t="shared" si="1"/>
        <v xml:space="preserve">Electricity Export (kWh) </v>
      </c>
      <c r="P8" s="98" t="str">
        <f t="shared" si="1"/>
        <v xml:space="preserve">Electricity Import (kWh) </v>
      </c>
      <c r="Q8" s="98" t="str">
        <f t="shared" si="1"/>
        <v xml:space="preserve">Net Export (kWh) </v>
      </c>
      <c r="R8" s="98" t="str">
        <f t="shared" si="1"/>
        <v xml:space="preserve">Electricity Export (kWh) </v>
      </c>
      <c r="S8" s="98" t="str">
        <f t="shared" si="1"/>
        <v xml:space="preserve">Electricity Import (kWh) </v>
      </c>
      <c r="T8" s="98" t="str">
        <f t="shared" ref="T8" si="2">Q8</f>
        <v xml:space="preserve">Net Export (kWh) </v>
      </c>
      <c r="U8" s="98" t="str">
        <f t="shared" ref="U8" si="3">R8</f>
        <v xml:space="preserve">Electricity Export (kWh) </v>
      </c>
      <c r="V8" s="98" t="str">
        <f t="shared" ref="V8:W8" si="4">S8</f>
        <v xml:space="preserve">Electricity Import (kWh) </v>
      </c>
      <c r="W8" s="98" t="str">
        <f t="shared" si="4"/>
        <v xml:space="preserve">Net Export (kWh) </v>
      </c>
      <c r="X8" s="101" t="str">
        <f t="shared" ref="X8:AL8" si="5">U8</f>
        <v xml:space="preserve">Electricity Export (kWh) </v>
      </c>
      <c r="Y8" s="101" t="str">
        <f t="shared" si="5"/>
        <v xml:space="preserve">Electricity Import (kWh) </v>
      </c>
      <c r="Z8" s="98" t="str">
        <f t="shared" si="5"/>
        <v xml:space="preserve">Net Export (kWh) </v>
      </c>
      <c r="AA8" s="101" t="str">
        <f t="shared" si="5"/>
        <v xml:space="preserve">Electricity Export (kWh) </v>
      </c>
      <c r="AB8" s="101" t="str">
        <f t="shared" si="5"/>
        <v xml:space="preserve">Electricity Import (kWh) </v>
      </c>
      <c r="AC8" s="98" t="str">
        <f t="shared" si="5"/>
        <v xml:space="preserve">Net Export (kWh) </v>
      </c>
      <c r="AD8" s="101" t="str">
        <f t="shared" si="5"/>
        <v xml:space="preserve">Electricity Export (kWh) </v>
      </c>
      <c r="AE8" s="101" t="str">
        <f t="shared" si="5"/>
        <v xml:space="preserve">Electricity Import (kWh) </v>
      </c>
      <c r="AF8" s="98" t="str">
        <f t="shared" si="5"/>
        <v xml:space="preserve">Net Export (kWh) </v>
      </c>
      <c r="AG8" s="101" t="str">
        <f t="shared" si="5"/>
        <v xml:space="preserve">Electricity Export (kWh) </v>
      </c>
      <c r="AH8" s="101" t="str">
        <f t="shared" si="5"/>
        <v xml:space="preserve">Electricity Import (kWh) </v>
      </c>
      <c r="AI8" s="98" t="str">
        <f t="shared" si="5"/>
        <v xml:space="preserve">Net Export (kWh) </v>
      </c>
      <c r="AJ8" s="101" t="str">
        <f t="shared" si="5"/>
        <v xml:space="preserve">Electricity Export (kWh) </v>
      </c>
      <c r="AK8" s="101" t="str">
        <f t="shared" si="5"/>
        <v xml:space="preserve">Electricity Import (kWh) </v>
      </c>
      <c r="AL8" s="98" t="str">
        <f t="shared" si="5"/>
        <v xml:space="preserve">Net Export (kWh) </v>
      </c>
      <c r="AM8" s="101"/>
      <c r="AN8" s="101"/>
      <c r="AO8" s="98"/>
      <c r="AP8" s="101"/>
      <c r="AQ8" s="101"/>
      <c r="AR8" s="98"/>
      <c r="AS8" s="101"/>
      <c r="AT8" s="101"/>
      <c r="AU8" s="98"/>
    </row>
    <row r="9" spans="1:47" ht="37.25" customHeight="1" thickBot="1" x14ac:dyDescent="0.25">
      <c r="A9" s="110"/>
      <c r="B9" s="110"/>
      <c r="C9" s="102"/>
      <c r="D9" s="107"/>
      <c r="E9" s="112"/>
      <c r="F9" s="102"/>
      <c r="G9" s="107"/>
      <c r="H9" s="112"/>
      <c r="I9" s="102"/>
      <c r="J9" s="107"/>
      <c r="K9" s="116"/>
      <c r="L9" s="99"/>
      <c r="M9" s="99"/>
      <c r="N9" s="114"/>
      <c r="O9" s="118"/>
      <c r="P9" s="99"/>
      <c r="Q9" s="99"/>
      <c r="R9" s="99"/>
      <c r="S9" s="99"/>
      <c r="T9" s="99"/>
      <c r="U9" s="99"/>
      <c r="V9" s="99"/>
      <c r="W9" s="99"/>
      <c r="X9" s="102"/>
      <c r="Y9" s="102"/>
      <c r="Z9" s="99"/>
      <c r="AA9" s="102"/>
      <c r="AB9" s="102"/>
      <c r="AC9" s="99"/>
      <c r="AD9" s="102"/>
      <c r="AE9" s="102"/>
      <c r="AF9" s="99"/>
      <c r="AG9" s="102"/>
      <c r="AH9" s="102"/>
      <c r="AI9" s="99"/>
      <c r="AJ9" s="102"/>
      <c r="AK9" s="102"/>
      <c r="AL9" s="99"/>
      <c r="AM9" s="102"/>
      <c r="AN9" s="102"/>
      <c r="AO9" s="99"/>
      <c r="AP9" s="102"/>
      <c r="AQ9" s="102"/>
      <c r="AR9" s="99"/>
      <c r="AS9" s="102"/>
      <c r="AT9" s="102"/>
      <c r="AU9" s="99"/>
    </row>
    <row r="10" spans="1:47" s="24" customFormat="1" x14ac:dyDescent="0.2">
      <c r="A10" s="60">
        <v>59224760295</v>
      </c>
      <c r="B10" s="25" t="s">
        <v>0</v>
      </c>
      <c r="C10" s="62">
        <f>33630*(1-0.2%)</f>
        <v>33562.74</v>
      </c>
      <c r="D10" s="62">
        <f>6474*(1+0.2%)</f>
        <v>6486.9480000000003</v>
      </c>
      <c r="E10" s="62">
        <f>C10-D10</f>
        <v>27075.791999999998</v>
      </c>
      <c r="F10" s="62">
        <f>32610*(1-0.2%)</f>
        <v>32544.78</v>
      </c>
      <c r="G10" s="62">
        <f>5094*(1+0.2%)</f>
        <v>5104.1880000000001</v>
      </c>
      <c r="H10" s="62">
        <f>F10-G10</f>
        <v>27440.591999999997</v>
      </c>
      <c r="I10" s="62">
        <f>45744*(1-0.2%)</f>
        <v>45652.512000000002</v>
      </c>
      <c r="J10" s="62">
        <f>5562*(1+0.2%)</f>
        <v>5573.1239999999998</v>
      </c>
      <c r="K10" s="62">
        <f>I10-J10</f>
        <v>40079.388000000006</v>
      </c>
      <c r="L10" s="62">
        <f>46335*(1-0.2%)</f>
        <v>46242.33</v>
      </c>
      <c r="M10" s="62">
        <f>5919*(1+0.2%)</f>
        <v>5930.8379999999997</v>
      </c>
      <c r="N10" s="62">
        <f>L10-M10</f>
        <v>40311.491999999998</v>
      </c>
      <c r="O10" s="56">
        <v>212628</v>
      </c>
      <c r="P10" s="56">
        <v>3918</v>
      </c>
      <c r="Q10" s="56">
        <f>O10-P10</f>
        <v>208710</v>
      </c>
      <c r="R10" s="56">
        <v>664218</v>
      </c>
      <c r="S10" s="56">
        <v>1065</v>
      </c>
      <c r="T10" s="56">
        <f>R10-S10</f>
        <v>663153</v>
      </c>
      <c r="U10" s="56">
        <v>819771</v>
      </c>
      <c r="V10" s="56">
        <v>588</v>
      </c>
      <c r="W10" s="56">
        <f>U10-V10</f>
        <v>819183</v>
      </c>
      <c r="X10" s="61">
        <v>402075</v>
      </c>
      <c r="Y10" s="56">
        <v>1872</v>
      </c>
      <c r="Z10" s="56">
        <f>X10-Y10</f>
        <v>400203</v>
      </c>
      <c r="AA10" s="56">
        <v>630348</v>
      </c>
      <c r="AB10" s="56">
        <v>1062</v>
      </c>
      <c r="AC10" s="56">
        <f>AA10-AB10</f>
        <v>629286</v>
      </c>
      <c r="AD10" s="56">
        <v>106626</v>
      </c>
      <c r="AE10" s="56">
        <v>3789</v>
      </c>
      <c r="AF10" s="56">
        <f>AD10-AE10</f>
        <v>102837</v>
      </c>
      <c r="AG10" s="56">
        <v>12972</v>
      </c>
      <c r="AH10" s="56">
        <v>6288</v>
      </c>
      <c r="AI10" s="56">
        <f>AG10-AH10</f>
        <v>6684</v>
      </c>
      <c r="AJ10" s="56">
        <v>44214</v>
      </c>
      <c r="AK10" s="56">
        <v>4911</v>
      </c>
      <c r="AL10" s="56">
        <f>AJ10-AK10</f>
        <v>39303</v>
      </c>
      <c r="AM10" s="26"/>
      <c r="AN10" s="27"/>
      <c r="AO10" s="23"/>
      <c r="AP10" s="26"/>
      <c r="AQ10" s="27"/>
      <c r="AR10" s="23"/>
      <c r="AS10" s="26"/>
      <c r="AT10" s="27"/>
      <c r="AU10" s="23"/>
    </row>
    <row r="11" spans="1:47" s="24" customFormat="1" x14ac:dyDescent="0.2">
      <c r="A11" s="60">
        <v>59224760308</v>
      </c>
      <c r="B11" s="25" t="s">
        <v>1</v>
      </c>
      <c r="C11" s="63">
        <f>38685*(1-0.2%)</f>
        <v>38607.629999999997</v>
      </c>
      <c r="D11" s="63">
        <f>7809*(1+0.2%)</f>
        <v>7824.6180000000004</v>
      </c>
      <c r="E11" s="62">
        <f t="shared" ref="E11:E24" si="6">C11-D11</f>
        <v>30783.011999999995</v>
      </c>
      <c r="F11" s="61">
        <v>32898</v>
      </c>
      <c r="G11" s="61">
        <v>5242</v>
      </c>
      <c r="H11" s="61">
        <f t="shared" ref="H11:H24" si="7">F11-G11</f>
        <v>27656</v>
      </c>
      <c r="I11" s="61">
        <v>38040</v>
      </c>
      <c r="J11" s="61">
        <v>6425</v>
      </c>
      <c r="K11" s="61">
        <f t="shared" ref="K11:K23" si="8">I11-J11</f>
        <v>31615</v>
      </c>
      <c r="L11" s="61">
        <v>32527</v>
      </c>
      <c r="M11" s="61">
        <v>5882</v>
      </c>
      <c r="N11" s="61">
        <f t="shared" ref="N11:N23" si="9">L11-M11</f>
        <v>26645</v>
      </c>
      <c r="O11" s="57">
        <v>204239</v>
      </c>
      <c r="P11" s="57">
        <v>3650</v>
      </c>
      <c r="Q11" s="56">
        <f t="shared" ref="Q11:Q23" si="10">O11-P11</f>
        <v>200589</v>
      </c>
      <c r="R11" s="57">
        <v>653199</v>
      </c>
      <c r="S11" s="57">
        <v>705</v>
      </c>
      <c r="T11" s="56">
        <f t="shared" ref="T11:T24" si="11">R11-S11</f>
        <v>652494</v>
      </c>
      <c r="U11" s="57">
        <v>867557</v>
      </c>
      <c r="V11" s="57">
        <v>549</v>
      </c>
      <c r="W11" s="56">
        <f t="shared" ref="W11:W24" si="12">U11-V11</f>
        <v>867008</v>
      </c>
      <c r="X11" s="57">
        <v>553591</v>
      </c>
      <c r="Y11" s="57">
        <v>1328</v>
      </c>
      <c r="Z11" s="56">
        <f t="shared" ref="Z11:Z24" si="13">X11-Y11</f>
        <v>552263</v>
      </c>
      <c r="AA11" s="57">
        <v>665799</v>
      </c>
      <c r="AB11" s="57">
        <v>871</v>
      </c>
      <c r="AC11" s="56">
        <f t="shared" ref="AC11:AC24" si="14">AA11-AB11</f>
        <v>664928</v>
      </c>
      <c r="AD11" s="57">
        <v>103440</v>
      </c>
      <c r="AE11" s="57">
        <v>5828</v>
      </c>
      <c r="AF11" s="56">
        <f t="shared" ref="AF11:AF24" si="15">AD11-AE11</f>
        <v>97612</v>
      </c>
      <c r="AG11" s="57">
        <v>11901</v>
      </c>
      <c r="AH11" s="57">
        <v>6604</v>
      </c>
      <c r="AI11" s="56">
        <f t="shared" ref="AI11:AI24" si="16">AG11-AH11</f>
        <v>5297</v>
      </c>
      <c r="AJ11" s="57">
        <v>35728</v>
      </c>
      <c r="AK11" s="57">
        <v>6008</v>
      </c>
      <c r="AL11" s="56">
        <f t="shared" ref="AL11:AL24" si="17">AJ11-AK11</f>
        <v>29720</v>
      </c>
      <c r="AM11" s="26"/>
      <c r="AN11" s="27"/>
      <c r="AO11" s="23"/>
      <c r="AP11" s="26"/>
      <c r="AQ11" s="27"/>
      <c r="AR11" s="23"/>
      <c r="AS11" s="26"/>
      <c r="AT11" s="27"/>
      <c r="AU11" s="23"/>
    </row>
    <row r="12" spans="1:47" s="24" customFormat="1" x14ac:dyDescent="0.2">
      <c r="A12" s="60">
        <v>59224760309</v>
      </c>
      <c r="B12" s="25" t="s">
        <v>2</v>
      </c>
      <c r="C12" s="62">
        <f>43248*(1-0.2%)</f>
        <v>43161.504000000001</v>
      </c>
      <c r="D12" s="62">
        <f>6240*(1+0.2%)</f>
        <v>6252.48</v>
      </c>
      <c r="E12" s="62">
        <f t="shared" si="6"/>
        <v>36909.024000000005</v>
      </c>
      <c r="F12" s="62">
        <f>35160*(1-0.2%)</f>
        <v>35089.68</v>
      </c>
      <c r="G12" s="62">
        <f>5304*(1+0.2%)</f>
        <v>5314.6080000000002</v>
      </c>
      <c r="H12" s="62">
        <f t="shared" si="7"/>
        <v>29775.072</v>
      </c>
      <c r="I12" s="62">
        <f>37224*(1-0.2%)</f>
        <v>37149.552000000003</v>
      </c>
      <c r="J12" s="62">
        <f>6240*(1+0.2%)</f>
        <v>6252.48</v>
      </c>
      <c r="K12" s="62">
        <f t="shared" si="8"/>
        <v>30897.072000000004</v>
      </c>
      <c r="L12" s="62">
        <f>28079*(1-0.2%)</f>
        <v>28022.842000000001</v>
      </c>
      <c r="M12" s="62">
        <f>5865*(1+0.2%)</f>
        <v>5876.73</v>
      </c>
      <c r="N12" s="62">
        <f t="shared" si="9"/>
        <v>22146.112000000001</v>
      </c>
      <c r="O12" s="56">
        <v>166501</v>
      </c>
      <c r="P12" s="56">
        <v>3972</v>
      </c>
      <c r="Q12" s="56">
        <f t="shared" si="10"/>
        <v>162529</v>
      </c>
      <c r="R12" s="56">
        <v>633777</v>
      </c>
      <c r="S12" s="56">
        <v>777</v>
      </c>
      <c r="T12" s="56">
        <f t="shared" si="11"/>
        <v>633000</v>
      </c>
      <c r="U12" s="56">
        <v>873210</v>
      </c>
      <c r="V12" s="56">
        <v>409</v>
      </c>
      <c r="W12" s="56">
        <f t="shared" si="12"/>
        <v>872801</v>
      </c>
      <c r="X12" s="56">
        <v>514692</v>
      </c>
      <c r="Y12" s="56">
        <v>1186</v>
      </c>
      <c r="Z12" s="56">
        <f t="shared" si="13"/>
        <v>513506</v>
      </c>
      <c r="AA12" s="56">
        <v>677032</v>
      </c>
      <c r="AB12" s="56">
        <v>707</v>
      </c>
      <c r="AC12" s="56">
        <f t="shared" si="14"/>
        <v>676325</v>
      </c>
      <c r="AD12" s="56">
        <v>105461</v>
      </c>
      <c r="AE12" s="56">
        <v>4834</v>
      </c>
      <c r="AF12" s="56">
        <f t="shared" si="15"/>
        <v>100627</v>
      </c>
      <c r="AG12" s="56">
        <v>10395</v>
      </c>
      <c r="AH12" s="56">
        <v>5711</v>
      </c>
      <c r="AI12" s="56">
        <f t="shared" si="16"/>
        <v>4684</v>
      </c>
      <c r="AJ12" s="56">
        <v>45762</v>
      </c>
      <c r="AK12" s="56">
        <v>5689</v>
      </c>
      <c r="AL12" s="56">
        <f t="shared" si="17"/>
        <v>40073</v>
      </c>
      <c r="AM12" s="26"/>
      <c r="AN12" s="27"/>
      <c r="AO12" s="23"/>
      <c r="AP12" s="26"/>
      <c r="AQ12" s="27"/>
      <c r="AR12" s="23"/>
      <c r="AS12" s="26"/>
      <c r="AT12" s="27"/>
      <c r="AU12" s="23"/>
    </row>
    <row r="13" spans="1:47" s="24" customFormat="1" x14ac:dyDescent="0.2">
      <c r="A13" s="60">
        <v>59224760310</v>
      </c>
      <c r="B13" s="25" t="s">
        <v>3</v>
      </c>
      <c r="C13" s="63">
        <f>356*(1-0.2%)</f>
        <v>355.28800000000001</v>
      </c>
      <c r="D13" s="63">
        <f>3064*(1+0.2%)</f>
        <v>3070.1280000000002</v>
      </c>
      <c r="E13" s="62">
        <v>0</v>
      </c>
      <c r="F13" s="61">
        <v>118</v>
      </c>
      <c r="G13" s="61">
        <v>2503</v>
      </c>
      <c r="H13" s="61">
        <v>0</v>
      </c>
      <c r="I13" s="61">
        <v>159</v>
      </c>
      <c r="J13" s="61">
        <v>2627</v>
      </c>
      <c r="K13" s="61">
        <v>0</v>
      </c>
      <c r="L13" s="61">
        <v>205</v>
      </c>
      <c r="M13" s="61">
        <v>2647</v>
      </c>
      <c r="N13" s="61">
        <v>0</v>
      </c>
      <c r="O13" s="57">
        <v>276</v>
      </c>
      <c r="P13" s="57">
        <v>3308</v>
      </c>
      <c r="Q13" s="56">
        <v>0</v>
      </c>
      <c r="R13" s="57">
        <v>113</v>
      </c>
      <c r="S13" s="57">
        <v>2845</v>
      </c>
      <c r="T13" s="56">
        <v>0</v>
      </c>
      <c r="U13" s="57">
        <v>0</v>
      </c>
      <c r="V13" s="57">
        <v>2775</v>
      </c>
      <c r="W13" s="56">
        <v>0</v>
      </c>
      <c r="X13" s="57">
        <v>0</v>
      </c>
      <c r="Y13" s="57">
        <v>1305</v>
      </c>
      <c r="Z13" s="56">
        <v>0</v>
      </c>
      <c r="AA13" s="57">
        <v>0</v>
      </c>
      <c r="AB13" s="57">
        <v>2760</v>
      </c>
      <c r="AC13" s="56">
        <v>0</v>
      </c>
      <c r="AD13" s="57">
        <v>15067</v>
      </c>
      <c r="AE13" s="57">
        <v>5976</v>
      </c>
      <c r="AF13" s="56">
        <f t="shared" si="15"/>
        <v>9091</v>
      </c>
      <c r="AG13" s="57">
        <v>15408</v>
      </c>
      <c r="AH13" s="57">
        <v>6768</v>
      </c>
      <c r="AI13" s="56">
        <f t="shared" si="16"/>
        <v>8640</v>
      </c>
      <c r="AJ13" s="57">
        <v>51260</v>
      </c>
      <c r="AK13" s="57">
        <v>6592</v>
      </c>
      <c r="AL13" s="56">
        <f t="shared" si="17"/>
        <v>44668</v>
      </c>
      <c r="AM13" s="26"/>
      <c r="AN13" s="27"/>
      <c r="AO13" s="23"/>
      <c r="AP13" s="26"/>
      <c r="AQ13" s="27"/>
      <c r="AR13" s="23"/>
      <c r="AS13" s="26"/>
      <c r="AT13" s="27"/>
      <c r="AU13" s="23"/>
    </row>
    <row r="14" spans="1:47" s="24" customFormat="1" x14ac:dyDescent="0.2">
      <c r="A14" s="60">
        <v>59224760311</v>
      </c>
      <c r="B14" s="25" t="s">
        <v>4</v>
      </c>
      <c r="C14" s="62">
        <f>42048*(1-0.2%)</f>
        <v>41963.904000000002</v>
      </c>
      <c r="D14" s="62">
        <f>5840*(1+0.2%)</f>
        <v>5851.68</v>
      </c>
      <c r="E14" s="62">
        <f t="shared" si="6"/>
        <v>36112.224000000002</v>
      </c>
      <c r="F14" s="62">
        <f>39645*(1-0.2%)</f>
        <v>39565.71</v>
      </c>
      <c r="G14" s="62">
        <f>4820*(1+0.2%)</f>
        <v>4829.6400000000003</v>
      </c>
      <c r="H14" s="62">
        <f t="shared" si="7"/>
        <v>34736.07</v>
      </c>
      <c r="I14" s="62">
        <f>38866*(1-0.2%)</f>
        <v>38788.267999999996</v>
      </c>
      <c r="J14" s="62">
        <f>5267*(1+0.2%)</f>
        <v>5277.5339999999997</v>
      </c>
      <c r="K14" s="62">
        <f t="shared" si="8"/>
        <v>33510.733999999997</v>
      </c>
      <c r="L14" s="62">
        <f>27078*(1-0.2%)</f>
        <v>27023.844000000001</v>
      </c>
      <c r="M14" s="62">
        <f>5840*(1+0.2%)</f>
        <v>5851.68</v>
      </c>
      <c r="N14" s="62">
        <f t="shared" si="9"/>
        <v>21172.164000000001</v>
      </c>
      <c r="O14" s="56">
        <v>186302</v>
      </c>
      <c r="P14" s="56">
        <v>3316</v>
      </c>
      <c r="Q14" s="56">
        <f t="shared" si="10"/>
        <v>182986</v>
      </c>
      <c r="R14" s="56">
        <v>676136</v>
      </c>
      <c r="S14" s="56">
        <v>397</v>
      </c>
      <c r="T14" s="56">
        <f t="shared" si="11"/>
        <v>675739</v>
      </c>
      <c r="U14" s="56">
        <v>867022</v>
      </c>
      <c r="V14" s="56">
        <v>195</v>
      </c>
      <c r="W14" s="56">
        <f t="shared" si="12"/>
        <v>866827</v>
      </c>
      <c r="X14" s="56">
        <v>479875</v>
      </c>
      <c r="Y14" s="56">
        <v>1008</v>
      </c>
      <c r="Z14" s="56">
        <f t="shared" si="13"/>
        <v>478867</v>
      </c>
      <c r="AA14" s="56">
        <v>637867</v>
      </c>
      <c r="AB14" s="56">
        <v>594</v>
      </c>
      <c r="AC14" s="56">
        <f t="shared" si="14"/>
        <v>637273</v>
      </c>
      <c r="AD14" s="56">
        <v>99853</v>
      </c>
      <c r="AE14" s="56">
        <v>5076</v>
      </c>
      <c r="AF14" s="56">
        <f t="shared" si="15"/>
        <v>94777</v>
      </c>
      <c r="AG14" s="56">
        <v>15660</v>
      </c>
      <c r="AH14" s="56">
        <v>6126</v>
      </c>
      <c r="AI14" s="56">
        <f t="shared" si="16"/>
        <v>9534</v>
      </c>
      <c r="AJ14" s="56">
        <v>0</v>
      </c>
      <c r="AK14" s="56">
        <v>0</v>
      </c>
      <c r="AL14" s="56">
        <f t="shared" si="17"/>
        <v>0</v>
      </c>
      <c r="AM14" s="26"/>
      <c r="AN14" s="27"/>
      <c r="AO14" s="23"/>
      <c r="AP14" s="26"/>
      <c r="AQ14" s="27"/>
      <c r="AR14" s="23"/>
      <c r="AS14" s="26"/>
      <c r="AT14" s="27"/>
      <c r="AU14" s="23"/>
    </row>
    <row r="15" spans="1:47" s="24" customFormat="1" x14ac:dyDescent="0.2">
      <c r="A15" s="60">
        <v>59224760312</v>
      </c>
      <c r="B15" s="25" t="s">
        <v>5</v>
      </c>
      <c r="C15" s="63">
        <v>0</v>
      </c>
      <c r="D15" s="63">
        <f>2634*(1+0.2%)</f>
        <v>2639.268</v>
      </c>
      <c r="E15" s="62">
        <v>0</v>
      </c>
      <c r="F15" s="63">
        <v>0</v>
      </c>
      <c r="G15" s="63">
        <f>2406*(1+0.2%)</f>
        <v>2410.8119999999999</v>
      </c>
      <c r="H15" s="62">
        <v>0</v>
      </c>
      <c r="I15" s="63">
        <v>0</v>
      </c>
      <c r="J15" s="63">
        <f>2514*(1+0.2%)</f>
        <v>2519.0279999999998</v>
      </c>
      <c r="K15" s="62">
        <v>0</v>
      </c>
      <c r="L15" s="63">
        <f>384*(1-0.2%)</f>
        <v>383.23199999999997</v>
      </c>
      <c r="M15" s="63">
        <f>3303*(1+0.2%)</f>
        <v>3309.6060000000002</v>
      </c>
      <c r="N15" s="62">
        <v>0</v>
      </c>
      <c r="O15" s="57">
        <v>112725</v>
      </c>
      <c r="P15" s="57">
        <v>2838</v>
      </c>
      <c r="Q15" s="56">
        <f t="shared" si="10"/>
        <v>109887</v>
      </c>
      <c r="R15" s="57">
        <v>653715</v>
      </c>
      <c r="S15" s="57">
        <v>237</v>
      </c>
      <c r="T15" s="56">
        <f t="shared" si="11"/>
        <v>653478</v>
      </c>
      <c r="U15" s="57">
        <v>726714</v>
      </c>
      <c r="V15" s="57">
        <v>771</v>
      </c>
      <c r="W15" s="56">
        <f t="shared" si="12"/>
        <v>725943</v>
      </c>
      <c r="X15" s="57">
        <v>498819</v>
      </c>
      <c r="Y15" s="57">
        <v>945</v>
      </c>
      <c r="Z15" s="56">
        <f t="shared" si="13"/>
        <v>497874</v>
      </c>
      <c r="AA15" s="57">
        <v>663354</v>
      </c>
      <c r="AB15" s="57">
        <v>600</v>
      </c>
      <c r="AC15" s="56">
        <f t="shared" si="14"/>
        <v>662754</v>
      </c>
      <c r="AD15" s="57">
        <v>110505</v>
      </c>
      <c r="AE15" s="57">
        <v>4407</v>
      </c>
      <c r="AF15" s="56">
        <f t="shared" si="15"/>
        <v>106098</v>
      </c>
      <c r="AG15" s="57">
        <v>13500</v>
      </c>
      <c r="AH15" s="57">
        <v>5610</v>
      </c>
      <c r="AI15" s="56">
        <f t="shared" si="16"/>
        <v>7890</v>
      </c>
      <c r="AJ15" s="57">
        <v>43194</v>
      </c>
      <c r="AK15" s="57">
        <v>4863</v>
      </c>
      <c r="AL15" s="56">
        <f t="shared" si="17"/>
        <v>38331</v>
      </c>
      <c r="AM15" s="26"/>
      <c r="AN15" s="27"/>
      <c r="AO15" s="23"/>
      <c r="AP15" s="26"/>
      <c r="AQ15" s="27"/>
      <c r="AR15" s="23"/>
      <c r="AS15" s="26"/>
      <c r="AT15" s="27"/>
      <c r="AU15" s="23"/>
    </row>
    <row r="16" spans="1:47" s="24" customFormat="1" x14ac:dyDescent="0.2">
      <c r="A16" s="60">
        <v>59224760313</v>
      </c>
      <c r="B16" s="25" t="s">
        <v>6</v>
      </c>
      <c r="C16" s="62">
        <v>0</v>
      </c>
      <c r="D16" s="62">
        <f>2816</f>
        <v>2816</v>
      </c>
      <c r="E16" s="62">
        <v>0</v>
      </c>
      <c r="F16" s="62">
        <v>0</v>
      </c>
      <c r="G16" s="62">
        <f>2434*(1+0.2%)</f>
        <v>2438.8679999999999</v>
      </c>
      <c r="H16" s="62">
        <v>0</v>
      </c>
      <c r="I16" s="62">
        <v>0</v>
      </c>
      <c r="J16" s="62">
        <f>2573*(1+0.2%)</f>
        <v>2578.1460000000002</v>
      </c>
      <c r="K16" s="62">
        <v>0</v>
      </c>
      <c r="L16" s="62">
        <f>404*(1-0.2%)</f>
        <v>403.19200000000001</v>
      </c>
      <c r="M16" s="62">
        <f>3320*(1+0.2%)</f>
        <v>3326.64</v>
      </c>
      <c r="N16" s="62">
        <v>0</v>
      </c>
      <c r="O16" s="56">
        <v>138268</v>
      </c>
      <c r="P16" s="56">
        <v>4307</v>
      </c>
      <c r="Q16" s="56">
        <f t="shared" si="10"/>
        <v>133961</v>
      </c>
      <c r="R16" s="56">
        <v>662704</v>
      </c>
      <c r="S16" s="56">
        <v>1045</v>
      </c>
      <c r="T16" s="56">
        <f t="shared" si="11"/>
        <v>661659</v>
      </c>
      <c r="U16" s="56">
        <v>901223</v>
      </c>
      <c r="V16" s="56">
        <v>283</v>
      </c>
      <c r="W16" s="56">
        <f t="shared" si="12"/>
        <v>900940</v>
      </c>
      <c r="X16" s="64">
        <v>577477</v>
      </c>
      <c r="Y16" s="56">
        <v>745</v>
      </c>
      <c r="Z16" s="64">
        <f t="shared" si="13"/>
        <v>576732</v>
      </c>
      <c r="AA16" s="56">
        <v>718946</v>
      </c>
      <c r="AB16" s="56">
        <v>525</v>
      </c>
      <c r="AC16" s="56">
        <f t="shared" si="14"/>
        <v>718421</v>
      </c>
      <c r="AD16" s="56">
        <v>127674</v>
      </c>
      <c r="AE16" s="56">
        <v>5461</v>
      </c>
      <c r="AF16" s="56">
        <f t="shared" si="15"/>
        <v>122213</v>
      </c>
      <c r="AG16" s="56">
        <v>15674</v>
      </c>
      <c r="AH16" s="56">
        <v>6661</v>
      </c>
      <c r="AI16" s="56">
        <f t="shared" si="16"/>
        <v>9013</v>
      </c>
      <c r="AJ16" s="56">
        <v>52448</v>
      </c>
      <c r="AK16" s="56">
        <v>5977</v>
      </c>
      <c r="AL16" s="56">
        <f t="shared" si="17"/>
        <v>46471</v>
      </c>
      <c r="AM16" s="26"/>
      <c r="AN16" s="27"/>
      <c r="AO16" s="23"/>
      <c r="AP16" s="26"/>
      <c r="AQ16" s="27"/>
      <c r="AR16" s="23"/>
      <c r="AS16" s="26"/>
      <c r="AT16" s="27"/>
      <c r="AU16" s="23"/>
    </row>
    <row r="17" spans="1:47" s="24" customFormat="1" x14ac:dyDescent="0.2">
      <c r="A17" s="60">
        <v>59224760314</v>
      </c>
      <c r="B17" s="25" t="s">
        <v>7</v>
      </c>
      <c r="C17" s="63">
        <f>41775*(1-0.2%)</f>
        <v>41691.449999999997</v>
      </c>
      <c r="D17" s="63">
        <f>6111*(1+0.2%)</f>
        <v>6123.2219999999998</v>
      </c>
      <c r="E17" s="62">
        <f t="shared" si="6"/>
        <v>35568.227999999996</v>
      </c>
      <c r="F17" s="63">
        <f>37176*(1-0.2%)</f>
        <v>37101.648000000001</v>
      </c>
      <c r="G17" s="63">
        <f>5143*(1+0.2%)</f>
        <v>5153.2860000000001</v>
      </c>
      <c r="H17" s="62">
        <f t="shared" si="7"/>
        <v>31948.362000000001</v>
      </c>
      <c r="I17" s="63">
        <f>45276*(1-0.2%)</f>
        <v>45185.447999999997</v>
      </c>
      <c r="J17" s="63">
        <f>5873*(1+0.2%)</f>
        <v>5884.7460000000001</v>
      </c>
      <c r="K17" s="62">
        <f t="shared" si="8"/>
        <v>39300.701999999997</v>
      </c>
      <c r="L17" s="63">
        <f>37085*(1-0.2%)</f>
        <v>37010.83</v>
      </c>
      <c r="M17" s="63">
        <f>6012*(1+0.2%)</f>
        <v>6024.0240000000003</v>
      </c>
      <c r="N17" s="62">
        <f t="shared" si="9"/>
        <v>30986.806</v>
      </c>
      <c r="O17" s="57">
        <v>243980</v>
      </c>
      <c r="P17" s="57">
        <v>3623</v>
      </c>
      <c r="Q17" s="56">
        <f t="shared" si="10"/>
        <v>240357</v>
      </c>
      <c r="R17" s="57">
        <v>770186</v>
      </c>
      <c r="S17" s="57">
        <v>543</v>
      </c>
      <c r="T17" s="56">
        <f t="shared" si="11"/>
        <v>769643</v>
      </c>
      <c r="U17" s="57">
        <v>943509</v>
      </c>
      <c r="V17" s="57">
        <v>232</v>
      </c>
      <c r="W17" s="56">
        <f t="shared" si="12"/>
        <v>943277</v>
      </c>
      <c r="X17" s="57">
        <v>569134</v>
      </c>
      <c r="Y17" s="57">
        <v>981</v>
      </c>
      <c r="Z17" s="56">
        <f t="shared" si="13"/>
        <v>568153</v>
      </c>
      <c r="AA17" s="57">
        <v>245314</v>
      </c>
      <c r="AB17" s="57">
        <v>3720</v>
      </c>
      <c r="AC17" s="56">
        <f t="shared" si="14"/>
        <v>241594</v>
      </c>
      <c r="AD17" s="57">
        <v>49153</v>
      </c>
      <c r="AE17" s="57">
        <v>6282</v>
      </c>
      <c r="AF17" s="56">
        <f t="shared" si="15"/>
        <v>42871</v>
      </c>
      <c r="AG17" s="57">
        <v>19230</v>
      </c>
      <c r="AH17" s="57">
        <v>7650</v>
      </c>
      <c r="AI17" s="56">
        <f t="shared" si="16"/>
        <v>11580</v>
      </c>
      <c r="AJ17" s="57">
        <v>61170</v>
      </c>
      <c r="AK17" s="57">
        <v>6780</v>
      </c>
      <c r="AL17" s="56">
        <f t="shared" si="17"/>
        <v>54390</v>
      </c>
      <c r="AM17" s="26"/>
      <c r="AN17" s="27"/>
      <c r="AO17" s="23"/>
      <c r="AP17" s="26"/>
      <c r="AQ17" s="27"/>
      <c r="AR17" s="23"/>
      <c r="AS17" s="26"/>
      <c r="AT17" s="27"/>
      <c r="AU17" s="23"/>
    </row>
    <row r="18" spans="1:47" s="24" customFormat="1" x14ac:dyDescent="0.2">
      <c r="A18" s="60">
        <v>59224760315</v>
      </c>
      <c r="B18" s="25" t="s">
        <v>8</v>
      </c>
      <c r="C18" s="62">
        <f>40443*(1-0.2%)</f>
        <v>40362.114000000001</v>
      </c>
      <c r="D18" s="62">
        <f>6582*(1+0.2%)</f>
        <v>6595.1639999999998</v>
      </c>
      <c r="E18" s="62">
        <f t="shared" si="6"/>
        <v>33766.950000000004</v>
      </c>
      <c r="F18" s="62">
        <f>34902*(1-0.2%)</f>
        <v>34832.196000000004</v>
      </c>
      <c r="G18" s="62">
        <f>5406*(1+0.2%)</f>
        <v>5416.8119999999999</v>
      </c>
      <c r="H18" s="62">
        <f t="shared" si="7"/>
        <v>29415.384000000005</v>
      </c>
      <c r="I18" s="62">
        <f>35886*(1-0.2%)</f>
        <v>35814.228000000003</v>
      </c>
      <c r="J18" s="62">
        <f>5823*(1+0.2%)</f>
        <v>5834.6459999999997</v>
      </c>
      <c r="K18" s="62">
        <f t="shared" si="8"/>
        <v>29979.582000000002</v>
      </c>
      <c r="L18" s="62">
        <f>41259*(1-0.2%)</f>
        <v>41176.481999999996</v>
      </c>
      <c r="M18" s="62">
        <f>5994*(1+0.2%)</f>
        <v>6005.9880000000003</v>
      </c>
      <c r="N18" s="62">
        <f t="shared" si="9"/>
        <v>35170.493999999999</v>
      </c>
      <c r="O18" s="56">
        <v>118668</v>
      </c>
      <c r="P18" s="56">
        <v>4425</v>
      </c>
      <c r="Q18" s="56">
        <f t="shared" si="10"/>
        <v>114243</v>
      </c>
      <c r="R18" s="56">
        <v>532101</v>
      </c>
      <c r="S18" s="56">
        <v>1689</v>
      </c>
      <c r="T18" s="56">
        <f t="shared" si="11"/>
        <v>530412</v>
      </c>
      <c r="U18" s="56">
        <v>913512</v>
      </c>
      <c r="V18" s="56">
        <v>162</v>
      </c>
      <c r="W18" s="56">
        <f t="shared" si="12"/>
        <v>913350</v>
      </c>
      <c r="X18" s="56">
        <v>517512</v>
      </c>
      <c r="Y18" s="56">
        <v>822</v>
      </c>
      <c r="Z18" s="56">
        <f t="shared" si="13"/>
        <v>516690</v>
      </c>
      <c r="AA18" s="56">
        <v>690924</v>
      </c>
      <c r="AB18" s="56">
        <v>474</v>
      </c>
      <c r="AC18" s="56">
        <f t="shared" si="14"/>
        <v>690450</v>
      </c>
      <c r="AD18" s="56">
        <v>103440</v>
      </c>
      <c r="AE18" s="56">
        <v>5097</v>
      </c>
      <c r="AF18" s="56">
        <f t="shared" si="15"/>
        <v>98343</v>
      </c>
      <c r="AG18" s="56">
        <v>12675</v>
      </c>
      <c r="AH18" s="56">
        <v>6201</v>
      </c>
      <c r="AI18" s="56">
        <f t="shared" si="16"/>
        <v>6474</v>
      </c>
      <c r="AJ18" s="56">
        <v>54960</v>
      </c>
      <c r="AK18" s="56">
        <v>5274</v>
      </c>
      <c r="AL18" s="56">
        <f t="shared" si="17"/>
        <v>49686</v>
      </c>
      <c r="AM18" s="26"/>
      <c r="AN18" s="27"/>
      <c r="AO18" s="23"/>
      <c r="AP18" s="26"/>
      <c r="AQ18" s="27"/>
      <c r="AR18" s="23"/>
      <c r="AS18" s="26"/>
      <c r="AT18" s="27"/>
      <c r="AU18" s="23"/>
    </row>
    <row r="19" spans="1:47" s="24" customFormat="1" x14ac:dyDescent="0.2">
      <c r="A19" s="60">
        <v>59224760316</v>
      </c>
      <c r="B19" s="25" t="s">
        <v>9</v>
      </c>
      <c r="C19" s="63">
        <f>38673*(1-0.2%)</f>
        <v>38595.654000000002</v>
      </c>
      <c r="D19" s="63">
        <f>6099*(1+0.2%)</f>
        <v>6111.1980000000003</v>
      </c>
      <c r="E19" s="62">
        <f t="shared" si="6"/>
        <v>32484.456000000002</v>
      </c>
      <c r="F19" s="63">
        <f>35133*(1-0.2%)</f>
        <v>35062.733999999997</v>
      </c>
      <c r="G19" s="63">
        <f>4986*(1+0.2%)</f>
        <v>4995.9719999999998</v>
      </c>
      <c r="H19" s="62">
        <f t="shared" si="7"/>
        <v>30066.761999999995</v>
      </c>
      <c r="I19" s="63">
        <f>37638*(1-0.2%)</f>
        <v>37562.724000000002</v>
      </c>
      <c r="J19" s="63">
        <f>5457*(1+0.2%)</f>
        <v>5467.9139999999998</v>
      </c>
      <c r="K19" s="62">
        <f t="shared" si="8"/>
        <v>32094.81</v>
      </c>
      <c r="L19" s="63">
        <f>36027*(1-0.2%)</f>
        <v>35954.946000000004</v>
      </c>
      <c r="M19" s="63">
        <f>5757*(1+0.2%)</f>
        <v>5768.5140000000001</v>
      </c>
      <c r="N19" s="62">
        <f t="shared" si="9"/>
        <v>30186.432000000004</v>
      </c>
      <c r="O19" s="57">
        <v>259413</v>
      </c>
      <c r="P19" s="57">
        <v>2985</v>
      </c>
      <c r="Q19" s="56">
        <f t="shared" si="10"/>
        <v>256428</v>
      </c>
      <c r="R19" s="57">
        <v>761316</v>
      </c>
      <c r="S19" s="57">
        <v>315</v>
      </c>
      <c r="T19" s="56">
        <f t="shared" si="11"/>
        <v>761001</v>
      </c>
      <c r="U19" s="57">
        <v>904944</v>
      </c>
      <c r="V19" s="57">
        <v>279</v>
      </c>
      <c r="W19" s="56">
        <f t="shared" si="12"/>
        <v>904665</v>
      </c>
      <c r="X19" s="57">
        <v>602319</v>
      </c>
      <c r="Y19" s="57">
        <v>732</v>
      </c>
      <c r="Z19" s="56">
        <f t="shared" si="13"/>
        <v>601587</v>
      </c>
      <c r="AA19" s="57">
        <v>691530</v>
      </c>
      <c r="AB19" s="57">
        <v>693</v>
      </c>
      <c r="AC19" s="56">
        <f t="shared" si="14"/>
        <v>690837</v>
      </c>
      <c r="AD19" s="57">
        <v>101016</v>
      </c>
      <c r="AE19" s="57">
        <v>6123</v>
      </c>
      <c r="AF19" s="56">
        <f t="shared" si="15"/>
        <v>94893</v>
      </c>
      <c r="AG19" s="57">
        <v>13455</v>
      </c>
      <c r="AH19" s="57">
        <v>7341</v>
      </c>
      <c r="AI19" s="56">
        <f t="shared" si="16"/>
        <v>6114</v>
      </c>
      <c r="AJ19" s="57">
        <v>42867</v>
      </c>
      <c r="AK19" s="57">
        <v>6375</v>
      </c>
      <c r="AL19" s="56">
        <f t="shared" si="17"/>
        <v>36492</v>
      </c>
      <c r="AM19" s="26"/>
      <c r="AN19" s="27"/>
      <c r="AO19" s="23"/>
      <c r="AP19" s="26"/>
      <c r="AQ19" s="27"/>
      <c r="AR19" s="23"/>
      <c r="AS19" s="26"/>
      <c r="AT19" s="27"/>
      <c r="AU19" s="23"/>
    </row>
    <row r="20" spans="1:47" s="24" customFormat="1" ht="16.25" customHeight="1" x14ac:dyDescent="0.2">
      <c r="A20" s="60">
        <v>59224760317</v>
      </c>
      <c r="B20" s="25" t="s">
        <v>10</v>
      </c>
      <c r="C20" s="62">
        <f>33465*(1-0.2%)</f>
        <v>33398.07</v>
      </c>
      <c r="D20" s="62">
        <f>6879*(1+0.2%)</f>
        <v>6892.7579999999998</v>
      </c>
      <c r="E20" s="62">
        <f t="shared" si="6"/>
        <v>26505.311999999998</v>
      </c>
      <c r="F20" s="62">
        <f>31962*(1-0.2%)</f>
        <v>31898.076000000001</v>
      </c>
      <c r="G20" s="62">
        <f>4935*(1+0.2%)</f>
        <v>4944.87</v>
      </c>
      <c r="H20" s="62">
        <f t="shared" si="7"/>
        <v>26953.206000000002</v>
      </c>
      <c r="I20" s="62">
        <f>42135*(1-0.2%)</f>
        <v>42050.73</v>
      </c>
      <c r="J20" s="62">
        <f>5595*(1+0.2%)</f>
        <v>5606.19</v>
      </c>
      <c r="K20" s="62">
        <f t="shared" si="8"/>
        <v>36444.54</v>
      </c>
      <c r="L20" s="62">
        <f>34296*(1-0.2%)</f>
        <v>34227.408000000003</v>
      </c>
      <c r="M20" s="62">
        <f>6489*(1+0.2%)</f>
        <v>6501.9780000000001</v>
      </c>
      <c r="N20" s="62">
        <f t="shared" si="9"/>
        <v>27725.430000000004</v>
      </c>
      <c r="O20" s="56">
        <v>248868</v>
      </c>
      <c r="P20" s="56">
        <v>3336</v>
      </c>
      <c r="Q20" s="56">
        <f t="shared" si="10"/>
        <v>245532</v>
      </c>
      <c r="R20" s="56">
        <v>772314</v>
      </c>
      <c r="S20" s="56">
        <v>174</v>
      </c>
      <c r="T20" s="56">
        <f t="shared" si="11"/>
        <v>772140</v>
      </c>
      <c r="U20" s="56">
        <v>917832</v>
      </c>
      <c r="V20" s="56">
        <v>201</v>
      </c>
      <c r="W20" s="56">
        <f t="shared" si="12"/>
        <v>917631</v>
      </c>
      <c r="X20" s="56">
        <v>590589</v>
      </c>
      <c r="Y20" s="56">
        <v>1023</v>
      </c>
      <c r="Z20" s="56">
        <f t="shared" si="13"/>
        <v>589566</v>
      </c>
      <c r="AA20" s="56">
        <v>641691</v>
      </c>
      <c r="AB20" s="56">
        <v>627</v>
      </c>
      <c r="AC20" s="56">
        <f t="shared" si="14"/>
        <v>641064</v>
      </c>
      <c r="AD20" s="56">
        <v>100224</v>
      </c>
      <c r="AE20" s="56">
        <v>4995</v>
      </c>
      <c r="AF20" s="56">
        <f t="shared" si="15"/>
        <v>95229</v>
      </c>
      <c r="AG20" s="56">
        <v>13827</v>
      </c>
      <c r="AH20" s="56">
        <v>5685</v>
      </c>
      <c r="AI20" s="56">
        <f t="shared" si="16"/>
        <v>8142</v>
      </c>
      <c r="AJ20" s="56">
        <v>31482</v>
      </c>
      <c r="AK20" s="56">
        <v>4560</v>
      </c>
      <c r="AL20" s="56">
        <f t="shared" si="17"/>
        <v>26922</v>
      </c>
      <c r="AM20" s="26"/>
      <c r="AN20" s="27"/>
      <c r="AO20" s="23"/>
      <c r="AP20" s="26"/>
      <c r="AQ20" s="27"/>
      <c r="AR20" s="23"/>
      <c r="AS20" s="26"/>
      <c r="AT20" s="27"/>
      <c r="AU20" s="23"/>
    </row>
    <row r="21" spans="1:47" s="24" customFormat="1" x14ac:dyDescent="0.2">
      <c r="A21" s="60">
        <v>59224760318</v>
      </c>
      <c r="B21" s="25" t="s">
        <v>11</v>
      </c>
      <c r="C21" s="63">
        <f>22806*(1-0.2%)</f>
        <v>22760.387999999999</v>
      </c>
      <c r="D21" s="63">
        <f>6255*(1+0.2%)</f>
        <v>6267.51</v>
      </c>
      <c r="E21" s="62">
        <f t="shared" si="6"/>
        <v>16492.877999999997</v>
      </c>
      <c r="F21" s="63">
        <f>26802*(1-0.2%)</f>
        <v>26748.396000000001</v>
      </c>
      <c r="G21" s="63">
        <f>5385*(1+0.2%)</f>
        <v>5395.77</v>
      </c>
      <c r="H21" s="62">
        <f t="shared" si="7"/>
        <v>21352.626</v>
      </c>
      <c r="I21" s="63">
        <f>26259*(1-0.2%)</f>
        <v>26206.482</v>
      </c>
      <c r="J21" s="63">
        <f>5451*(1+0.2%)</f>
        <v>5461.902</v>
      </c>
      <c r="K21" s="62">
        <f t="shared" si="8"/>
        <v>20744.580000000002</v>
      </c>
      <c r="L21" s="63">
        <f>41775*(1-0.2%)</f>
        <v>41691.449999999997</v>
      </c>
      <c r="M21" s="63">
        <f>6282*(1+0.2%)</f>
        <v>6294.5640000000003</v>
      </c>
      <c r="N21" s="62">
        <f t="shared" si="9"/>
        <v>35396.885999999999</v>
      </c>
      <c r="O21" s="57">
        <v>224136</v>
      </c>
      <c r="P21" s="57">
        <v>3222</v>
      </c>
      <c r="Q21" s="56">
        <f t="shared" si="10"/>
        <v>220914</v>
      </c>
      <c r="R21" s="57">
        <v>800475</v>
      </c>
      <c r="S21" s="57">
        <v>138</v>
      </c>
      <c r="T21" s="56">
        <f t="shared" si="11"/>
        <v>800337</v>
      </c>
      <c r="U21" s="57">
        <v>799125</v>
      </c>
      <c r="V21" s="57">
        <v>594</v>
      </c>
      <c r="W21" s="56">
        <f t="shared" si="12"/>
        <v>798531</v>
      </c>
      <c r="X21" s="57">
        <v>493413</v>
      </c>
      <c r="Y21" s="57">
        <v>1206</v>
      </c>
      <c r="Z21" s="56">
        <f t="shared" si="13"/>
        <v>492207</v>
      </c>
      <c r="AA21" s="57">
        <v>491661</v>
      </c>
      <c r="AB21" s="57">
        <v>1251</v>
      </c>
      <c r="AC21" s="56">
        <f t="shared" si="14"/>
        <v>490410</v>
      </c>
      <c r="AD21" s="57">
        <v>86394</v>
      </c>
      <c r="AE21" s="57">
        <v>5745</v>
      </c>
      <c r="AF21" s="56">
        <f t="shared" si="15"/>
        <v>80649</v>
      </c>
      <c r="AG21" s="57">
        <v>14679</v>
      </c>
      <c r="AH21" s="57">
        <v>6726</v>
      </c>
      <c r="AI21" s="56">
        <f t="shared" si="16"/>
        <v>7953</v>
      </c>
      <c r="AJ21" s="57">
        <v>32754</v>
      </c>
      <c r="AK21" s="57">
        <v>5481</v>
      </c>
      <c r="AL21" s="56">
        <f t="shared" si="17"/>
        <v>27273</v>
      </c>
      <c r="AM21" s="26"/>
      <c r="AN21" s="27"/>
      <c r="AO21" s="23"/>
      <c r="AP21" s="26"/>
      <c r="AQ21" s="27"/>
      <c r="AR21" s="23"/>
      <c r="AS21" s="26"/>
      <c r="AT21" s="27"/>
      <c r="AU21" s="23"/>
    </row>
    <row r="22" spans="1:47" s="24" customFormat="1" x14ac:dyDescent="0.2">
      <c r="A22" s="60">
        <v>59224760319</v>
      </c>
      <c r="B22" s="25" t="s">
        <v>12</v>
      </c>
      <c r="C22" s="62">
        <f>32991*(1-0.2%)</f>
        <v>32925.017999999996</v>
      </c>
      <c r="D22" s="62">
        <f>5664*(1+0.2%)</f>
        <v>5675.3280000000004</v>
      </c>
      <c r="E22" s="62">
        <f t="shared" si="6"/>
        <v>27249.689999999995</v>
      </c>
      <c r="F22" s="62">
        <f>30252*(1-0.2%)</f>
        <v>30191.495999999999</v>
      </c>
      <c r="G22" s="62">
        <f>4767*(1+0.2%)</f>
        <v>4776.5339999999997</v>
      </c>
      <c r="H22" s="62">
        <f t="shared" si="7"/>
        <v>25414.962</v>
      </c>
      <c r="I22" s="62">
        <f>37767*(1-0.2%)</f>
        <v>37691.466</v>
      </c>
      <c r="J22" s="62">
        <f>5304*(1+0.2%)</f>
        <v>5314.6080000000002</v>
      </c>
      <c r="K22" s="62">
        <f t="shared" si="8"/>
        <v>32376.858</v>
      </c>
      <c r="L22" s="62">
        <f>34770*(1-0.2%)</f>
        <v>34700.46</v>
      </c>
      <c r="M22" s="62">
        <f>5574*(1+0.2%)</f>
        <v>5585.1480000000001</v>
      </c>
      <c r="N22" s="62">
        <f t="shared" si="9"/>
        <v>29115.311999999998</v>
      </c>
      <c r="O22" s="56">
        <v>218382</v>
      </c>
      <c r="P22" s="56">
        <v>2904</v>
      </c>
      <c r="Q22" s="56">
        <f t="shared" si="10"/>
        <v>215478</v>
      </c>
      <c r="R22" s="56">
        <v>763545</v>
      </c>
      <c r="S22" s="56">
        <v>342</v>
      </c>
      <c r="T22" s="56">
        <f t="shared" si="11"/>
        <v>763203</v>
      </c>
      <c r="U22" s="56">
        <v>920874</v>
      </c>
      <c r="V22" s="56">
        <v>234</v>
      </c>
      <c r="W22" s="56">
        <f t="shared" si="12"/>
        <v>920640</v>
      </c>
      <c r="X22" s="56">
        <v>596271</v>
      </c>
      <c r="Y22" s="56">
        <v>867</v>
      </c>
      <c r="Z22" s="56">
        <f t="shared" si="13"/>
        <v>595404</v>
      </c>
      <c r="AA22" s="56">
        <v>648291</v>
      </c>
      <c r="AB22" s="56">
        <v>693</v>
      </c>
      <c r="AC22" s="56">
        <f t="shared" si="14"/>
        <v>647598</v>
      </c>
      <c r="AD22" s="56">
        <v>92424</v>
      </c>
      <c r="AE22" s="56">
        <v>5118</v>
      </c>
      <c r="AF22" s="56">
        <f t="shared" si="15"/>
        <v>87306</v>
      </c>
      <c r="AG22" s="56">
        <v>14229</v>
      </c>
      <c r="AH22" s="56">
        <v>5955</v>
      </c>
      <c r="AI22" s="56">
        <f t="shared" si="16"/>
        <v>8274</v>
      </c>
      <c r="AJ22" s="56">
        <v>38868</v>
      </c>
      <c r="AK22" s="56">
        <v>5007</v>
      </c>
      <c r="AL22" s="56">
        <f t="shared" si="17"/>
        <v>33861</v>
      </c>
      <c r="AM22" s="26"/>
      <c r="AN22" s="27"/>
      <c r="AO22" s="23"/>
      <c r="AP22" s="26"/>
      <c r="AQ22" s="27"/>
      <c r="AR22" s="23"/>
      <c r="AS22" s="26"/>
      <c r="AT22" s="27"/>
      <c r="AU22" s="23"/>
    </row>
    <row r="23" spans="1:47" s="24" customFormat="1" x14ac:dyDescent="0.2">
      <c r="A23" s="65">
        <v>59224760320</v>
      </c>
      <c r="B23" s="25" t="s">
        <v>13</v>
      </c>
      <c r="C23" s="63">
        <f>31526*(1-0.2%)</f>
        <v>31462.948</v>
      </c>
      <c r="D23" s="63">
        <f>5649*(1+0.2%)</f>
        <v>5660.2979999999998</v>
      </c>
      <c r="E23" s="62">
        <f t="shared" si="6"/>
        <v>25802.65</v>
      </c>
      <c r="F23" s="63">
        <f>26201*(1-0.2%)</f>
        <v>26148.597999999998</v>
      </c>
      <c r="G23" s="63">
        <f>4738*(1+0.2%)</f>
        <v>4747.4759999999997</v>
      </c>
      <c r="H23" s="62">
        <f t="shared" si="7"/>
        <v>21401.121999999999</v>
      </c>
      <c r="I23" s="63">
        <f>29549*(1-0.2%)</f>
        <v>29489.901999999998</v>
      </c>
      <c r="J23" s="63">
        <f>5333*(1+0.2%)</f>
        <v>5343.6660000000002</v>
      </c>
      <c r="K23" s="62">
        <f t="shared" si="8"/>
        <v>24146.235999999997</v>
      </c>
      <c r="L23" s="63">
        <f>31488*(1-0.2%)</f>
        <v>31425.024000000001</v>
      </c>
      <c r="M23" s="63">
        <f>5566*(1+0.2%)</f>
        <v>5577.1319999999996</v>
      </c>
      <c r="N23" s="62">
        <f t="shared" si="9"/>
        <v>25847.892</v>
      </c>
      <c r="O23" s="57">
        <v>183912</v>
      </c>
      <c r="P23" s="57">
        <v>2916</v>
      </c>
      <c r="Q23" s="56">
        <f t="shared" si="10"/>
        <v>180996</v>
      </c>
      <c r="R23" s="57">
        <v>699137</v>
      </c>
      <c r="S23" s="57">
        <v>138</v>
      </c>
      <c r="T23" s="56">
        <f t="shared" si="11"/>
        <v>698999</v>
      </c>
      <c r="U23" s="57">
        <v>840065</v>
      </c>
      <c r="V23" s="57">
        <v>285</v>
      </c>
      <c r="W23" s="56">
        <f t="shared" si="12"/>
        <v>839780</v>
      </c>
      <c r="X23" s="57">
        <v>519713</v>
      </c>
      <c r="Y23" s="57">
        <v>905</v>
      </c>
      <c r="Z23" s="56">
        <f t="shared" si="13"/>
        <v>518808</v>
      </c>
      <c r="AA23" s="57">
        <v>583217</v>
      </c>
      <c r="AB23" s="57">
        <v>641</v>
      </c>
      <c r="AC23" s="56">
        <f t="shared" si="14"/>
        <v>582576</v>
      </c>
      <c r="AD23" s="57">
        <v>82764</v>
      </c>
      <c r="AE23" s="57">
        <v>4983</v>
      </c>
      <c r="AF23" s="56">
        <f t="shared" si="15"/>
        <v>77781</v>
      </c>
      <c r="AG23" s="57">
        <v>14806</v>
      </c>
      <c r="AH23" s="57">
        <v>5954</v>
      </c>
      <c r="AI23" s="56">
        <f t="shared" si="16"/>
        <v>8852</v>
      </c>
      <c r="AJ23" s="57">
        <v>33487</v>
      </c>
      <c r="AK23" s="57">
        <v>4881</v>
      </c>
      <c r="AL23" s="56">
        <f t="shared" si="17"/>
        <v>28606</v>
      </c>
      <c r="AM23" s="26"/>
      <c r="AN23" s="27"/>
      <c r="AO23" s="23"/>
      <c r="AP23" s="26"/>
      <c r="AQ23" s="27"/>
      <c r="AR23" s="23"/>
      <c r="AS23" s="26"/>
      <c r="AT23" s="27"/>
      <c r="AU23" s="23"/>
    </row>
    <row r="24" spans="1:47" s="24" customFormat="1" ht="16" thickBot="1" x14ac:dyDescent="0.25">
      <c r="A24" s="60">
        <v>59224760321</v>
      </c>
      <c r="B24" s="28" t="s">
        <v>14</v>
      </c>
      <c r="C24" s="62">
        <f>36365*(1-0.2%)</f>
        <v>36292.269999999997</v>
      </c>
      <c r="D24" s="62">
        <f>6135*(1+0.2%)</f>
        <v>6147.27</v>
      </c>
      <c r="E24" s="62">
        <f t="shared" si="6"/>
        <v>30144.999999999996</v>
      </c>
      <c r="F24" s="62">
        <f>28245*(1-0.2%)</f>
        <v>28188.51</v>
      </c>
      <c r="G24" s="62">
        <f>5145*(1+0.2%)</f>
        <v>5155.29</v>
      </c>
      <c r="H24" s="62">
        <f t="shared" si="7"/>
        <v>23033.219999999998</v>
      </c>
      <c r="I24" s="62">
        <f>33009*(1-0.2%)</f>
        <v>32942.981999999996</v>
      </c>
      <c r="J24" s="62">
        <f>5705*(1+0.2%)</f>
        <v>5716.41</v>
      </c>
      <c r="K24" s="62">
        <v>27576</v>
      </c>
      <c r="L24" s="62">
        <f>22875*(1-0.2%)</f>
        <v>22829.25</v>
      </c>
      <c r="M24" s="62">
        <f>6163*(1+0.2%)</f>
        <v>6175.326</v>
      </c>
      <c r="N24" s="62">
        <v>16712</v>
      </c>
      <c r="O24" s="56">
        <v>0</v>
      </c>
      <c r="P24" s="56">
        <v>3221</v>
      </c>
      <c r="Q24" s="56">
        <v>0</v>
      </c>
      <c r="R24" s="56">
        <v>506437</v>
      </c>
      <c r="S24" s="56">
        <v>1183</v>
      </c>
      <c r="T24" s="56">
        <f t="shared" si="11"/>
        <v>505254</v>
      </c>
      <c r="U24" s="56">
        <v>790790</v>
      </c>
      <c r="V24" s="56">
        <v>525</v>
      </c>
      <c r="W24" s="56">
        <f t="shared" si="12"/>
        <v>790265</v>
      </c>
      <c r="X24" s="56">
        <v>478675</v>
      </c>
      <c r="Y24" s="56">
        <v>1285</v>
      </c>
      <c r="Z24" s="56">
        <f t="shared" si="13"/>
        <v>477390</v>
      </c>
      <c r="AA24" s="56">
        <v>543854</v>
      </c>
      <c r="AB24" s="56">
        <v>958</v>
      </c>
      <c r="AC24" s="56">
        <f t="shared" si="14"/>
        <v>542896</v>
      </c>
      <c r="AD24" s="56">
        <v>78336</v>
      </c>
      <c r="AE24" s="56">
        <v>5278</v>
      </c>
      <c r="AF24" s="56">
        <f t="shared" si="15"/>
        <v>73058</v>
      </c>
      <c r="AG24" s="56">
        <v>8354</v>
      </c>
      <c r="AH24" s="56">
        <v>5551</v>
      </c>
      <c r="AI24" s="56">
        <f t="shared" si="16"/>
        <v>2803</v>
      </c>
      <c r="AJ24" s="56">
        <v>35390</v>
      </c>
      <c r="AK24" s="56">
        <v>4737</v>
      </c>
      <c r="AL24" s="56">
        <f t="shared" si="17"/>
        <v>30653</v>
      </c>
      <c r="AM24" s="29"/>
      <c r="AN24" s="30"/>
      <c r="AO24" s="31"/>
      <c r="AP24" s="29"/>
      <c r="AQ24" s="30"/>
      <c r="AR24" s="31"/>
      <c r="AS24" s="29"/>
      <c r="AT24" s="30"/>
      <c r="AU24" s="31"/>
    </row>
    <row r="25" spans="1:47" s="24" customFormat="1" ht="16" thickBot="1" x14ac:dyDescent="0.25">
      <c r="A25" s="32" t="s">
        <v>15</v>
      </c>
      <c r="B25" s="32"/>
      <c r="C25" s="33">
        <f t="shared" ref="C25:AL25" si="18">SUM(C10:C24)</f>
        <v>435138.97799999994</v>
      </c>
      <c r="D25" s="33">
        <f t="shared" si="18"/>
        <v>84413.87</v>
      </c>
      <c r="E25" s="34">
        <f t="shared" si="18"/>
        <v>358895.21600000007</v>
      </c>
      <c r="F25" s="33">
        <f t="shared" si="18"/>
        <v>390387.82399999996</v>
      </c>
      <c r="G25" s="33">
        <f t="shared" si="18"/>
        <v>68429.126000000004</v>
      </c>
      <c r="H25" s="34">
        <f t="shared" si="18"/>
        <v>329193.37799999991</v>
      </c>
      <c r="I25" s="33">
        <f t="shared" si="18"/>
        <v>446733.29400000005</v>
      </c>
      <c r="J25" s="33">
        <f t="shared" si="18"/>
        <v>75882.394</v>
      </c>
      <c r="K25" s="34">
        <f t="shared" si="18"/>
        <v>378765.50199999998</v>
      </c>
      <c r="L25" s="33">
        <f t="shared" si="18"/>
        <v>413823.29000000004</v>
      </c>
      <c r="M25" s="33">
        <f t="shared" si="18"/>
        <v>80757.167999999991</v>
      </c>
      <c r="N25" s="34">
        <f t="shared" si="18"/>
        <v>341416.01999999996</v>
      </c>
      <c r="O25" s="33">
        <f t="shared" si="18"/>
        <v>2518298</v>
      </c>
      <c r="P25" s="33">
        <f t="shared" si="18"/>
        <v>51941</v>
      </c>
      <c r="Q25" s="34">
        <f t="shared" si="18"/>
        <v>2472610</v>
      </c>
      <c r="R25" s="33">
        <f t="shared" si="18"/>
        <v>9549373</v>
      </c>
      <c r="S25" s="33">
        <f t="shared" si="18"/>
        <v>11593</v>
      </c>
      <c r="T25" s="34">
        <f t="shared" si="18"/>
        <v>9540512</v>
      </c>
      <c r="U25" s="33">
        <f t="shared" si="18"/>
        <v>12086148</v>
      </c>
      <c r="V25" s="33">
        <f t="shared" si="18"/>
        <v>8082</v>
      </c>
      <c r="W25" s="34">
        <f t="shared" si="18"/>
        <v>12080841</v>
      </c>
      <c r="X25" s="33">
        <f t="shared" si="18"/>
        <v>7394155</v>
      </c>
      <c r="Y25" s="33">
        <f t="shared" si="18"/>
        <v>16210</v>
      </c>
      <c r="Z25" s="34">
        <f t="shared" si="18"/>
        <v>7379250</v>
      </c>
      <c r="AA25" s="33">
        <f t="shared" si="18"/>
        <v>8529828</v>
      </c>
      <c r="AB25" s="33">
        <f t="shared" si="18"/>
        <v>16176</v>
      </c>
      <c r="AC25" s="34">
        <f t="shared" si="18"/>
        <v>8516412</v>
      </c>
      <c r="AD25" s="33">
        <f t="shared" si="18"/>
        <v>1362377</v>
      </c>
      <c r="AE25" s="33">
        <f t="shared" si="18"/>
        <v>78992</v>
      </c>
      <c r="AF25" s="34">
        <f t="shared" si="18"/>
        <v>1283385</v>
      </c>
      <c r="AG25" s="33">
        <f t="shared" si="18"/>
        <v>206765</v>
      </c>
      <c r="AH25" s="33">
        <f t="shared" si="18"/>
        <v>94831</v>
      </c>
      <c r="AI25" s="34">
        <f t="shared" si="18"/>
        <v>111934</v>
      </c>
      <c r="AJ25" s="33">
        <f t="shared" si="18"/>
        <v>603584</v>
      </c>
      <c r="AK25" s="33">
        <f t="shared" si="18"/>
        <v>77135</v>
      </c>
      <c r="AL25" s="34">
        <f t="shared" si="18"/>
        <v>526449</v>
      </c>
      <c r="AM25" s="33"/>
      <c r="AN25" s="33"/>
      <c r="AO25" s="34"/>
      <c r="AP25" s="33"/>
      <c r="AQ25" s="33"/>
      <c r="AR25" s="34"/>
      <c r="AS25" s="33"/>
      <c r="AT25" s="33"/>
      <c r="AU25" s="34"/>
    </row>
    <row r="26" spans="1:47" ht="14.5" customHeight="1" x14ac:dyDescent="0.2">
      <c r="A26" s="54"/>
      <c r="B26" s="54"/>
      <c r="C26" s="103" t="s">
        <v>44</v>
      </c>
      <c r="D26" s="103"/>
      <c r="E26" s="103"/>
      <c r="F26" s="103"/>
      <c r="G26" s="103"/>
      <c r="H26" s="103"/>
      <c r="I26" s="103"/>
      <c r="J26" s="103"/>
      <c r="K26" s="103"/>
      <c r="L26" s="103"/>
      <c r="M26" s="54"/>
      <c r="N26" s="54"/>
      <c r="O26" s="38"/>
      <c r="P26" s="38"/>
    </row>
    <row r="27" spans="1:47" x14ac:dyDescent="0.2">
      <c r="A27" s="55"/>
      <c r="B27" s="55"/>
      <c r="C27" s="55"/>
      <c r="D27" s="97" t="s">
        <v>50</v>
      </c>
      <c r="E27" s="97"/>
      <c r="F27" s="97"/>
      <c r="G27" s="97"/>
      <c r="H27" s="97"/>
      <c r="I27" s="97"/>
      <c r="J27" s="97"/>
      <c r="K27" s="55"/>
      <c r="L27" s="55"/>
      <c r="M27" s="55"/>
      <c r="N27" s="55"/>
      <c r="O27" s="39"/>
      <c r="P27" s="39"/>
    </row>
    <row r="28" spans="1:47" x14ac:dyDescent="0.2">
      <c r="A28" s="55"/>
      <c r="B28" s="55"/>
      <c r="C28" s="58"/>
      <c r="D28" s="58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39"/>
      <c r="P28" s="39"/>
      <c r="AG28" s="37"/>
    </row>
    <row r="29" spans="1:47" x14ac:dyDescent="0.2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</row>
    <row r="30" spans="1:47" x14ac:dyDescent="0.2">
      <c r="H30" s="2"/>
    </row>
    <row r="31" spans="1:47" x14ac:dyDescent="0.2">
      <c r="H31" s="2"/>
    </row>
    <row r="32" spans="1:47" x14ac:dyDescent="0.2">
      <c r="H32" s="2"/>
    </row>
    <row r="33" spans="8:8" x14ac:dyDescent="0.2">
      <c r="H33" s="2"/>
    </row>
    <row r="34" spans="8:8" x14ac:dyDescent="0.2">
      <c r="H34" s="2"/>
    </row>
    <row r="35" spans="8:8" x14ac:dyDescent="0.2">
      <c r="H35" s="2"/>
    </row>
    <row r="36" spans="8:8" x14ac:dyDescent="0.2">
      <c r="H36" s="2"/>
    </row>
    <row r="37" spans="8:8" x14ac:dyDescent="0.2">
      <c r="H37" s="2"/>
    </row>
    <row r="38" spans="8:8" x14ac:dyDescent="0.2">
      <c r="H38" s="2"/>
    </row>
    <row r="39" spans="8:8" x14ac:dyDescent="0.2">
      <c r="H39" s="2"/>
    </row>
    <row r="40" spans="8:8" x14ac:dyDescent="0.2">
      <c r="H40" s="2"/>
    </row>
    <row r="41" spans="8:8" x14ac:dyDescent="0.2">
      <c r="H41" s="2"/>
    </row>
    <row r="42" spans="8:8" x14ac:dyDescent="0.2">
      <c r="H42" s="2"/>
    </row>
    <row r="43" spans="8:8" x14ac:dyDescent="0.2">
      <c r="H43" s="2"/>
    </row>
    <row r="44" spans="8:8" x14ac:dyDescent="0.2">
      <c r="H44" s="2"/>
    </row>
    <row r="45" spans="8:8" x14ac:dyDescent="0.2">
      <c r="H45" s="2"/>
    </row>
    <row r="46" spans="8:8" x14ac:dyDescent="0.2">
      <c r="H46" s="2"/>
    </row>
    <row r="47" spans="8:8" x14ac:dyDescent="0.2">
      <c r="H47" s="2"/>
    </row>
    <row r="48" spans="8:8" x14ac:dyDescent="0.2">
      <c r="H48" s="2"/>
    </row>
    <row r="49" spans="8:8" x14ac:dyDescent="0.2">
      <c r="H49" s="2"/>
    </row>
    <row r="50" spans="8:8" x14ac:dyDescent="0.2">
      <c r="H50" s="2"/>
    </row>
    <row r="51" spans="8:8" x14ac:dyDescent="0.2">
      <c r="H51" s="2"/>
    </row>
    <row r="52" spans="8:8" x14ac:dyDescent="0.2">
      <c r="H52" s="2"/>
    </row>
    <row r="53" spans="8:8" x14ac:dyDescent="0.2">
      <c r="H53" s="2"/>
    </row>
    <row r="54" spans="8:8" x14ac:dyDescent="0.2">
      <c r="H54" s="2"/>
    </row>
    <row r="55" spans="8:8" x14ac:dyDescent="0.2">
      <c r="H55" s="2"/>
    </row>
    <row r="56" spans="8:8" x14ac:dyDescent="0.2">
      <c r="H56" s="2"/>
    </row>
    <row r="57" spans="8:8" x14ac:dyDescent="0.2">
      <c r="H57" s="2"/>
    </row>
    <row r="58" spans="8:8" x14ac:dyDescent="0.2">
      <c r="H58" s="2"/>
    </row>
    <row r="59" spans="8:8" x14ac:dyDescent="0.2">
      <c r="H59" s="2"/>
    </row>
    <row r="60" spans="8:8" x14ac:dyDescent="0.2">
      <c r="H60" s="2"/>
    </row>
    <row r="61" spans="8:8" x14ac:dyDescent="0.2">
      <c r="H61" s="2"/>
    </row>
  </sheetData>
  <mergeCells count="52">
    <mergeCell ref="A7:A9"/>
    <mergeCell ref="E8:E9"/>
    <mergeCell ref="Q8:Q9"/>
    <mergeCell ref="N8:N9"/>
    <mergeCell ref="H8:H9"/>
    <mergeCell ref="K8:K9"/>
    <mergeCell ref="J8:J9"/>
    <mergeCell ref="L8:L9"/>
    <mergeCell ref="M8:M9"/>
    <mergeCell ref="P8:P9"/>
    <mergeCell ref="O8:O9"/>
    <mergeCell ref="B7:B9"/>
    <mergeCell ref="C26:L26"/>
    <mergeCell ref="AU8:AU9"/>
    <mergeCell ref="AS8:AS9"/>
    <mergeCell ref="AT8:AT9"/>
    <mergeCell ref="A4:O4"/>
    <mergeCell ref="A5:O5"/>
    <mergeCell ref="T8:T9"/>
    <mergeCell ref="Z8:Z9"/>
    <mergeCell ref="C8:C9"/>
    <mergeCell ref="D8:D9"/>
    <mergeCell ref="F8:F9"/>
    <mergeCell ref="G8:G9"/>
    <mergeCell ref="I8:I9"/>
    <mergeCell ref="U8:U9"/>
    <mergeCell ref="AO8:AO9"/>
    <mergeCell ref="V8:V9"/>
    <mergeCell ref="AQ8:AQ9"/>
    <mergeCell ref="R8:R9"/>
    <mergeCell ref="S8:S9"/>
    <mergeCell ref="AE8:AE9"/>
    <mergeCell ref="AG8:AG9"/>
    <mergeCell ref="AH8:AH9"/>
    <mergeCell ref="AF8:AF9"/>
    <mergeCell ref="AD8:AD9"/>
    <mergeCell ref="D27:J27"/>
    <mergeCell ref="AL8:AL9"/>
    <mergeCell ref="A1:O3"/>
    <mergeCell ref="AR8:AR9"/>
    <mergeCell ref="AJ8:AJ9"/>
    <mergeCell ref="AK8:AK9"/>
    <mergeCell ref="W8:W9"/>
    <mergeCell ref="AC8:AC9"/>
    <mergeCell ref="X8:X9"/>
    <mergeCell ref="Y8:Y9"/>
    <mergeCell ref="AA8:AA9"/>
    <mergeCell ref="AB8:AB9"/>
    <mergeCell ref="AM8:AM9"/>
    <mergeCell ref="AN8:AN9"/>
    <mergeCell ref="AP8:AP9"/>
    <mergeCell ref="AI8:AI9"/>
  </mergeCells>
  <phoneticPr fontId="14" type="noConversion"/>
  <pageMargins left="0.7" right="0.7" top="0.75" bottom="0.75" header="0.3" footer="0.3"/>
  <pageSetup paperSize="9" orientation="portrait" r:id="rId1"/>
  <ignoredErrors>
    <ignoredError sqref="A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 calculation</vt:lpstr>
      <vt:lpstr>Generation Data</vt:lpstr>
    </vt:vector>
  </TitlesOfParts>
  <Company>CLP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Sanghvi, Naman</dc:creator>
  <cp:lastModifiedBy>AB</cp:lastModifiedBy>
  <cp:lastPrinted>2017-08-17T06:56:19Z</cp:lastPrinted>
  <dcterms:created xsi:type="dcterms:W3CDTF">2016-01-08T09:25:55Z</dcterms:created>
  <dcterms:modified xsi:type="dcterms:W3CDTF">2024-11-20T11:58:49Z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fac9a77-4a4c-40e6-919e-f4b7b0f5e3f7_Enabled">
    <vt:lpwstr>true</vt:lpwstr>
  </property>
  <property fmtid="{D5CDD505-2E9C-101B-9397-08002B2CF9AE}" pid="3" name="MSIP_Label_bfac9a77-4a4c-40e6-919e-f4b7b0f5e3f7_SetDate">
    <vt:lpwstr>2020-07-20T11:09:42Z</vt:lpwstr>
  </property>
  <property fmtid="{D5CDD505-2E9C-101B-9397-08002B2CF9AE}" pid="4" name="MSIP_Label_bfac9a77-4a4c-40e6-919e-f4b7b0f5e3f7_Method">
    <vt:lpwstr>Privileged</vt:lpwstr>
  </property>
  <property fmtid="{D5CDD505-2E9C-101B-9397-08002B2CF9AE}" pid="5" name="MSIP_Label_bfac9a77-4a4c-40e6-919e-f4b7b0f5e3f7_Name">
    <vt:lpwstr>bfac9a77-4a4c-40e6-919e-f4b7b0f5e3f7</vt:lpwstr>
  </property>
  <property fmtid="{D5CDD505-2E9C-101B-9397-08002B2CF9AE}" pid="6" name="MSIP_Label_bfac9a77-4a4c-40e6-919e-f4b7b0f5e3f7_SiteId">
    <vt:lpwstr>45910e2a-86b0-41e7-8051-c4b8b63b25b7</vt:lpwstr>
  </property>
  <property fmtid="{D5CDD505-2E9C-101B-9397-08002B2CF9AE}" pid="7" name="MSIP_Label_bfac9a77-4a4c-40e6-919e-f4b7b0f5e3f7_ActionId">
    <vt:lpwstr>ee7729f6-9feb-4274-9e9a-c96c03352f24</vt:lpwstr>
  </property>
  <property fmtid="{D5CDD505-2E9C-101B-9397-08002B2CF9AE}" pid="8" name="MSIP_Label_bfac9a77-4a4c-40e6-919e-f4b7b0f5e3f7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